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Mercados\Projects\MSPGCL\Bhusawal 6 Final Tariff\Petition\Revised Petition\Revised Petition submitted to MERC\"/>
    </mc:Choice>
  </mc:AlternateContent>
  <bookViews>
    <workbookView xWindow="0" yWindow="0" windowWidth="19200" windowHeight="8130" tabRatio="905" firstSheet="2" activeTab="2"/>
  </bookViews>
  <sheets>
    <sheet name="AFC Reduction and AEC loss" sheetId="100" state="hidden" r:id="rId1"/>
    <sheet name="Index" sheetId="57" r:id="rId2"/>
    <sheet name="F1" sheetId="58" r:id="rId3"/>
    <sheet name="F1.1" sheetId="80" r:id="rId4"/>
    <sheet name="F2.1" sheetId="81" r:id="rId5"/>
    <sheet name="F2.2" sheetId="59" r:id="rId6"/>
    <sheet name="SBI MCLR" sheetId="125" state="hidden" r:id="rId7"/>
    <sheet name="F2.3" sheetId="60" r:id="rId8"/>
    <sheet name="F2.4" sheetId="61" r:id="rId9"/>
    <sheet name="F2.5" sheetId="62" r:id="rId10"/>
    <sheet name="F2.6" sheetId="79" r:id="rId11"/>
    <sheet name="F2.7" sheetId="63" r:id="rId12"/>
    <sheet name="F2.8" sheetId="64" r:id="rId13"/>
    <sheet name="F3" sheetId="65" r:id="rId14"/>
    <sheet name="F3.1" sheetId="66" r:id="rId15"/>
    <sheet name="F3.2" sheetId="67" r:id="rId16"/>
    <sheet name="F3.3" sheetId="68" r:id="rId17"/>
    <sheet name="F3.4" sheetId="69" r:id="rId18"/>
    <sheet name="Water charges working" sheetId="132" r:id="rId19"/>
    <sheet name="F4" sheetId="93" r:id="rId20"/>
    <sheet name="F4.1" sheetId="121" r:id="rId21"/>
    <sheet name="F4.2" sheetId="129" r:id="rId22"/>
    <sheet name="F4.3" sheetId="130" r:id="rId23"/>
    <sheet name="F14.7" sheetId="133" r:id="rId24"/>
    <sheet name="F5 (T)" sheetId="117" r:id="rId25"/>
    <sheet name="F5" sheetId="70" r:id="rId26"/>
    <sheet name="F5.1 (N)" sheetId="107" r:id="rId27"/>
    <sheet name="F6" sheetId="54" r:id="rId28"/>
    <sheet name="F7" sheetId="55" r:id="rId29"/>
    <sheet name="F8" sheetId="71" r:id="rId30"/>
    <sheet name="F9" sheetId="72" r:id="rId31"/>
    <sheet name="F9.1" sheetId="91" r:id="rId32"/>
    <sheet name="F9.2" sheetId="73" r:id="rId33"/>
    <sheet name="F9.3" sheetId="74" r:id="rId34"/>
    <sheet name="F10" sheetId="77" r:id="rId35"/>
    <sheet name="F11" sheetId="75" r:id="rId36"/>
    <sheet name="F12" sheetId="76" r:id="rId37"/>
    <sheet name="F13" sheetId="78" r:id="rId38"/>
    <sheet name="F14.1" sheetId="108" r:id="rId39"/>
    <sheet name="F14.2" sheetId="109" r:id="rId40"/>
    <sheet name="F14.3" sheetId="110" r:id="rId41"/>
    <sheet name="F14.4" sheetId="111" r:id="rId42"/>
    <sheet name="F14.5" sheetId="112" r:id="rId43"/>
    <sheet name="F14.6" sheetId="113" r:id="rId44"/>
    <sheet name="F14.8" sheetId="115" r:id="rId45"/>
    <sheet name="F14.9" sheetId="126" r:id="rId46"/>
    <sheet name="F15" sheetId="104" r:id="rId47"/>
    <sheet name="F16" sheetId="131" r:id="rId48"/>
    <sheet name="F17 " sheetId="127" r:id="rId49"/>
    <sheet name="F18" sheetId="105" r:id="rId50"/>
    <sheet name="Assumptions" sheetId="124" r:id="rId51"/>
    <sheet name="F19" sheetId="106" state="hidden" r:id="rId52"/>
  </sheets>
  <externalReferences>
    <externalReference r:id="rId53"/>
  </externalReferences>
  <definedNames>
    <definedName name="\a" localSheetId="46">#REF!</definedName>
    <definedName name="\a" localSheetId="24">#REF!</definedName>
    <definedName name="\a">#REF!</definedName>
    <definedName name="\b" localSheetId="46">#REF!</definedName>
    <definedName name="\b" localSheetId="24">#REF!</definedName>
    <definedName name="\b">#REF!</definedName>
    <definedName name="\c" localSheetId="46">#REF!</definedName>
    <definedName name="\c" localSheetId="24">#REF!</definedName>
    <definedName name="\c">#REF!</definedName>
    <definedName name="\d" localSheetId="46">#REF!</definedName>
    <definedName name="\d" localSheetId="24">#REF!</definedName>
    <definedName name="\d">#REF!</definedName>
    <definedName name="\e" localSheetId="46">#REF!</definedName>
    <definedName name="\e" localSheetId="24">#REF!</definedName>
    <definedName name="\e">#REF!</definedName>
    <definedName name="\f" localSheetId="46">#REF!</definedName>
    <definedName name="\f" localSheetId="24">#REF!</definedName>
    <definedName name="\f">#REF!</definedName>
    <definedName name="\g" localSheetId="46">#REF!</definedName>
    <definedName name="\g" localSheetId="24">#REF!</definedName>
    <definedName name="\g">#REF!</definedName>
    <definedName name="\j" localSheetId="46">#REF!</definedName>
    <definedName name="\j" localSheetId="24">#REF!</definedName>
    <definedName name="\j">#REF!</definedName>
    <definedName name="\k" localSheetId="46">#REF!</definedName>
    <definedName name="\k" localSheetId="24">#REF!</definedName>
    <definedName name="\k">#REF!</definedName>
    <definedName name="\m" localSheetId="46">#REF!</definedName>
    <definedName name="\m" localSheetId="24">#REF!</definedName>
    <definedName name="\m">#REF!</definedName>
    <definedName name="\n" localSheetId="46">#REF!</definedName>
    <definedName name="\n" localSheetId="24">#REF!</definedName>
    <definedName name="\n">#REF!</definedName>
    <definedName name="\o" localSheetId="46">#REF!</definedName>
    <definedName name="\o" localSheetId="24">#REF!</definedName>
    <definedName name="\o">#REF!</definedName>
    <definedName name="\p" localSheetId="46">#REF!</definedName>
    <definedName name="\p" localSheetId="24">#REF!</definedName>
    <definedName name="\p">#REF!</definedName>
    <definedName name="\q">#REF!</definedName>
    <definedName name="\s" localSheetId="46">#REF!</definedName>
    <definedName name="\s" localSheetId="24">#REF!</definedName>
    <definedName name="\s">#REF!</definedName>
    <definedName name="\t" localSheetId="46">#REF!</definedName>
    <definedName name="\t" localSheetId="24">#REF!</definedName>
    <definedName name="\t">#REF!</definedName>
    <definedName name="\w" localSheetId="46">#REF!</definedName>
    <definedName name="\w" localSheetId="24">#REF!</definedName>
    <definedName name="\w">#REF!</definedName>
    <definedName name="\x" localSheetId="46">#REF!</definedName>
    <definedName name="\x" localSheetId="24">#REF!</definedName>
    <definedName name="\x">#REF!</definedName>
    <definedName name="\y">#REF!</definedName>
    <definedName name="\z" localSheetId="46">#REF!</definedName>
    <definedName name="\z" localSheetId="24">#REF!</definedName>
    <definedName name="\z">#REF!</definedName>
    <definedName name="_" localSheetId="46">#REF!</definedName>
    <definedName name="_" localSheetId="24">#REF!</definedName>
    <definedName name="_">#REF!</definedName>
    <definedName name="_.._D__D__D__D_" localSheetId="46">#REF!</definedName>
    <definedName name="_.._D__D__D__D_" localSheetId="24">#REF!</definedName>
    <definedName name="_.._D__D__D__D_">#REF!</definedName>
    <definedName name="___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SCH6">#REF!</definedName>
    <definedName name="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SCH6">#REF!</definedName>
    <definedName name="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XL__ENTER_UNIT">#REF!</definedName>
    <definedName name="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XL__ENTER_UNIT">#REF!</definedName>
    <definedName name="__________________SCH6">#REF!</definedName>
    <definedName name="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XL__ENTER_UNIT">#REF!</definedName>
    <definedName name="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XL__ENTER_UNIT">#REF!</definedName>
    <definedName name="________________SCH6">#REF!</definedName>
    <definedName name="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XL__ENTER_UNIT">#REF!</definedName>
    <definedName name="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XL__ENTER_UNIT">#REF!</definedName>
    <definedName name="______________SCH6">#REF!</definedName>
    <definedName name="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XL__ENTER_UNIT">#REF!</definedName>
    <definedName name="_____________SCH6">#REF!</definedName>
    <definedName name="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XL__ENTER_UNIT">#REF!</definedName>
    <definedName name="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XL__ENTER_UNIT">#REF!</definedName>
    <definedName name="___________SCH6">#REF!</definedName>
    <definedName name="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XL__ENTER_UNIT">#REF!</definedName>
    <definedName name="__________SCH6">#REF!</definedName>
    <definedName name="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XL__ENTER_UNIT">#REF!</definedName>
    <definedName name="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XL__ENTER_UNIT" localSheetId="46">#REF!</definedName>
    <definedName name="_________XL__ENTER_UNIT" localSheetId="24">#REF!</definedName>
    <definedName name="_________XL__ENTER_UNIT">#REF!</definedName>
    <definedName name="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XL__ENTER_UNIT">#REF!</definedName>
    <definedName name="_______SCH6" localSheetId="46">#REF!</definedName>
    <definedName name="_______SCH6" localSheetId="47">#REF!</definedName>
    <definedName name="_______SCH6" localSheetId="24">#REF!</definedName>
    <definedName name="_______SCH6">#REF!</definedName>
    <definedName name="_______XL__ENTER_UNIT" localSheetId="46">#REF!</definedName>
    <definedName name="_______XL__ENTER_UNIT" localSheetId="24">#REF!</definedName>
    <definedName name="_______XL__ENTER_UNIT">#REF!</definedName>
    <definedName name="______SCH6" localSheetId="46">#REF!</definedName>
    <definedName name="______SCH6" localSheetId="47">#REF!</definedName>
    <definedName name="______SCH6" localSheetId="24">#REF!</definedName>
    <definedName name="______SCH6">#REF!</definedName>
    <definedName name="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XL__ENTER_UNIT" localSheetId="46">#REF!</definedName>
    <definedName name="______XL__ENTER_UNIT" localSheetId="24">#REF!</definedName>
    <definedName name="______XL__ENTER_UNIT">#REF!</definedName>
    <definedName name="_____SCH6" localSheetId="46">#REF!</definedName>
    <definedName name="_____SCH6" localSheetId="47">#REF!</definedName>
    <definedName name="_____SCH6" localSheetId="24">#REF!</definedName>
    <definedName name="_____SCH6">#REF!</definedName>
    <definedName name="_____XL__ENTER_UNIT">#REF!</definedName>
    <definedName name="____SCH6" localSheetId="46">#REF!</definedName>
    <definedName name="____SCH6" localSheetId="47">#REF!</definedName>
    <definedName name="____SCH6" localSheetId="24">#REF!</definedName>
    <definedName name="____SCH6">#REF!</definedName>
    <definedName name="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XL__ENTER_UNIT" localSheetId="46">#REF!</definedName>
    <definedName name="____XL__ENTER_UNIT" localSheetId="24">#REF!</definedName>
    <definedName name="____XL__ENTER_UNIT">#REF!</definedName>
    <definedName name="___123Graph_AI_II_PLF">#REF!</definedName>
    <definedName name="___123Graph_BI_II_PLF">#REF!</definedName>
    <definedName name="___123Graph_CI_II_PLF">#REF!</definedName>
    <definedName name="___123Graph_XI_II_PLF">#REF!</definedName>
    <definedName name="___INDEX_SHEET___ASAP_Utilities" localSheetId="46">#REF!</definedName>
    <definedName name="___INDEX_SHEET___ASAP_Utilities" localSheetId="24">#REF!</definedName>
    <definedName name="___INDEX_SHEET___ASAP_Utilities">#REF!</definedName>
    <definedName name="___KD2" hidden="1">#REF!</definedName>
    <definedName name="___KD3" hidden="1">#REF!</definedName>
    <definedName name="___KK1" hidden="1">#REF!</definedName>
    <definedName name="___KK2" hidden="1">#REF!</definedName>
    <definedName name="___KK3" hidden="1">#REF!</definedName>
    <definedName name="___nis3" hidden="1">#REF!</definedName>
    <definedName name="___SCH6" localSheetId="46">#REF!</definedName>
    <definedName name="___SCH6" localSheetId="47">#REF!</definedName>
    <definedName name="___SCH6" localSheetId="24">#REF!</definedName>
    <definedName name="___SCH6">#REF!</definedName>
    <definedName name="___w123" hidden="1">{"Edition",#N/A,FALSE,"Data"}</definedName>
    <definedName name="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XL__ENTER_UNIT" localSheetId="46">#REF!</definedName>
    <definedName name="___XL__ENTER_UNIT" localSheetId="24">#REF!</definedName>
    <definedName name="___XL__ENTER_UNIT">#REF!</definedName>
    <definedName name="___xlfn.BAHTTEXT" hidden="1">#NAME?</definedName>
    <definedName name="__123Graph_A" localSheetId="23" hidden="1">#REF!</definedName>
    <definedName name="__123Graph_A" localSheetId="46" hidden="1">#REF!</definedName>
    <definedName name="__123Graph_A" localSheetId="47" hidden="1">#REF!</definedName>
    <definedName name="__123Graph_A" localSheetId="48" hidden="1">#REF!</definedName>
    <definedName name="__123Graph_A" localSheetId="19" hidden="1">#REF!</definedName>
    <definedName name="__123Graph_A" localSheetId="24" hidden="1">#REF!</definedName>
    <definedName name="__123Graph_A" localSheetId="18" hidden="1">#REF!</definedName>
    <definedName name="__123Graph_A" hidden="1">#REF!</definedName>
    <definedName name="__123Graph_ACurrent" hidden="1">#REF!</definedName>
    <definedName name="__123Graph_ADEMAND" hidden="1">#REF!</definedName>
    <definedName name="__123Graph_ADMD_2" hidden="1">#REF!</definedName>
    <definedName name="__123Graph_AFAC" hidden="1">#REF!</definedName>
    <definedName name="__123Graph_AFAC_COMP" hidden="1">#REF!</definedName>
    <definedName name="__123Graph_AGraph4" hidden="1">#REF!</definedName>
    <definedName name="__123Graph_AI_II_PLF">#REF!</definedName>
    <definedName name="__123Graph_ASTNPLF" localSheetId="23" hidden="1">#REF!</definedName>
    <definedName name="__123Graph_ASTNPLF" localSheetId="46" hidden="1">#REF!</definedName>
    <definedName name="__123Graph_ASTNPLF" localSheetId="47" hidden="1">#REF!</definedName>
    <definedName name="__123Graph_ASTNPLF" localSheetId="48" hidden="1">#REF!</definedName>
    <definedName name="__123Graph_ASTNPLF" localSheetId="19" hidden="1">#REF!</definedName>
    <definedName name="__123Graph_ASTNPLF" localSheetId="24" hidden="1">#REF!</definedName>
    <definedName name="__123Graph_ASTNPLF" localSheetId="18" hidden="1">#REF!</definedName>
    <definedName name="__123Graph_ASTNPLF" hidden="1">#REF!</definedName>
    <definedName name="__123Graph_B" localSheetId="23" hidden="1">#REF!</definedName>
    <definedName name="__123Graph_B" localSheetId="46" hidden="1">#REF!</definedName>
    <definedName name="__123Graph_B" localSheetId="47" hidden="1">#REF!</definedName>
    <definedName name="__123Graph_B" localSheetId="48" hidden="1">#REF!</definedName>
    <definedName name="__123Graph_B" localSheetId="19" hidden="1">#REF!</definedName>
    <definedName name="__123Graph_B" localSheetId="24" hidden="1">#REF!</definedName>
    <definedName name="__123Graph_B" localSheetId="18" hidden="1">#REF!</definedName>
    <definedName name="__123Graph_B" hidden="1">#REF!</definedName>
    <definedName name="__123Graph_BCurrent" hidden="1">#REF!</definedName>
    <definedName name="__123Graph_BDMD_2" hidden="1">#REF!</definedName>
    <definedName name="__123Graph_BFAC" hidden="1">#REF!</definedName>
    <definedName name="__123Graph_BFAC_COMP" hidden="1">#REF!</definedName>
    <definedName name="__123Graph_BGraph4" hidden="1">#REF!</definedName>
    <definedName name="__123Graph_BI_II_PLF">#REF!</definedName>
    <definedName name="__123Graph_BSTNPLF" localSheetId="23" hidden="1">#REF!</definedName>
    <definedName name="__123Graph_BSTNPLF" localSheetId="46" hidden="1">#REF!</definedName>
    <definedName name="__123Graph_BSTNPLF" localSheetId="47" hidden="1">#REF!</definedName>
    <definedName name="__123Graph_BSTNPLF" localSheetId="48" hidden="1">#REF!</definedName>
    <definedName name="__123Graph_BSTNPLF" localSheetId="19" hidden="1">#REF!</definedName>
    <definedName name="__123Graph_BSTNPLF" localSheetId="24" hidden="1">#REF!</definedName>
    <definedName name="__123Graph_BSTNPLF" localSheetId="18" hidden="1">#REF!</definedName>
    <definedName name="__123Graph_BSTNPLF" hidden="1">#REF!</definedName>
    <definedName name="__123Graph_C" localSheetId="23" hidden="1">#REF!</definedName>
    <definedName name="__123Graph_C" localSheetId="46" hidden="1">#REF!</definedName>
    <definedName name="__123Graph_C" localSheetId="47" hidden="1">#REF!</definedName>
    <definedName name="__123Graph_C" localSheetId="48" hidden="1">#REF!</definedName>
    <definedName name="__123Graph_C" localSheetId="19" hidden="1">#REF!</definedName>
    <definedName name="__123Graph_C" localSheetId="24" hidden="1">#REF!</definedName>
    <definedName name="__123Graph_C" localSheetId="18" hidden="1">#REF!</definedName>
    <definedName name="__123Graph_C" hidden="1">#REF!</definedName>
    <definedName name="__123Graph_CGraph4" hidden="1">#REF!</definedName>
    <definedName name="__123Graph_CI_II_PLF">#REF!</definedName>
    <definedName name="__123Graph_CSTNPF1">#REF!</definedName>
    <definedName name="__123Graph_CSTNPLF" localSheetId="23" hidden="1">#REF!</definedName>
    <definedName name="__123Graph_CSTNPLF" localSheetId="46" hidden="1">#REF!</definedName>
    <definedName name="__123Graph_CSTNPLF" localSheetId="47" hidden="1">#REF!</definedName>
    <definedName name="__123Graph_CSTNPLF" localSheetId="48" hidden="1">#REF!</definedName>
    <definedName name="__123Graph_CSTNPLF" localSheetId="19" hidden="1">#REF!</definedName>
    <definedName name="__123Graph_CSTNPLF" localSheetId="24" hidden="1">#REF!</definedName>
    <definedName name="__123Graph_CSTNPLF" localSheetId="18" hidden="1">#REF!</definedName>
    <definedName name="__123Graph_CSTNPLF" hidden="1">#REF!</definedName>
    <definedName name="__123Graph_D" hidden="1">#REF!</definedName>
    <definedName name="__123Graph_E" hidden="1">#REF!</definedName>
    <definedName name="__123Graph_F" hidden="1">#REF!</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#REF!</definedName>
    <definedName name="__123Graph_LBL_BDMD_2" hidden="1">#REF!</definedName>
    <definedName name="__123Graph_LBL_BFAC" hidden="1">#REF!</definedName>
    <definedName name="__123Graph_LBL_BFAC_COMP" hidden="1">#REF!</definedName>
    <definedName name="__123Graph_X" localSheetId="23" hidden="1">#REF!</definedName>
    <definedName name="__123Graph_X" localSheetId="46" hidden="1">#REF!</definedName>
    <definedName name="__123Graph_X" localSheetId="47" hidden="1">#REF!</definedName>
    <definedName name="__123Graph_X" localSheetId="48" hidden="1">#REF!</definedName>
    <definedName name="__123Graph_X" localSheetId="19" hidden="1">#REF!</definedName>
    <definedName name="__123Graph_X" localSheetId="24" hidden="1">#REF!</definedName>
    <definedName name="__123Graph_X" localSheetId="18" hidden="1">#REF!</definedName>
    <definedName name="__123Graph_X" hidden="1">#REF!</definedName>
    <definedName name="__123Graph_XCurrent" hidden="1">#REF!</definedName>
    <definedName name="__123Graph_XDEMAND" hidden="1">#REF!</definedName>
    <definedName name="__123Graph_XDMD_2" hidden="1">#REF!</definedName>
    <definedName name="__123Graph_XFAC" hidden="1">#REF!</definedName>
    <definedName name="__123Graph_XFAC_COMP" hidden="1">#REF!</definedName>
    <definedName name="__123Graph_XI_II_PLF">#REF!</definedName>
    <definedName name="__123Graph_XSTNPLF" localSheetId="23" hidden="1">#REF!</definedName>
    <definedName name="__123Graph_XSTNPLF" localSheetId="46" hidden="1">#REF!</definedName>
    <definedName name="__123Graph_XSTNPLF" localSheetId="47" hidden="1">#REF!</definedName>
    <definedName name="__123Graph_XSTNPLF" localSheetId="48" hidden="1">#REF!</definedName>
    <definedName name="__123Graph_XSTNPLF" localSheetId="19" hidden="1">#REF!</definedName>
    <definedName name="__123Graph_XSTNPLF" localSheetId="24" hidden="1">#REF!</definedName>
    <definedName name="__123Graph_XSTNPLF" localSheetId="18" hidden="1">#REF!</definedName>
    <definedName name="__123Graph_XSTNPLF" hidden="1">#REF!</definedName>
    <definedName name="__ABC660">#REF!</definedName>
    <definedName name="__Cur3">#REF!</definedName>
    <definedName name="__DOWN_10__GOTO" localSheetId="46">#REF!</definedName>
    <definedName name="__DOWN_10__GOTO" localSheetId="24">#REF!</definedName>
    <definedName name="__DOWN_10__GOTO">#REF!</definedName>
    <definedName name="__ES84__EW84_0." localSheetId="46">#REF!</definedName>
    <definedName name="__ES84__EW84_0." localSheetId="24">#REF!</definedName>
    <definedName name="__ES84__EW84_0.">#REF!</definedName>
    <definedName name="__GOTO_EP84__AV" localSheetId="46">#REF!</definedName>
    <definedName name="__GOTO_EP84__AV" localSheetId="24">#REF!</definedName>
    <definedName name="__GOTO_EP84__AV">#REF!</definedName>
    <definedName name="__KD2" hidden="1">#REF!</definedName>
    <definedName name="__KD3" hidden="1">#REF!</definedName>
    <definedName name="__KK1" hidden="1">#REF!</definedName>
    <definedName name="__KK2" hidden="1">#REF!</definedName>
    <definedName name="__KK3" hidden="1">#REF!</definedName>
    <definedName name="__new1" hidden="1">#REF!</definedName>
    <definedName name="__nis3" hidden="1">#REF!</definedName>
    <definedName name="__SCH6" localSheetId="46">#REF!</definedName>
    <definedName name="__SCH6" localSheetId="47">#REF!</definedName>
    <definedName name="__SCH6" localSheetId="24">#REF!</definedName>
    <definedName name="__SCH6">#REF!</definedName>
    <definedName name="__sec3" hidden="1">#REF!</definedName>
    <definedName name="__SUM_CS57..CS6" localSheetId="46">#REF!</definedName>
    <definedName name="__SUM_CS57..CS6" localSheetId="24">#REF!</definedName>
    <definedName name="__SUM_CS57..CS6">#REF!</definedName>
    <definedName name="__SUM_CS65..CS7" localSheetId="46">#REF!</definedName>
    <definedName name="__SUM_CS65..CS7" localSheetId="24">#REF!</definedName>
    <definedName name="__SUM_CS65..CS7">#REF!</definedName>
    <definedName name="__SUM_FQ20..FQ2" localSheetId="46">#REF!</definedName>
    <definedName name="__SUM_FQ20..FQ2" localSheetId="24">#REF!</definedName>
    <definedName name="__SUM_FQ20..FQ2">#REF!</definedName>
    <definedName name="__SUM_FQ28..FQ3" localSheetId="46">#REF!</definedName>
    <definedName name="__SUM_FQ28..FQ3" localSheetId="24">#REF!</definedName>
    <definedName name="__SUM_FQ28..FQ3">#REF!</definedName>
    <definedName name="__VAL3">#REF!</definedName>
    <definedName name="__w123" hidden="1">{"Edition",#N/A,FALSE,"Data"}</definedName>
    <definedName name="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XL__ENTER_UNIT" localSheetId="46">#REF!</definedName>
    <definedName name="__XL__ENTER_UNIT" localSheetId="24">#REF!</definedName>
    <definedName name="__XL__ENTER_UNIT">#REF!</definedName>
    <definedName name="__xlfn.BAHTTEXT" hidden="1">#NAME?</definedName>
    <definedName name="_083_2014">#REF!</definedName>
    <definedName name="_1___123Graph_AI_II_PLF" hidden="1">#REF!</definedName>
    <definedName name="_12___123Graph_XI_II_PLF" hidden="1">#REF!</definedName>
    <definedName name="_12__123Graph_BI_II_PLF" hidden="1">#REF!</definedName>
    <definedName name="_123Graph_B" hidden="1">#REF!</definedName>
    <definedName name="_15__123Graph_AI_II_PLF" hidden="1">#REF!</definedName>
    <definedName name="_18__123Graph_BI_II_PLF" hidden="1">#REF!</definedName>
    <definedName name="_18__123Graph_CI_II_PLF" hidden="1">#REF!</definedName>
    <definedName name="_2___123Graph_BI_II_PLF" hidden="1">#REF!</definedName>
    <definedName name="_2__123Graph_AI_II_PLF" hidden="1">#REF!</definedName>
    <definedName name="_21__123Graph_CI_II_PLF" hidden="1">#REF!</definedName>
    <definedName name="_24__123Graph_XI_II_PLF" hidden="1">#REF!</definedName>
    <definedName name="_3___123Graph_CI_II_PLF" hidden="1">#REF!</definedName>
    <definedName name="_4___123Graph_AI_II_PLF" hidden="1">#REF!</definedName>
    <definedName name="_4___123Graph_XI_II_PLF" hidden="1">#REF!</definedName>
    <definedName name="_4__123Graph_BI_II_PLF" hidden="1">#REF!</definedName>
    <definedName name="_5" localSheetId="46">#REF!</definedName>
    <definedName name="_5" localSheetId="24">#REF!</definedName>
    <definedName name="_5">#REF!</definedName>
    <definedName name="_5__123Graph_AI_II_PLF" hidden="1">#REF!</definedName>
    <definedName name="_6" localSheetId="46">#REF!</definedName>
    <definedName name="_6" localSheetId="24">#REF!</definedName>
    <definedName name="_6">#REF!</definedName>
    <definedName name="_6__123Graph_AI_II_PLF" hidden="1">#REF!</definedName>
    <definedName name="_6__123Graph_BI_II_PLF" hidden="1">#REF!</definedName>
    <definedName name="_6__123Graph_CI_II_PLF" hidden="1">#REF!</definedName>
    <definedName name="_7__123Graph_CI_II_PLF" hidden="1">#REF!</definedName>
    <definedName name="_8___123Graph_CI_II_PLF" hidden="1">#REF!</definedName>
    <definedName name="_8__123Graph_XI_II_PLF" hidden="1">#REF!</definedName>
    <definedName name="_a">#REF!</definedName>
    <definedName name="_ABC660">#REF!</definedName>
    <definedName name="_b">#REF!</definedName>
    <definedName name="_c">#REF!</definedName>
    <definedName name="_Cur3">#REF!</definedName>
    <definedName name="_d">#REF!</definedName>
    <definedName name="_D___GOTO_GK112" localSheetId="46">#REF!</definedName>
    <definedName name="_D___GOTO_GK112" localSheetId="24">#REF!</definedName>
    <definedName name="_D___GOTO_GK112">#REF!</definedName>
    <definedName name="_D___GOTO_GK56_" localSheetId="46">#REF!</definedName>
    <definedName name="_D___GOTO_GK56_" localSheetId="24">#REF!</definedName>
    <definedName name="_D___GOTO_GK56_">#REF!</definedName>
    <definedName name="_D__D___L___GOT" localSheetId="46">#REF!</definedName>
    <definedName name="_D__D___L___GOT" localSheetId="24">#REF!</definedName>
    <definedName name="_D__D___L___GOT">#REF!</definedName>
    <definedName name="_D__D__D___D__D" localSheetId="46">#REF!</definedName>
    <definedName name="_D__D__D___D__D" localSheetId="24">#REF!</definedName>
    <definedName name="_D__D__D___D__D">#REF!</definedName>
    <definedName name="_D_19__U_19_" localSheetId="46">#REF!</definedName>
    <definedName name="_D_19__U_19_" localSheetId="24">#REF!</definedName>
    <definedName name="_D_19__U_19_">#REF!</definedName>
    <definedName name="_Dist_Values" hidden="1">#REF!</definedName>
    <definedName name="_DOWN_9__RIGHT_" localSheetId="46">#REF!</definedName>
    <definedName name="_DOWN_9__RIGHT_" localSheetId="24">#REF!</definedName>
    <definedName name="_DOWN_9__RIGHT_">#REF!</definedName>
    <definedName name="_e">#REF!</definedName>
    <definedName name="_f">#REF!</definedName>
    <definedName name="_Fill" localSheetId="23" hidden="1">#REF!</definedName>
    <definedName name="_Fill" localSheetId="45" hidden="1">#REF!</definedName>
    <definedName name="_Fill" localSheetId="46" hidden="1">'F15'!#REF!</definedName>
    <definedName name="_Fill" localSheetId="48" hidden="1">#REF!</definedName>
    <definedName name="_Fill" localSheetId="19" hidden="1">#REF!</definedName>
    <definedName name="_Fill" localSheetId="24" hidden="1">#REF!</definedName>
    <definedName name="_Fill" hidden="1">#REF!</definedName>
    <definedName name="_Fill1" hidden="1">#REF!</definedName>
    <definedName name="_xlnm._FilterDatabase" localSheetId="23" hidden="1">F14.7!$A$1:$P$36</definedName>
    <definedName name="_xlnm._FilterDatabase" localSheetId="4" hidden="1">F2.1!$A$10:$O$10</definedName>
    <definedName name="_xlnm._FilterDatabase" hidden="1">#REF!</definedName>
    <definedName name="_FROM__R__R__08" localSheetId="46">#REF!</definedName>
    <definedName name="_FROM__R__R__08" localSheetId="24">#REF!</definedName>
    <definedName name="_FROM__R__R__08">#REF!</definedName>
    <definedName name="_FROM__R__R__16" localSheetId="46">#REF!</definedName>
    <definedName name="_FROM__R__R__16" localSheetId="24">#REF!</definedName>
    <definedName name="_FROM__R__R__16">#REF!</definedName>
    <definedName name="_GENERATION__R_" localSheetId="46">#REF!</definedName>
    <definedName name="_GENERATION__R_" localSheetId="24">#REF!</definedName>
    <definedName name="_GENERATION__R_">#REF!</definedName>
    <definedName name="_GOTO_BT49__R__" localSheetId="46">#REF!</definedName>
    <definedName name="_GOTO_BT49__R__" localSheetId="24">#REF!</definedName>
    <definedName name="_GOTO_BT49__R__">#REF!</definedName>
    <definedName name="_GOTO_CF11__?__" localSheetId="46">#REF!</definedName>
    <definedName name="_GOTO_CF11__?__" localSheetId="24">#REF!</definedName>
    <definedName name="_GOTO_CF11__?__">#REF!</definedName>
    <definedName name="_GOTO_EO75__WEK" localSheetId="46">#REF!</definedName>
    <definedName name="_GOTO_EO75__WEK" localSheetId="24">#REF!</definedName>
    <definedName name="_GOTO_EO75__WEK">#REF!</definedName>
    <definedName name="_GOTO_EP82__PEA" localSheetId="46">#REF!</definedName>
    <definedName name="_GOTO_EP82__PEA" localSheetId="24">#REF!</definedName>
    <definedName name="_GOTO_EP82__PEA">#REF!</definedName>
    <definedName name="_GOTO_EP86__PER" localSheetId="46">#REF!</definedName>
    <definedName name="_GOTO_EP86__PER" localSheetId="24">#REF!</definedName>
    <definedName name="_GOTO_EP86__PER">#REF!</definedName>
    <definedName name="_GOTO_FO112__RV" localSheetId="46">#REF!</definedName>
    <definedName name="_GOTO_FO112__RV" localSheetId="24">#REF!</definedName>
    <definedName name="_GOTO_FO112__RV">#REF!</definedName>
    <definedName name="_GOTO_FO56__RV_" localSheetId="46">#REF!</definedName>
    <definedName name="_GOTO_FO56__RV_" localSheetId="24">#REF!</definedName>
    <definedName name="_GOTO_FO56__RV_">#REF!</definedName>
    <definedName name="_h">#REF!</definedName>
    <definedName name="_HOME__GOTO_M14" localSheetId="46">#REF!</definedName>
    <definedName name="_HOME__GOTO_M14" localSheetId="24">#REF!</definedName>
    <definedName name="_HOME__GOTO_M14">#REF!</definedName>
    <definedName name="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k">#REF!</definedName>
    <definedName name="_KD2" hidden="1">#REF!</definedName>
    <definedName name="_KD3" hidden="1">#REF!</definedName>
    <definedName name="_Key1" hidden="1">#REF!</definedName>
    <definedName name="_Key2" hidden="1">#REF!</definedName>
    <definedName name="_KK1" hidden="1">#REF!</definedName>
    <definedName name="_KK2" hidden="1">#REF!</definedName>
    <definedName name="_KK3" hidden="1">#REF!</definedName>
    <definedName name="_n">#REF!</definedName>
    <definedName name="_new" hidden="1">#REF!</definedName>
    <definedName name="_new1" hidden="1">#REF!</definedName>
    <definedName name="_nis3" hidden="1">#REF!</definedName>
    <definedName name="_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o">#REF!</definedName>
    <definedName name="_Order1" hidden="1">255</definedName>
    <definedName name="_Order2" hidden="1">0</definedName>
    <definedName name="_p">#REF!</definedName>
    <definedName name="_Parse_In" hidden="1">#REF!</definedName>
    <definedName name="_Parse_Out" hidden="1">#REF!</definedName>
    <definedName name="_PCC1">#REF!</definedName>
    <definedName name="_PCC2">#REF!</definedName>
    <definedName name="_PKS1">#REF!</definedName>
    <definedName name="_PKS2">#REF!</definedName>
    <definedName name="_PKS3">#REF!</definedName>
    <definedName name="_PKS4">#REF!</definedName>
    <definedName name="_PLF__R__R___ES" localSheetId="46">#REF!</definedName>
    <definedName name="_PLF__R__R___ES" localSheetId="24">#REF!</definedName>
    <definedName name="_PLF__R__R___ES">#REF!</definedName>
    <definedName name="_rcd" hidden="1">#REF!</definedName>
    <definedName name="_Regression_Int" hidden="1">1</definedName>
    <definedName name="_RV_DOWN_6__LEF" localSheetId="46">#REF!</definedName>
    <definedName name="_RV_DOWN_6__LEF" localSheetId="24">#REF!</definedName>
    <definedName name="_RV_DOWN_6__LEF">#REF!</definedName>
    <definedName name="_s">#REF!</definedName>
    <definedName name="_SCH6" localSheetId="46">#REF!</definedName>
    <definedName name="_SCH6" localSheetId="47">#REF!</definedName>
    <definedName name="_SCH6" localSheetId="24">#REF!</definedName>
    <definedName name="_SCH6">#REF!</definedName>
    <definedName name="_sec3" hidden="1">#REF!</definedName>
    <definedName name="_Sort" hidden="1">#REF!</definedName>
    <definedName name="_SUM_DI14..DI21" localSheetId="46">#REF!</definedName>
    <definedName name="_SUM_DI14..DI21" localSheetId="24">#REF!</definedName>
    <definedName name="_SUM_DI14..DI21">#REF!</definedName>
    <definedName name="_SUM_DI22..DI29" localSheetId="46">#REF!</definedName>
    <definedName name="_SUM_DI22..DI29" localSheetId="24">#REF!</definedName>
    <definedName name="_SUM_DI22..DI29">#REF!</definedName>
    <definedName name="_Table1_In1" hidden="1">#REF!</definedName>
    <definedName name="_Table1_Out" hidden="1">#REF!</definedName>
    <definedName name="_Table2_In1" hidden="1">#REF!</definedName>
    <definedName name="_Table2_In2" hidden="1">#REF!</definedName>
    <definedName name="_U__END__U__D__" localSheetId="46">#REF!</definedName>
    <definedName name="_U__END__U__D__" localSheetId="24">#REF!</definedName>
    <definedName name="_U__END__U__D__">#REF!</definedName>
    <definedName name="_U__U__END__U__" localSheetId="46">#REF!</definedName>
    <definedName name="_U__U__END__U__" localSheetId="24">#REF!</definedName>
    <definedName name="_U__U__END__U__">#REF!</definedName>
    <definedName name="_U__U__U__U__U_" localSheetId="46">#REF!</definedName>
    <definedName name="_U__U__U__U__U_" localSheetId="24">#REF!</definedName>
    <definedName name="_U__U__U__U__U_">#REF!</definedName>
    <definedName name="_VAL3">#REF!</definedName>
    <definedName name="_w123" hidden="1">{"Edition",#N/A,FALSE,"Data"}</definedName>
    <definedName name="_WGPD_GOTO_CO10" localSheetId="46">#REF!</definedName>
    <definedName name="_WGPD_GOTO_CO10" localSheetId="24">#REF!</definedName>
    <definedName name="_WGPD_GOTO_CO10">#REF!</definedName>
    <definedName name="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ZP1">#REF!</definedName>
    <definedName name="_ZP2">#REF!</definedName>
    <definedName name="_ZP3">#REF!</definedName>
    <definedName name="_ZP4">#REF!</definedName>
    <definedName name="A" localSheetId="46">#REF!</definedName>
    <definedName name="A" localSheetId="24">#REF!</definedName>
    <definedName name="A">#REF!</definedName>
    <definedName name="AA" hidden="1">#REF!</definedName>
    <definedName name="AAA" hidden="1">#REF!</definedName>
    <definedName name="ABSTRACTOFPERFORMANCE">#REF!</definedName>
    <definedName name="ac" hidden="1">#REF!</definedName>
    <definedName name="Access_Button" hidden="1">"PJTFINAL_F02F11_List"</definedName>
    <definedName name="AccessDatabase" hidden="1">"C:\jhp2\JHP\AES\PJTFINAL.mdb"</definedName>
    <definedName name="adfad">#REF!</definedName>
    <definedName name="ADITION" hidden="1">{"'장비'!$A$3:$M$12"}</definedName>
    <definedName name="ADL.63" localSheetId="47">#REF!</definedName>
    <definedName name="ADL.63">#REF!</definedName>
    <definedName name="ADTL">#REF!</definedName>
    <definedName name="aed">#REF!</definedName>
    <definedName name="AERWST">#REF!</definedName>
    <definedName name="AETUJ">#REF!</definedName>
    <definedName name="anand">#REF!</definedName>
    <definedName name="annex" hidden="1">#REF!</definedName>
    <definedName name="annex1" hidden="1">#REF!</definedName>
    <definedName name="ANPARA_COAL_GCV">#REF!</definedName>
    <definedName name="ANPARA_DSHR">#REF!</definedName>
    <definedName name="ANPARA_GEN">#REF!</definedName>
    <definedName name="ANPARA_SHR">#REF!</definedName>
    <definedName name="ANPARA_Sp_OIL_CON">#REF!</definedName>
    <definedName name="anx">#REF!</definedName>
    <definedName name="ANY_OTHER_LOSS">#REF!</definedName>
    <definedName name="aps">#REF!</definedName>
    <definedName name="arrintrst"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RTJ">#REF!</definedName>
    <definedName name="AS2DocOpenMode" hidden="1">"AS2DocumentEdit"</definedName>
    <definedName name="AS2HasNoAutoHeaderFooter" hidden="1">" "</definedName>
    <definedName name="AS2NamedRange" hidden="1">2</definedName>
    <definedName name="AS2ReportLS" hidden="1">1</definedName>
    <definedName name="AS2SyncStepLS" hidden="1">0</definedName>
    <definedName name="AS2TickmarkLS" hidden="1">#REF!</definedName>
    <definedName name="AS2VersionLS" hidden="1">300</definedName>
    <definedName name="ASD" hidden="1">#REF!</definedName>
    <definedName name="ASDASD123" hidden="1">#REF!</definedName>
    <definedName name="asdf">#REF!</definedName>
    <definedName name="ASRTJ">#REF!</definedName>
    <definedName name="ASSDFFDZFFD" hidden="1">#REF!</definedName>
    <definedName name="ASSESSMENT_YEAR____1998___99">"tds"</definedName>
    <definedName name="asset">#REF!</definedName>
    <definedName name="asset1">#REF!</definedName>
    <definedName name="AsstYr">#REF!</definedName>
    <definedName name="aszdSZ">#REF!</definedName>
    <definedName name="atatuj" hidden="1">#REF!</definedName>
    <definedName name="atrws" hidden="1">#REF!</definedName>
    <definedName name="AuBhu0910" localSheetId="47">#REF!</definedName>
    <definedName name="AuBhu0910">#REF!</definedName>
    <definedName name="AuBhu1011" localSheetId="47">#REF!</definedName>
    <definedName name="AuBhu1011">#REF!</definedName>
    <definedName name="AuCha0910" localSheetId="47">#REF!</definedName>
    <definedName name="AuCha0910">#REF!</definedName>
    <definedName name="AV" localSheetId="46">#REF!</definedName>
    <definedName name="AV" localSheetId="24">#REF!</definedName>
    <definedName name="AV">#REF!</definedName>
    <definedName name="awe">#REF!</definedName>
    <definedName name="aws">#REF!</definedName>
    <definedName name="ay">#REF!</definedName>
    <definedName name="B">#REF!</definedName>
    <definedName name="B5210MW">#REF!</definedName>
    <definedName name="BADARPUR_COAL_GCV">#REF!</definedName>
    <definedName name="BADARPUR_DSHR">#REF!</definedName>
    <definedName name="BADARPUR_GEN">#REF!</definedName>
    <definedName name="BADARPUR_SHR">#REF!</definedName>
    <definedName name="BADARPUR_Sp_OIL_CON">#REF!</definedName>
    <definedName name="bb">#REF!</definedName>
    <definedName name="bbv">#REF!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1HY6E3GJ66ABU5ABN26V6Q13" hidden="1">#REF!</definedName>
    <definedName name="BEx01PW5YQKEGAR8JDDI5OARYXDF" hidden="1">#REF!</definedName>
    <definedName name="BEx01UU51VRZVF9PPM2ZYH9DG5FL" hidden="1">#REF!</definedName>
    <definedName name="BEx01XJ94SHJ1YQ7ORPW0RQGKI2H"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A54J2A4I7IBQR19BTY28ZMR"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SX5ASX75RUGI6RBX5H5ZKC0U" hidden="1">#REF!</definedName>
    <definedName name="BEx1TJ0WLS9O7KNSGIPWTYHDYI1D"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XOKSCH78XQ00HOGFX0N9SLC7"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5UX2GZFZZT657YR76RHW5I6" hidden="1">#REF!</definedName>
    <definedName name="BEx3HMSEFOP6DBM4R97XA6B7NFG6" hidden="1">#REF!</definedName>
    <definedName name="BEx3HWJ5SQSD2CVCQNR183X44FR8" hidden="1">#REF!</definedName>
    <definedName name="BEx3I09YVXO0G4X7KGSA4WGORM35" hidden="1">#REF!</definedName>
    <definedName name="BEx3ICF1GY8HQEBIU9S43PDJ90BX" hidden="1">#REF!</definedName>
    <definedName name="BEx3IYAH2DEBFWO8F94H4MXE3RLY" hidden="1">#REF!</definedName>
    <definedName name="BEx3IZXXSYEW50379N2EAFWO8DZV"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M1PR4Y7KINKMTMKR984GX8Q" hidden="1">#REF!</definedName>
    <definedName name="BEx3LPCEZ1C0XEKNCM3YT09JWCUO"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LIZ7PHF2XE59ECZ3MD04ZG1" hidden="1">#REF!</definedName>
    <definedName name="BEx3NMQ4BVC94728AUM7CCX7UHTU" hidden="1">#REF!</definedName>
    <definedName name="BEx3NR2I4OUFP3Z2QZEDU2PIFIDI" hidden="1">#REF!</definedName>
    <definedName name="BEx3NTRMB84K05E46MCYRB8QQT83" hidden="1">#REF!</definedName>
    <definedName name="BEx3O19B8FTTAPVT5DZXQGQXWFR8" hidden="1">#REF!</definedName>
    <definedName name="BEx3O85IKWARA6NCJOLRBRJFMEWW" hidden="1">#REF!</definedName>
    <definedName name="BEx3OJZSCGFRW7SVGBFI0X9DNVMM" hidden="1">#REF!</definedName>
    <definedName name="BEx3OKL6MQZ2Z7V64B8XBNQ35ZWK"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XYU0QLFXSFTM5EB20GD03W5" hidden="1">#REF!</definedName>
    <definedName name="BEx3RYKLC3QQO3XTUN7BEW2AQL98" hidden="1">#REF!</definedName>
    <definedName name="BEx3SICJ45BYT6FHBER86PJT25FC"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6MJ1QDJ929WMUDVZ0O3UW0Y" hidden="1">#REF!</definedName>
    <definedName name="BEx3TF0LGR2ACGP6Q9D6XNICSFA5" hidden="1">#REF!</definedName>
    <definedName name="BEx3TPCSI16OAB2L9M9IULQMQ9J9"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ML7CG70HPISMVYIUEN3711Q" hidden="1">#REF!</definedName>
    <definedName name="BEx56ZID5H04P9AIYLP1OASFGV56"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BA1KH3RG6K1LHL7YS2VB79N"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OFIO8KVRHIZ1RII337AA8ML" hidden="1">#REF!</definedName>
    <definedName name="BEx5APRZ66L5BWHFE8E4YYNEDTI4"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LQL9B0VR6UT18KP11DHOTFX" hidden="1">#REF!</definedName>
    <definedName name="BEx5ER4TJTFPN7IB1MNEB1ZFR5M6" hidden="1">#REF!</definedName>
    <definedName name="BEx5F6V5LEI66Q6Y30F8WKLZFUSK" hidden="1">#REF!</definedName>
    <definedName name="BEx5F6V72QTCK7O39Y59R0EVM6CW"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J0FFP1KS4NGY20AEJI8VREEA" hidden="1">#REF!</definedName>
    <definedName name="BEx5JF3ZXLDIS8VNKDCY7ZI7H1CI" hidden="1">#REF!</definedName>
    <definedName name="BEx5JHCZJ8G6OOOW6EF3GABXKH6F" hidden="1">#REF!</definedName>
    <definedName name="BEx5JJB6W446THXQCRUKD3I7RKLP"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3V0EP8EMNRC3EZJJKKVKWQVB" hidden="1">#REF!</definedName>
    <definedName name="BEx741WJHIJVXUX131SBXTVW8D71"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GJZSZHUDN6OOAGQYFUDA2LP" hidden="1">#REF!</definedName>
    <definedName name="BEx75HGCCV5K4UCJWYV8EV9AG5YT" hidden="1">#REF!</definedName>
    <definedName name="BEx75PZT8TY5P13U978NVBUXKHT4" hidden="1">#REF!</definedName>
    <definedName name="BEx75T55F7GML8V1DMWL26WRT006" hidden="1">#REF!</definedName>
    <definedName name="BEx75VJGR07JY6UUWURQ4PJ29UKC"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AKE8RVQIANNSTJ82JLJDX5R"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B6LH6917TXOSAAQ6U7HVF018" hidden="1">#REF!</definedName>
    <definedName name="BEx7BPXFZXJ79FQ0E8AQE21PGVHA" hidden="1">#REF!</definedName>
    <definedName name="BEx7BVRRP386BTN6RK71NTH0RGJ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CZMSLZZLCSW5AJDDX5L98VW3"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YYLHMBYQTH6I377FCQS7CSX" hidden="1">#REF!</definedName>
    <definedName name="BEx7F8UO9IZN4BT6DVP7G692YK2M" hidden="1">#REF!</definedName>
    <definedName name="BEx7FCLG1RYI2SNOU1Y2GQZNZSWA"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IBVYN47SFZIA0K4MDKQZNN9V"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V194190CNM6WWGQ3UBJ3CHH"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5C6U8MP6IZ67BD649WQYJEK" hidden="1">#REF!</definedName>
    <definedName name="BEx7L8HEYEVTATR0OG5JJO647KNI" hidden="1">#REF!</definedName>
    <definedName name="BEx7L8XOV64OMS15ZFURFEUXLMWF"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904S75BPRYMHF0083JF7ES4NG" hidden="1">#REF!</definedName>
    <definedName name="BEx90HDD4RWF7JZGA8GCGG7D63MG" hidden="1">#REF!</definedName>
    <definedName name="BEx90VGH5H09ON2QXYC9WIIEU98T" hidden="1">#REF!</definedName>
    <definedName name="BEx9175B70QXYAU5A8DJPGZQ46L9" hidden="1">#REF!</definedName>
    <definedName name="BEx91AQQRTV87AO27VWHSFZAD4ZR"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N7W5T3U7UOE97D6OVIBUCXS"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TH7X8DDKZ4IM9M8FNR4Z4BT" hidden="1">#REF!</definedName>
    <definedName name="BEx95U89DZZSVO39TGS62CX8G9N4" hidden="1">#REF!</definedName>
    <definedName name="BEx9602K2GHNBUEUVT9ONRQU1GMD" hidden="1">#REF!</definedName>
    <definedName name="BEx962BL3Y4LA53EBYI64ZYMZE8U" hidden="1">#REF!</definedName>
    <definedName name="BEx96H03FSI9F2VGN1Q7TPFWHHSV" hidden="1">#REF!</definedName>
    <definedName name="BEx96KR21O7H9R29TN0S45Y3QPUK" hidden="1">#REF!</definedName>
    <definedName name="BEx96SUFKHHFE8XQ6UUO6ILDOXHO" hidden="1">#REF!</definedName>
    <definedName name="BEx96UN4YWXBDEZ1U1ZUIPP41Z7I" hidden="1">#REF!</definedName>
    <definedName name="BEx978KSD61YJH3S9DGO050R2EHA" hidden="1">#REF!</definedName>
    <definedName name="BEx97F651DTPEIXNL9PU1DDPQJ3J" hidden="1">#REF!</definedName>
    <definedName name="BEx97H9O1NAKAPK4MX4PKO34ICL5"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WBYT2D6UUC1PT7A40ENYID4" hidden="1">#REF!</definedName>
    <definedName name="BEx99ZRZ4I7FHDPGRAT5VW7NVBPU"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N6ZMF18Q39MPMXSDJTZQNJ3" hidden="1">#REF!</definedName>
    <definedName name="BEx9E14TDNSEMI784W0OTIEQMWN6" hidden="1">#REF!</definedName>
    <definedName name="BEx9E2BZ2B1R41FMGJCJ7JLGLUAJ"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I8XIG7E5NB48QQHXP23FIN60" hidden="1">#REF!</definedName>
    <definedName name="BEx9ILTGKD2FN2TIN0ACEHMRPSNF"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9KQ3CK9HRYQ0EPOGV9LQK5WLT" hidden="1">#REF!</definedName>
    <definedName name="BExAW4IIW5D0MDY6TJ3G4FOLPYIR" hidden="1">#REF!</definedName>
    <definedName name="BExAX410NB4F2XOB84OR2197H8M5" hidden="1">#REF!</definedName>
    <definedName name="BExAX8TNG8LQ5Q4904SAYQIPGBSV" hidden="1">#REF!</definedName>
    <definedName name="BExAY0EAT2LXR5MFGM0DLIB45PLO"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12NJ8GASTNNPBRRFTLHIOC9" hidden="1">#REF!</definedName>
    <definedName name="BExB072HHXVMUC0VYNGG48GRSH5Q" hidden="1">#REF!</definedName>
    <definedName name="BExB0FRDEYDEUEAB1W8KD6D965XA"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Q29OO6LNFNT1EQLA3KYE7MX" hidden="1">#REF!</definedName>
    <definedName name="BExB1TNRV5EBWZEHYLHI76T0FVA7"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442RX0T3L6HUL6X5T21CENW6" hidden="1">#REF!</definedName>
    <definedName name="BExB4ADD0L7417CII901XTFKXD1J" hidden="1">#REF!</definedName>
    <definedName name="BExB4DYU06HCGRIPBSWRCXK804UM"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Y8L9DM8DN9P8OSBA1IJDZND"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DHI5I2TJ2LXYPM98EE81L27" hidden="1">#REF!</definedName>
    <definedName name="BExB9Q2MZZHBGW8QQKVEYIMJBPIE"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UZD05VYQHAZRRRU1U95MFC2" hidden="1">#REF!</definedName>
    <definedName name="BExBAVKX8Q09370X1GCZWJ4E91YJ" hidden="1">#REF!</definedName>
    <definedName name="BExBAX2X2ENJYO4QTR5VAIQ86L7B" hidden="1">#REF!</definedName>
    <definedName name="BExBAZ13D3F1DVJQ6YJ8JGUYEYJE" hidden="1">#REF!</definedName>
    <definedName name="BExBBUCJQRR74Q7GPWDEZXYK2KJL" hidden="1">#REF!</definedName>
    <definedName name="BExBBV8XVMD9CKZY711T0BN7H3PM"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RXVZQ0W5WXQMP5XD00GRRL" hidden="1">#REF!</definedName>
    <definedName name="BExBDUVGK3E1J4JY9ZYTS7V14BLY" hidden="1">#REF!</definedName>
    <definedName name="BExBE162OSBKD30I7T1DKKPT3I9I" hidden="1">#REF!</definedName>
    <definedName name="BExBEC9ATLQZF86W1M3APSM4HEOH" hidden="1">#REF!</definedName>
    <definedName name="BExBEYFQJE9YK12A6JBMRFKEC7RN" hidden="1">#REF!</definedName>
    <definedName name="BExBG1ED81J2O4A2S5F5Y3BPHMCR" hidden="1">#REF!</definedName>
    <definedName name="BExCRLIHS7466WFJ3RPIUGGXYESZ" hidden="1">#REF!</definedName>
    <definedName name="BExCS1EDDUEAEWHVYXHIP9I1WCJH"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RIIBOGYLXPN6CSPOE4UDMFA" hidden="1">#REF!</definedName>
    <definedName name="BExCVV44WY5807WGMTGKPW0GT256" hidden="1">#REF!</definedName>
    <definedName name="BExCVZ5PN4V6MRBZ04PZJW3GEF8S" hidden="1">#REF!</definedName>
    <definedName name="BExCW13R0GWJYGXZBNCPAHQN4NR2" hidden="1">#REF!</definedName>
    <definedName name="BExCW1PDI3XSQ9S8UIE1QG82IFH8" hidden="1">#REF!</definedName>
    <definedName name="BExCW9Y5HWU4RJTNX74O6L24VGCK"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PRC5HJE6N2XQTHCT6NXGP8N" hidden="1">#REF!</definedName>
    <definedName name="BExCYUK0I3UEXZNFDW71G6Z6D8XR" hidden="1">#REF!</definedName>
    <definedName name="BExCZFZCXMLY5DWESYJ9NGTJYQ8M" hidden="1">#REF!</definedName>
    <definedName name="BExCZJ4P8WS0BDT31WDXI0ROE7D6" hidden="1">#REF!</definedName>
    <definedName name="BExCZKH6NI0EE02L995IFVBD1J59" hidden="1">#REF!</definedName>
    <definedName name="BExCZUD9FEOJBKDJ51Z3JON9LKJ8" hidden="1">#REF!</definedName>
    <definedName name="BExD0HALIN0JR4JTPGDEVAEE5EX5" hidden="1">#REF!</definedName>
    <definedName name="BExD0LCCDPG16YLY5WQSZF1XI5DA"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50MT3M6XZLNUP9JL93EG6D9R"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L7K96PC9VZYB70ZW3QPVIJE" hidden="1">#REF!</definedName>
    <definedName name="BExDCP3UZ3C2O4C1F7KMU0Z9U32N" hidden="1">#REF!</definedName>
    <definedName name="BExEOBX3WECDMYCV9RLN49APTXMM"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R2O72H1F9WV6S1J04C15PXX7"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7ZSDYQ0C5WX1FP1ZA4HZMZI"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RBZ0DI9E2UFLLKYWGN66B61"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ZE8D5CMPJPRWT6S4HM56LPF"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YE6RZTAAWHJBG2QFJPTDS2Q" hidden="1">#REF!</definedName>
    <definedName name="BExGM4DZ65OAQP7MA4LN6QMYZOFF"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UKVVKDL8483WI70VN2QZDGD" hidden="1">#REF!</definedName>
    <definedName name="BExGS2IWR5DUNJ1U9PAKIV8CMBNI" hidden="1">#REF!</definedName>
    <definedName name="BExGS3F497294543A3R5GSWVFT7O"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YW1GKISF0PMUAK3XJK9PEW9" hidden="1">#REF!</definedName>
    <definedName name="BExGT0DZJB6LSF6L693UUB9EY1VQ" hidden="1">#REF!</definedName>
    <definedName name="BExGTGVFIF8HOQXR54SK065A8M4K" hidden="1">#REF!</definedName>
    <definedName name="BExGTIYX3OWPIINOGY1E4QQYSKHP" hidden="1">#REF!</definedName>
    <definedName name="BExGTKGUN0KUU3C0RL2LK98D8MEK" hidden="1">#REF!</definedName>
    <definedName name="BExGTZ046J7VMUG4YPKFN2K8TWB7" hidden="1">#REF!</definedName>
    <definedName name="BExGU2G9OPRZRIU9YGF6NX9FUW0J" hidden="1">#REF!</definedName>
    <definedName name="BExGU6HTKLRZO8UOI3DTAM5RFDBA" hidden="1">#REF!</definedName>
    <definedName name="BExGU8W4X1J4UP329AB4G708DE5V"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6OOLDQ3TXZK51TTF3YX0WN" hidden="1">#REF!</definedName>
    <definedName name="BExGW0KVS7U0C87XFZ78QW991IEV" hidden="1">#REF!</definedName>
    <definedName name="BExGW2Z7AMPG6H9EXA9ML6EZVGGA" hidden="1">#REF!</definedName>
    <definedName name="BExGWABG5VT5XO1A196RK61AXA8C" hidden="1">#REF!</definedName>
    <definedName name="BExGWEO0JDG84NYLEAV5NSOAGMJZ" hidden="1">#REF!</definedName>
    <definedName name="BExGWLEOC70Z8QAJTPT2PDHTNM4L" hidden="1">#REF!</definedName>
    <definedName name="BExGWNCXLCRTLBVMTXYJ5PHQI6SS"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J78ZWZCVHZ3BKEKFJZ6MAEO" hidden="1">#REF!</definedName>
    <definedName name="BExGZOLH2QV73J3M9IWDDPA62TP4" hidden="1">#REF!</definedName>
    <definedName name="BExGZP1PWGFKVVVN4YDIS22DZPCR" hidden="1">#REF!</definedName>
    <definedName name="BExH00L21GZX5YJJGVMOAWBERLP5" hidden="1">#REF!</definedName>
    <definedName name="BExH02ZD6VAY1KQLAQYBBI6WWIZB" hidden="1">#REF!</definedName>
    <definedName name="BExH08Z6LQCGGSGSAILMHX4X7JMD" hidden="1">#REF!</definedName>
    <definedName name="BExH0IKFD2XZ2IUBJMAUE9E64HPN"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9MDCIPJ7BGV3B0L44QX4OYZ" hidden="1">#REF!</definedName>
    <definedName name="BExH3E9HZ3QJCDZW7WI7YACFQCHE" hidden="1">#REF!</definedName>
    <definedName name="BExH3IRB6764RQ5HBYRLH6XCT29X" hidden="1">#REF!</definedName>
    <definedName name="BExIG2U8V6RSB47SXLCQG3Q68YRO" hidden="1">#REF!</definedName>
    <definedName name="BExIGJBO8R13LV7CZ7C1YCP974NN" hidden="1">#REF!</definedName>
    <definedName name="BExIGWT86FPOEYTI8GXCGU5Y3KGK" hidden="1">#REF!</definedName>
    <definedName name="BExIHBHXA7E7VUTBVHXXXCH3A5CL" hidden="1">#REF!</definedName>
    <definedName name="BExIHLU2OLFPJP94XBPBSHB53UVR"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FGZJ5ED9D6KAY4PGQYLELAX"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XLVVQ29UXQYVRLYNF88CV1Q"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QJ15X871R5JB8TQK2Z5HAIE"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E65LVXUOF3UZFO7SDHFJH22" hidden="1">#REF!</definedName>
    <definedName name="BExIQG9OO2KKBOWTMD1OXY36TEGA" hidden="1">#REF!</definedName>
    <definedName name="BExIQX1XBB31HZTYEEVOBSE3C5A6" hidden="1">#REF!</definedName>
    <definedName name="BExIR2ALYRP9FW99DK2084J7IIDC" hidden="1">#REF!</definedName>
    <definedName name="BExIR8FQETPTQYW37DBVDWG3J4JW" hidden="1">#REF!</definedName>
    <definedName name="BExIRRBGTY01OQOI3U5SW59RFDF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PASP9SCMB7BBMAI9MKVE56Q" hidden="1">#REF!</definedName>
    <definedName name="BExIUD4OJGH65NFNQ4VMCE3R4J1X"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YTFI35KNR2XSA6N8OJYUTUR"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AMUH8NR3HRV0V6FHJE3ROLN" hidden="1">#REF!</definedName>
    <definedName name="BExKHCFKOWFHO2WW0N7Y5XDXEWAO" hidden="1">#REF!</definedName>
    <definedName name="BExKHIVLONZ46HLMR50DEXKEUNEP" hidden="1">#REF!</definedName>
    <definedName name="BExKHPM9XA0ADDK7TUR0N38EXWE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QJGAAWNM3NT19E9I0CQDBTU0" hidden="1">#REF!</definedName>
    <definedName name="BExKQM5GJ1ZN5REKFE7YVBQ0KXWF" hidden="1">#REF!</definedName>
    <definedName name="BExKQQ71278061G7ZFYGPWOMOMY2" hidden="1">#REF!</definedName>
    <definedName name="BExKQTXRG3ECU8NT47UR7643LO5G" hidden="1">#REF!</definedName>
    <definedName name="BExKQVL7HPOIZ4FHANDFMVOJLEPR"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DJ6O3E9T8T0OTAT5R92S5DP" hidden="1">#REF!</definedName>
    <definedName name="BExKSFMOMSZYDE0WNC94F40S6636" hidden="1">#REF!</definedName>
    <definedName name="BExKSHQ9K79S8KYUWIV5M5LAHHF1" hidden="1">#REF!</definedName>
    <definedName name="BExKSJTWG9L3FCX8FLK4EMUJMF27"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QZGN8GI3XGSEXMPCCA3S19H"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2U47N8LZG0BPJ49ANY5QVV2" hidden="1">#REF!</definedName>
    <definedName name="BExME88DH5DUKMUFI9FNVECXFD2E"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H3H9TW5TJCNU5Z1EWXP3BAEP" hidden="1">#REF!</definedName>
    <definedName name="BExMHOWPB34KPZ76M2KIX2C9R2VB" hidden="1">#REF!</definedName>
    <definedName name="BExMHSSYC6KVHA3QDTSYPN92TWMI" hidden="1">#REF!</definedName>
    <definedName name="BExMI3AJ9477KDL4T9DHET4LJJTW"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ZT6AN7E6YMW2S87CTCN2UXH" hidden="1">#REF!</definedName>
    <definedName name="BExMJNC8ZFB9DRFOJ961ZAJ8U3A8" hidden="1">#REF!</definedName>
    <definedName name="BExMJTBV8A3D31W2IQHP9RDFPPHQ" hidden="1">#REF!</definedName>
    <definedName name="BExMK2RTXN4QJWEUNX002XK8VQP8" hidden="1">#REF!</definedName>
    <definedName name="BExMK8GNVLQNRGKY522KFHNRBWHH" hidden="1">#REF!</definedName>
    <definedName name="BExMKBGQDUZ8AWXYHA3QVMSDVZ3D" hidden="1">#REF!</definedName>
    <definedName name="BExMKBM1467553LDFZRRKVSHN374" hidden="1">#REF!</definedName>
    <definedName name="BExMKGK5FJUC0AU8MABRGDC5ZM70"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O5Z61RE85X8HHX2G4IU3AZW" hidden="1">#REF!</definedName>
    <definedName name="BExMLVI7UORSHM9FMO8S2EI0TMTS"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JLFWZBRN9PZF1IO9CYWV1B2" hidden="1">#REF!</definedName>
    <definedName name="BExMNKCJ0FA57YEUUAJE43U1QN5P" hidden="1">#REF!</definedName>
    <definedName name="BExMNKN5D1WEF2OOJVP6LZ6DLU3Y" hidden="1">#REF!</definedName>
    <definedName name="BExMNR38HMPLWAJRQ9MMS3ZAZ9IU" hidden="1">#REF!</definedName>
    <definedName name="BExMNRDZULKJMVY2VKIIRM2M5A1M" hidden="1">#REF!</definedName>
    <definedName name="BExMO9IOWKTWHO8LQJJQI5P3INWY" hidden="1">#REF!</definedName>
    <definedName name="BExMOI29DOEK5R1A5QZPUDKF7N6T"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OUQS3XTUQ2LDKGQ8AAQ3OJJ"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KXFMOW6WPFEVX1I7R7FNDSS"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ZFEIWV26E8RFU7XQYX1J458" hidden="1">#REF!</definedName>
    <definedName name="BExOEBKG55EROA2VL360A06LKASE" hidden="1">#REF!</definedName>
    <definedName name="BExOERG5LWXYYEN1DY1H2FWRJS9T"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O34TA9XYUZZCXN78ABZR4X3"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ICXFHJLILCJVFMJE5MGGWKR" hidden="1">#REF!</definedName>
    <definedName name="BExOLOI0WJS3QC12I3ISL0D9AWOF"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41U4296DV3DPG6I5EF3OEYF"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BTBSHPHVEDRCXC2ROW8PLFC" hidden="1">#REF!</definedName>
    <definedName name="BExQ4DGKF54SRKQUTUT4B1CZSS62" hidden="1">#REF!</definedName>
    <definedName name="BExQ4T74LQ5PYTV1MUQUW75A4BDY" hidden="1">#REF!</definedName>
    <definedName name="BExQ4VAMMKKMBDUHD2QN0XUHUXXU" hidden="1">#REF!</definedName>
    <definedName name="BExQ4XJHD7EJCNH7S1MJDZJ2MNWG" hidden="1">#REF!</definedName>
    <definedName name="BExQ5039ZCEWBUJHU682G4S89J03" hidden="1">#REF!</definedName>
    <definedName name="BExQ56Z9W6YHZHRXOFFI8EFA7CDI" hidden="1">#REF!</definedName>
    <definedName name="BExQ5KX3Z668H1KUCKZ9J24HUQ1F" hidden="1">#REF!</definedName>
    <definedName name="BExQ5SPMSOCJYLAY20NB5A6O32RE" hidden="1">#REF!</definedName>
    <definedName name="BExQ5UICMGTMK790KTLK49MAGXRC" hidden="1">#REF!</definedName>
    <definedName name="BExQ5YUUK9FD0QGTY4WD0W90O7OL" hidden="1">#REF!</definedName>
    <definedName name="BExQ63793YQ9BH7JLCNRIATIGTRG" hidden="1">#REF!</definedName>
    <definedName name="BExQ6CN1EF2UPZ57ZYMGK8TUJQSS"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NUC0NYZM41F4MA8OXQZY3B3" hidden="1">#REF!</definedName>
    <definedName name="BExQ7XL2Q1GVUFL1F9KK0K0EXMWG"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MUA4HEFM4OVO8M8MA8PIAW1" hidden="1">#REF!</definedName>
    <definedName name="BExQEQ4XZQFIKUXNU9H7WE7AMZ1U" hidden="1">#REF!</definedName>
    <definedName name="BExQF1OEB07CRAP6ALNNMJNJ3P2D"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3BV5BMZ3948V5V05ZRCM2W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K8IHC45I78DMZBOJ1P13KQA"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1XJCWV6KVJQWVSS4G6RPC39K"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ASWKM93XA275AXHYP8AG6SU" hidden="1">#REF!</definedName>
    <definedName name="BExS4JN3Y6SVBKILQK0R9HS45Y52"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OG41SKKG4GYU76WRWW1CTE6" hidden="1">#REF!</definedName>
    <definedName name="BExSCVC9P86YVFMRKKUVRV29MZXZ"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F07QFLZCO4P6K6QF05XG7PH1" hidden="1">#REF!</definedName>
    <definedName name="BExSFEQYFNHXMU9WARNDPSZU80TL"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AHFHS7MMNJR8JPVABRGBVIT"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06U9LH6ONWWJG2JT2IE7FHL"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2M5CK6XK55UIHDVYRXJJJRI4" hidden="1">#REF!</definedName>
    <definedName name="BExU2TXVT25ZTOFQAF6CM53Z1RLF" hidden="1">#REF!</definedName>
    <definedName name="BExU2XZLYIU19G7358W5T9E87AFR" hidden="1">#REF!</definedName>
    <definedName name="BExU3B66MCKJFSKT3HL8B5EJGVX0" hidden="1">#REF!</definedName>
    <definedName name="BExU3RIAP478GJ8A7T5UZ359QZ07" hidden="1">#REF!</definedName>
    <definedName name="BExU3UNI9NR1RNZR07NSLSZMDOQQ" hidden="1">#REF!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A00RRRBGRT6TOB0MXZRCRZ"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FSAUP9TUZ1NO9WXK80QPHWV" hidden="1">#REF!</definedName>
    <definedName name="BExU8KFLAN778MBN93NYZB0FV30G" hidden="1">#REF!</definedName>
    <definedName name="BExU8UX9JX3XLB47YZ8GFXE0V7R2" hidden="1">#REF!</definedName>
    <definedName name="BExU96M1J7P9DZQ3S9H0C12KGYT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D4IOJ12X3PJG5WXNNGDRCKAP" hidden="1">#REF!</definedName>
    <definedName name="BExUD90JKWQMHVOZT5ZCEIHU9AOT" hidden="1">#REF!</definedName>
    <definedName name="BExUD9WX9BWK72UWVSLYZJLAY5VY"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L9V3H8ZF6Y72LQBBN639YAA" hidden="1">#REF!</definedName>
    <definedName name="BExVV5T14N2HZIK7HQ4P2KG09U0J"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YU8EK669NP172GEIGCTVPPA" hidden="1">#REF!</definedName>
    <definedName name="BExVX3XN2DRJKL8EDBIG58RYQ36R" hidden="1">#REF!</definedName>
    <definedName name="BExVXDZ63PUART77BBR5SI63TPC6" hidden="1">#REF!</definedName>
    <definedName name="BExVXHKI6LFYMGWISMPACMO247HL" hidden="1">#REF!</definedName>
    <definedName name="BExVXLX2BZ5EF2X6R41BTKRJR1NM"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QV7KYMNIHVF5MC7H059DW4K"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4217ZHL9VO39POSTJOD090WU"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794A74Z5F2K8LVQLD6VSKXUE" hidden="1">#REF!</definedName>
    <definedName name="BExW8K0SSIPSKBVP06IJ71600HJ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SA382M6V21QBI1MUU12UIRU" hidden="1">#REF!</definedName>
    <definedName name="BExXSTBS08WIA9TLALV3UQ2Z3MRG" hidden="1">#REF!</definedName>
    <definedName name="BExXSVQ2WOJJ73YEO8Q2FK60V4G8"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YND6EJO7CJ5KRICV4O1JNWK" hidden="1">#REF!</definedName>
    <definedName name="BExXV6FWG4H3S2QEUJZYIXILNGJ7" hidden="1">#REF!</definedName>
    <definedName name="BExXVK87BMMO6LHKV0CFDNIQVIBS" hidden="1">#REF!</definedName>
    <definedName name="BExXVKZ9WXPGL6IVY6T61IDD771I" hidden="1">#REF!</definedName>
    <definedName name="BExXW27MMXHXUXX78SDTBE1JYTHT" hidden="1">#REF!</definedName>
    <definedName name="BExXW2YIM2MYBSHRIX0RP9D4PRMN"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0XT6GJE3MTRO04N33LOBYO1"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ZFVV4YB42AZ3H1I40YG3JAPU" hidden="1">#REF!</definedName>
    <definedName name="BExXZHJ9T2JELF12CHHGD54J1B0C"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7FABGPJJ2J9XI5X53R8O7JR" hidden="1">#REF!</definedName>
    <definedName name="BExY17KKZ7QY5ESCFC2U053SPI6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T89AUR83SOAZZ3OMDEJDQ39" hidden="1">#REF!</definedName>
    <definedName name="BExY4MG771JQ84EMIVB6HQGGHZY7" hidden="1">#REF!</definedName>
    <definedName name="BExY4PWCSFB8P3J3TBQB2MD67263" hidden="1">#REF!</definedName>
    <definedName name="BExY4RZW3KK11JLYBA4DWZ92M6LQ" hidden="1">#REF!</definedName>
    <definedName name="BExY4XOVTTNVZ577RLIEC7NZQFIX" hidden="1">#REF!</definedName>
    <definedName name="BExY50JAF5CG01GTHAUS7I4ZLUDC" hidden="1">#REF!</definedName>
    <definedName name="BExY51FNC1LPQCN87SH9EXI7ZTSQ"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M7JVLG0W8EG5RBU915U3SKBY" hidden="1">#REF!</definedName>
    <definedName name="BExZM85FOVUFF110XMQ9O2ODSJUK" hidden="1">#REF!</definedName>
    <definedName name="BExZMAULKVBVSE35POJDJE1VK01G" hidden="1">#REF!</definedName>
    <definedName name="BExZMF1MMTZ1TA14PZ8ASSU2CBSP" hidden="1">#REF!</definedName>
    <definedName name="BExZMKL5YQZD7F0FUCSVFGLPFK52"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Y6X2WA353T7PNAFAFG21HHZ" hidden="1">#REF!</definedName>
    <definedName name="BExZNZDWRS6Q40L8OCWFEIVI0A1O" hidden="1">#REF!</definedName>
    <definedName name="BExZOBO9NYLGVJQ31LVQ9XS2ZT4N" hidden="1">#REF!</definedName>
    <definedName name="BExZOETNB1CJ3Y2RKLI1ZK0S8Z6H"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Q0XY507N8FJMVPKCTK8HC9H" hidden="1">#REF!</definedName>
    <definedName name="BExZQ37OVBR25U32CO2YYVPZOMR5" hidden="1">#REF!</definedName>
    <definedName name="BExZQ3NT7H06VO0AR48WHZULZB93" hidden="1">#REF!</definedName>
    <definedName name="BExZQ7PJU07SEJMDX18U9YVDC2GU"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BQ29OM0V8XAL3HL0JIM0MMU"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Z2FQA9A8C7CJKMEFQ9VPSLCE" hidden="1">#REF!</definedName>
    <definedName name="BExZZCHAVHW8C2H649KRGVQ0WVRT" hidden="1">#REF!</definedName>
    <definedName name="BExZZTK54OTLF2YB68BHGOS27GEN" hidden="1">#REF!</definedName>
    <definedName name="BExZZXB3JQQG4SIZS4MRU6NNW7HI" hidden="1">#REF!</definedName>
    <definedName name="BExZZZEMIIFKMLLV4DJKX5TB9R5V" hidden="1">#REF!</definedName>
    <definedName name="BG_Del" hidden="1">15</definedName>
    <definedName name="BG_Ins" hidden="1">4</definedName>
    <definedName name="BG_Mod" hidden="1">6</definedName>
    <definedName name="bh">#REF!</definedName>
    <definedName name="BHATINDA_COAL_GCV">#REF!</definedName>
    <definedName name="BHATINDA_DSHR">#REF!</definedName>
    <definedName name="BHATINDA_GEN">#REF!</definedName>
    <definedName name="BHATINDA_SHR">#REF!</definedName>
    <definedName name="BHATINDA_Sp_OIL_CON">#REF!</definedName>
    <definedName name="BhuResLife">#REF!</definedName>
    <definedName name="Bhus45ResLife16">#REF!</definedName>
    <definedName name="Bhusawal3BL17">#REF!</definedName>
    <definedName name="BhusResLife16">#REF!</definedName>
    <definedName name="BhusResLife17">#REF!</definedName>
    <definedName name="bkd" hidden="1">{"'Sheet1'!$L$16"}</definedName>
    <definedName name="blank_sheet">#REF!</definedName>
    <definedName name="bm" hidden="1">{"'Sheet1'!$L$16"}</definedName>
    <definedName name="bn" hidden="1">{"'Sheet1'!$L$16"}</definedName>
    <definedName name="BSDateSF">#REF!</definedName>
    <definedName name="Bsl3Reslife18">#REF!</definedName>
    <definedName name="c_a_s">#REF!</definedName>
    <definedName name="C_Data_1" localSheetId="46">#REF!</definedName>
    <definedName name="C_Data_1" localSheetId="47">#REF!</definedName>
    <definedName name="C_Data_1" localSheetId="24">#REF!</definedName>
    <definedName name="C_Data_1">#REF!</definedName>
    <definedName name="C_Data_2" localSheetId="46">#REF!</definedName>
    <definedName name="C_Data_2" localSheetId="47">#REF!</definedName>
    <definedName name="C_Data_2" localSheetId="24">#REF!</definedName>
    <definedName name="C_Data_2">#REF!</definedName>
    <definedName name="CASE3">#REF!</definedName>
    <definedName name="CASH">#REF!</definedName>
    <definedName name="cdfghky">#REF!</definedName>
    <definedName name="CFG">#REF!</definedName>
    <definedName name="cfvsz">#REF!</definedName>
    <definedName name="CGH">#REF!</definedName>
    <definedName name="ChanResLife16">#REF!</definedName>
    <definedName name="ChaResLife">#REF!</definedName>
    <definedName name="ChartingArea">#REF!,#REF!</definedName>
    <definedName name="checkarea">#REF!</definedName>
    <definedName name="chffd">#REF!</definedName>
    <definedName name="CM10_C_RIGHT___" localSheetId="46">#REF!</definedName>
    <definedName name="CM10_C_RIGHT___" localSheetId="24">#REF!</definedName>
    <definedName name="CM10_C_RIGHT___">#REF!</definedName>
    <definedName name="cmb_Per10080G.StateCode">#REF!</definedName>
    <definedName name="CMH"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n" hidden="1">{"'Sheet1'!$L$16"}</definedName>
    <definedName name="co">#REF!</definedName>
    <definedName name="CoAdd">#REF!</definedName>
    <definedName name="CoName">#REF!</definedName>
    <definedName name="conf_balamended" hidden="1">{#N/A,#N/A,FALSE,"PMTABB";#N/A,#N/A,FALSE,"PMTABB"}</definedName>
    <definedName name="CoStatus">#REF!</definedName>
    <definedName name="curra">#REF!</definedName>
    <definedName name="CURRAPPLI">#REF!</definedName>
    <definedName name="Currency">#REF!</definedName>
    <definedName name="CV" localSheetId="46">#REF!</definedName>
    <definedName name="CV" localSheetId="24">#REF!</definedName>
    <definedName name="CV">#REF!</definedName>
    <definedName name="cwedkwqnb">#REF!</definedName>
    <definedName name="CY">#REF!</definedName>
    <definedName name="D" localSheetId="47">#REF!</definedName>
    <definedName name="D">#N/A</definedName>
    <definedName name="DADDA">#REF!</definedName>
    <definedName name="DADRI_COAL_GCV">#REF!</definedName>
    <definedName name="DADRI_DSHR">#REF!</definedName>
    <definedName name="DADRI_GEN">#REF!</definedName>
    <definedName name="DADRI_SHR">#REF!</definedName>
    <definedName name="DADRI_Sp_OIL_CON">#REF!</definedName>
    <definedName name="dargfs">#REF!</definedName>
    <definedName name="_xlnm.Database">#REF!</definedName>
    <definedName name="Date">#REF!</definedName>
    <definedName name="DATJH">#REF!</definedName>
    <definedName name="dd">#REF!</definedName>
    <definedName name="ddddddddddddd" hidden="1">#REF!</definedName>
    <definedName name="dds">#REF!</definedName>
    <definedName name="ddsfg">#REF!</definedName>
    <definedName name="Debt_Pct" localSheetId="47">#REF!</definedName>
    <definedName name="Debt_Pct">#REF!</definedName>
    <definedName name="dec01SchV">#REF!</definedName>
    <definedName name="DEDUCTION">#REF!</definedName>
    <definedName name="Depreciation" hidden="1">{"'Detail Summary'!$A$1:$F$83"}</definedName>
    <definedName name="df">#REF!</definedName>
    <definedName name="dfaf" hidden="1">{"'장비'!$A$3:$M$12"}</definedName>
    <definedName name="dfd">#REF!</definedName>
    <definedName name="dfh">#REF!</definedName>
    <definedName name="dfhg">#REF!</definedName>
    <definedName name="dfr">#REF!</definedName>
    <definedName name="dfy">#REF!</definedName>
    <definedName name="dfz">#REF!</definedName>
    <definedName name="DGFHJ">#REF!</definedName>
    <definedName name="dgfuj">#REF!</definedName>
    <definedName name="dgtk">#REF!</definedName>
    <definedName name="dh">#REF!</definedName>
    <definedName name="dhf">#REF!</definedName>
    <definedName name="dhskj" hidden="1">#REF!</definedName>
    <definedName name="DLYREVIEW">#REF!</definedName>
    <definedName name="dpc" localSheetId="47">#REF!</definedName>
    <definedName name="dpc">#REF!</definedName>
    <definedName name="DR" hidden="1">#REF!</definedName>
    <definedName name="drfh">#REF!</definedName>
    <definedName name="drhfdhfd">#REF!</definedName>
    <definedName name="drsf">#REF!</definedName>
    <definedName name="ds">#REF!</definedName>
    <definedName name="dsa">#REF!</definedName>
    <definedName name="dsag">#REF!</definedName>
    <definedName name="dscdscds">#REF!</definedName>
    <definedName name="dsf">#REF!</definedName>
    <definedName name="dsgsgd" hidden="1">#REF!</definedName>
    <definedName name="dw" hidden="1">{"'Sheet1'!$L$16"}</definedName>
    <definedName name="dyj">#REF!</definedName>
    <definedName name="dz">(#REF!,#REF!)</definedName>
    <definedName name="dzf">#REF!</definedName>
    <definedName name="dzs">(#REF!,#REF!)</definedName>
    <definedName name="e" hidden="1">{"'Detail Summary'!$A$1:$F$83"}</definedName>
    <definedName name="E_315MVA_Addl_Page1" localSheetId="46">#REF!</definedName>
    <definedName name="E_315MVA_Addl_Page1" localSheetId="24">#REF!</definedName>
    <definedName name="E_315MVA_Addl_Page1">#REF!</definedName>
    <definedName name="E_315MVA_Addl_Page2" localSheetId="46">#REF!</definedName>
    <definedName name="E_315MVA_Addl_Page2" localSheetId="24">#REF!</definedName>
    <definedName name="E_315MVA_Addl_Page2">#REF!</definedName>
    <definedName name="easd">#REF!</definedName>
    <definedName name="ed">#REF!</definedName>
    <definedName name="eee" hidden="1">#REF!</definedName>
    <definedName name="er">#REF!</definedName>
    <definedName name="Erai_level" localSheetId="47">#REF!</definedName>
    <definedName name="Erai_level">#REF!</definedName>
    <definedName name="es" hidden="1">{"'Sheet1'!$L$16"}</definedName>
    <definedName name="Esc_AGExp" localSheetId="47">#REF!</definedName>
    <definedName name="Esc_AGExp">#REF!</definedName>
    <definedName name="Esc_Coal" localSheetId="47">#REF!</definedName>
    <definedName name="Esc_Coal">#REF!</definedName>
    <definedName name="Esc_DomGas" localSheetId="47">#REF!</definedName>
    <definedName name="Esc_DomGas">#REF!</definedName>
    <definedName name="Esc_EmpExp" localSheetId="47">#REF!</definedName>
    <definedName name="Esc_EmpExp">#REF!</definedName>
    <definedName name="Esc_LNGas" localSheetId="47">#REF!</definedName>
    <definedName name="Esc_LNGas">#REF!</definedName>
    <definedName name="Esc_Oil" localSheetId="47">#REF!</definedName>
    <definedName name="Esc_Oil">#REF!</definedName>
    <definedName name="Esc_OtherIncome">#REF!</definedName>
    <definedName name="Esc_OtherVarCharge" localSheetId="47">#REF!</definedName>
    <definedName name="Esc_OtherVarCharge">#REF!</definedName>
    <definedName name="Esc_RMExp" localSheetId="47">#REF!</definedName>
    <definedName name="Esc_RMExp">#REF!</definedName>
    <definedName name="EscAGExp" localSheetId="46">#REF!</definedName>
    <definedName name="EscAGExp" localSheetId="24">#REF!</definedName>
    <definedName name="EscAGExp">#REF!</definedName>
    <definedName name="EscCoal" localSheetId="46">#REF!</definedName>
    <definedName name="EscCoal" localSheetId="24">#REF!</definedName>
    <definedName name="EscCoal">#REF!</definedName>
    <definedName name="EscDomGas" localSheetId="46">#REF!</definedName>
    <definedName name="EscDomGas" localSheetId="24">#REF!</definedName>
    <definedName name="EscDomGas">#REF!</definedName>
    <definedName name="EscEmpExp" localSheetId="46">#REF!</definedName>
    <definedName name="EscEmpExp" localSheetId="24">#REF!</definedName>
    <definedName name="EscEmpExp">#REF!</definedName>
    <definedName name="EscLNGas" localSheetId="46">#REF!</definedName>
    <definedName name="EscLNGas" localSheetId="24">#REF!</definedName>
    <definedName name="EscLNGas">#REF!</definedName>
    <definedName name="EscOil" localSheetId="46">#REF!</definedName>
    <definedName name="EscOil" localSheetId="24">#REF!</definedName>
    <definedName name="EscOil">#REF!</definedName>
    <definedName name="EscOM">#REF!</definedName>
    <definedName name="EscOM10">#REF!</definedName>
    <definedName name="EscOM11">#REF!</definedName>
    <definedName name="EscOM12">#REF!</definedName>
    <definedName name="EscOM13">#REF!</definedName>
    <definedName name="EscOMMYT">#REF!</definedName>
    <definedName name="EscOMMYTMERC">#REF!</definedName>
    <definedName name="EscOtherIncome" localSheetId="46">#REF!</definedName>
    <definedName name="EscOtherIncome" localSheetId="24">#REF!</definedName>
    <definedName name="EscOtherIncome">#REF!</definedName>
    <definedName name="EscOtherVarCharge" localSheetId="46">#REF!</definedName>
    <definedName name="EscOtherVarCharge" localSheetId="24">#REF!</definedName>
    <definedName name="EscOtherVarCharge">#REF!</definedName>
    <definedName name="EscRMExp" localSheetId="46">#REF!</definedName>
    <definedName name="EscRMExp" localSheetId="24">#REF!</definedName>
    <definedName name="EscRMExp">#REF!</definedName>
    <definedName name="esd">#REF!</definedName>
    <definedName name="esrdf">#REF!</definedName>
    <definedName name="ESUA">#REF!</definedName>
    <definedName name="et" hidden="1">{"'Sheet1'!$L$16"}</definedName>
    <definedName name="EV__EVCOM_OPTIONS__" hidden="1">8</definedName>
    <definedName name="EV__EXPOPTIONS__" hidden="1">0</definedName>
    <definedName name="EV__LASTREFTIME__" hidden="1">"(GMT+05:30)5/14/2016 12:27:02 PM"</definedName>
    <definedName name="EV__MAXEXPCOLS__" hidden="1">100</definedName>
    <definedName name="EV__MAXEXPROWS__" hidden="1">1000</definedName>
    <definedName name="EV__MEMORYCVW__" hidden="1">0</definedName>
    <definedName name="EV__WBEVMODE__" hidden="1">0</definedName>
    <definedName name="EV__WBREFOPTIONS__" hidden="1">134217732</definedName>
    <definedName name="EV__WBVERSION__" hidden="1">0</definedName>
    <definedName name="EWEQEQ" hidden="1">#REF!</definedName>
    <definedName name="exc" hidden="1">{"'Sheet1'!$A$4386:$N$4591"}</definedName>
    <definedName name="Excel_BuiltIn_Print_Area">#REF!</definedName>
    <definedName name="f" hidden="1">#REF!</definedName>
    <definedName name="FARIDABAD_COAL_GCV">#REF!</definedName>
    <definedName name="FARIDABAD_DSHR">#REF!</definedName>
    <definedName name="FARIDABAD_GEN">#REF!</definedName>
    <definedName name="FARIDABAD_SHR">#REF!</definedName>
    <definedName name="FARIDABAD_Sp_OIL_CON">#REF!</definedName>
    <definedName name="FAX" localSheetId="46">#REF!</definedName>
    <definedName name="FAX" localSheetId="24">#REF!</definedName>
    <definedName name="FAX">#REF!</definedName>
    <definedName name="fc">#REF!</definedName>
    <definedName name="fd" hidden="1">{"'Sheet1'!$L$16"}</definedName>
    <definedName name="fdfd">#REF!</definedName>
    <definedName name="fdg">#REF!</definedName>
    <definedName name="fdgk" hidden="1">{"'Sheet1'!$L$16"}</definedName>
    <definedName name="fdh">#REF!</definedName>
    <definedName name="fdhd">#REF!</definedName>
    <definedName name="fdhfdhd">#REF!</definedName>
    <definedName name="fds">#REF!</definedName>
    <definedName name="fdy">#REF!</definedName>
    <definedName name="fe" hidden="1">{"'Sheet1'!$L$16"}</definedName>
    <definedName name="ff">#REF!</definedName>
    <definedName name="fg">#REF!</definedName>
    <definedName name="fgdhg">#REF!</definedName>
    <definedName name="fgh">(#REF!,#REF!)</definedName>
    <definedName name="fghgfcjh">#REF!</definedName>
    <definedName name="fgs">#REF!</definedName>
    <definedName name="FHG">#REF!</definedName>
    <definedName name="fhgj">#REF!</definedName>
    <definedName name="Final_Copy">#REF!</definedName>
    <definedName name="FinCharge" localSheetId="47">#REF!</definedName>
    <definedName name="FinCharge">#REF!</definedName>
    <definedName name="FIVE_B">#REF!</definedName>
    <definedName name="FIXEDASSETS">#REF!</definedName>
    <definedName name="fjh">#REF!</definedName>
    <definedName name="fjhkl">#REF!</definedName>
    <definedName name="fluj">#REF!</definedName>
    <definedName name="FPY">#REF!</definedName>
    <definedName name="fr">#REF!</definedName>
    <definedName name="fs" hidden="1">{"'Sheet1'!$L$16"}</definedName>
    <definedName name="fsffg">#REF!</definedName>
    <definedName name="fsh">#REF!</definedName>
    <definedName name="FUEL">#REF!</definedName>
    <definedName name="Fuel_Exp_CY" localSheetId="46">#REF!</definedName>
    <definedName name="Fuel_Exp_CY" localSheetId="24">#REF!</definedName>
    <definedName name="Fuel_Exp_CY">#REF!</definedName>
    <definedName name="Fuel_Exp_EY" localSheetId="46">#REF!</definedName>
    <definedName name="Fuel_Exp_EY" localSheetId="24">#REF!</definedName>
    <definedName name="Fuel_Exp_EY">#REF!</definedName>
    <definedName name="Fuel_Exp_PY" localSheetId="46">#REF!</definedName>
    <definedName name="Fuel_Exp_PY" localSheetId="24">#REF!</definedName>
    <definedName name="Fuel_Exp_PY">#REF!</definedName>
    <definedName name="Function">#REF!</definedName>
    <definedName name="fxg">(#REF!,#REF!)</definedName>
    <definedName name="FY">#REF!</definedName>
    <definedName name="g">#REF!</definedName>
    <definedName name="gdfgg">#REF!</definedName>
    <definedName name="gdg" hidden="1">#REF!</definedName>
    <definedName name="gdhfdhfd">#REF!</definedName>
    <definedName name="gdsf">#REF!</definedName>
    <definedName name="gdsgdsgs" hidden="1">#REF!</definedName>
    <definedName name="geg">#REF!</definedName>
    <definedName name="GEN_LOSS_OUTAGES">#REF!</definedName>
    <definedName name="gf">#REF!</definedName>
    <definedName name="gfd">#REF!</definedName>
    <definedName name="gfdh">#REF!</definedName>
    <definedName name="gfgf" hidden="1">#REF!</definedName>
    <definedName name="gfh">#REF!</definedName>
    <definedName name="gfj">#REF!</definedName>
    <definedName name="gfjkgfikk">#REF!</definedName>
    <definedName name="gfxd">#REF!</definedName>
    <definedName name="gg">#REF!</definedName>
    <definedName name="gh">#REF!</definedName>
    <definedName name="ghj">#REF!</definedName>
    <definedName name="gid" hidden="1">{"'Sheet1'!$L$16"}</definedName>
    <definedName name="gj" hidden="1">{"'Sheet1'!$L$16"}</definedName>
    <definedName name="gjghhg">#REF!</definedName>
    <definedName name="gk0901int" hidden="1">{#N/A,#N/A,FALSE,"PMTABB";#N/A,#N/A,FALSE,"PMTABB"}</definedName>
    <definedName name="gkd" hidden="1">{"'Sheet1'!$L$16"}</definedName>
    <definedName name="gl">#REF!</definedName>
    <definedName name="GR" localSheetId="46">#REF!</definedName>
    <definedName name="GR" localSheetId="24">#REF!</definedName>
    <definedName name="GR">#REF!</definedName>
    <definedName name="gs">#REF!</definedName>
    <definedName name="gsd">#REF!</definedName>
    <definedName name="gse">#REF!</definedName>
    <definedName name="gsfd">#REF!</definedName>
    <definedName name="gtsd">#REF!</definedName>
    <definedName name="h">#REF!</definedName>
    <definedName name="HARDUAGANJ_B_COAL_GCV">#REF!</definedName>
    <definedName name="HARDUAGANJ_B_DSHR">#REF!</definedName>
    <definedName name="HARDUAGANJ_B_GEN">#REF!</definedName>
    <definedName name="HARDUAGANJ_B_SHR">#REF!</definedName>
    <definedName name="HARDUAGANJ_B_Sp_OIL_CON">#REF!</definedName>
    <definedName name="harshad" hidden="1">#REF!</definedName>
    <definedName name="hdf">#REF!</definedName>
    <definedName name="hdfg">#REF!</definedName>
    <definedName name="hfx">#REF!</definedName>
    <definedName name="hfxg">#REF!</definedName>
    <definedName name="hg">#REF!</definedName>
    <definedName name="hgfd">(#REF!,#REF!)</definedName>
    <definedName name="HGFJM">#REF!</definedName>
    <definedName name="hghg">#REF!</definedName>
    <definedName name="hgj">#REF!</definedName>
    <definedName name="hgz">#REF!</definedName>
    <definedName name="hh" hidden="1">{"'Detail Summary'!$A$1:$F$83"}</definedName>
    <definedName name="hjf" hidden="1">#REF!</definedName>
    <definedName name="hjfg">#REF!</definedName>
    <definedName name="hjfjhf">#REF!</definedName>
    <definedName name="hjk">#REF!</definedName>
    <definedName name="hkj">#REF!</definedName>
    <definedName name="HR_IMPACT">#REF!</definedName>
    <definedName name="HTML" hidden="1">{"'장비'!$A$3:$M$12"}</definedName>
    <definedName name="HTML_CodePage" hidden="1">1252</definedName>
    <definedName name="HTML_Control" hidden="1">{"'Sheet1'!$A$4386:$N$4591"}</definedName>
    <definedName name="HTML_Description" hidden="1">""</definedName>
    <definedName name="HTML_Email" hidden="1">""</definedName>
    <definedName name="HTML_Header" hidden="1">"Sheet1"</definedName>
    <definedName name="HTML_LastUpdate" hidden="1">"7/1/03"</definedName>
    <definedName name="HTML_LineAfter" hidden="1">FALSE</definedName>
    <definedName name="HTML_LineBefore" hidden="1">FALSE</definedName>
    <definedName name="HTML_Name" hidden="1">"m.p.raval"</definedName>
    <definedName name="HTML_OBDlg2" hidden="1">TRUE</definedName>
    <definedName name="HTML_OBDlg4" hidden="1">TRUE</definedName>
    <definedName name="HTML_OS" hidden="1">0</definedName>
    <definedName name="HTML_PathFile" hidden="1">"A:\MyHTML.htm"</definedName>
    <definedName name="HTML_Title" hidden="1">"SGSDaily Progress Report Piyaj toDharoi Pipeline"</definedName>
    <definedName name="hy">#REF!</definedName>
    <definedName name="HydroResLife">#REF!</definedName>
    <definedName name="HydroResLife16">#REF!</definedName>
    <definedName name="ICRP">#REF!</definedName>
    <definedName name="icrplist">#REF!</definedName>
    <definedName name="ie" hidden="1">{"'Sheet1'!$L$16"}</definedName>
    <definedName name="Inflationfactor">#REF!</definedName>
    <definedName name="Insurance_money_received">SUM(#REF!)</definedName>
    <definedName name="interest"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Interest_rate_for_working_capital___FY14">#REF!</definedName>
    <definedName name="Interest_rate_for_working_capital___FY15">#REF!</definedName>
    <definedName name="Interest_rate_for_working_capital___FY16">#REF!</definedName>
    <definedName name="Interest_rate_for_working_capital___FY17">#REF!</definedName>
    <definedName name="Interest_rate_for_working_capital___FY18">#REF!</definedName>
    <definedName name="Interest_rate_for_working_capital___FY19">#REF!</definedName>
    <definedName name="Interest_rate_for_working_capital___FY20">#REF!</definedName>
    <definedName name="InterestrateforworkingcapitalFY15">#REF!</definedName>
    <definedName name="IntRate_11" localSheetId="47">#REF!</definedName>
    <definedName name="IntRate_11">#REF!</definedName>
    <definedName name="IntRate_12" localSheetId="47">#REF!</definedName>
    <definedName name="IntRate_12">#REF!</definedName>
    <definedName name="IntRate_WC" localSheetId="47">#REF!</definedName>
    <definedName name="IntRate_WC">#REF!</definedName>
    <definedName name="IntRate_WC10" localSheetId="47">#REF!</definedName>
    <definedName name="IntRate_WC10">#REF!</definedName>
    <definedName name="IntRate_WC11" localSheetId="47">#REF!</definedName>
    <definedName name="IntRate_WC11">#REF!</definedName>
    <definedName name="IntRate_WC12" localSheetId="47">#REF!</definedName>
    <definedName name="IntRate_WC12">#REF!</definedName>
    <definedName name="IntRate12" localSheetId="46">#REF!</definedName>
    <definedName name="IntRate12" localSheetId="24">#REF!</definedName>
    <definedName name="IntRate12">#REF!</definedName>
    <definedName name="IntRate13" localSheetId="46">#REF!</definedName>
    <definedName name="IntRate13" localSheetId="24">#REF!</definedName>
    <definedName name="IntRate13">#REF!</definedName>
    <definedName name="IntRate14">#REF!</definedName>
    <definedName name="IntRate15">#REF!</definedName>
    <definedName name="IntRateWC11" localSheetId="46">#REF!</definedName>
    <definedName name="IntRateWC11" localSheetId="47">#REF!</definedName>
    <definedName name="IntRateWC11" localSheetId="24">#REF!</definedName>
    <definedName name="IntRateWC11">#REF!</definedName>
    <definedName name="IntRateWC12" localSheetId="46">#REF!</definedName>
    <definedName name="IntRateWC12" localSheetId="24">#REF!</definedName>
    <definedName name="IntRateWC12">#REF!</definedName>
    <definedName name="IntRateWC13" localSheetId="46">#REF!</definedName>
    <definedName name="IntRateWC13" localSheetId="24">#REF!</definedName>
    <definedName name="IntRateWC13">#REF!</definedName>
    <definedName name="IntRateWC14">#REF!</definedName>
    <definedName name="IntRateWC15">#REF!</definedName>
    <definedName name="IntRateWC17">#REF!</definedName>
    <definedName name="IntRateWC18">#REF!</definedName>
    <definedName name="IntRateWC19">#REF!</definedName>
    <definedName name="IntRateWC20">#REF!</definedName>
    <definedName name="Intt_Charge_cY" localSheetId="46">#REF!,#REF!</definedName>
    <definedName name="Intt_Charge_cY" localSheetId="24">#REF!,#REF!</definedName>
    <definedName name="Intt_Charge_cY">#REF!,#REF!</definedName>
    <definedName name="Intt_Charge_cy_1" localSheetId="47">#REF!,#REF!</definedName>
    <definedName name="Intt_Charge_cy_1">#REF!,#REF!</definedName>
    <definedName name="Intt_Charge_eY" localSheetId="46">#REF!,#REF!</definedName>
    <definedName name="Intt_Charge_eY" localSheetId="24">#REF!,#REF!</definedName>
    <definedName name="Intt_Charge_eY">#REF!,#REF!</definedName>
    <definedName name="Intt_Charge_ey_1" localSheetId="47">#REF!,#REF!</definedName>
    <definedName name="Intt_Charge_ey_1">#REF!,#REF!</definedName>
    <definedName name="Intt_Charge_PY" localSheetId="46">#REF!,#REF!</definedName>
    <definedName name="Intt_Charge_PY" localSheetId="24">#REF!,#REF!</definedName>
    <definedName name="Intt_Charge_PY">#REF!,#REF!</definedName>
    <definedName name="Intt_Charge_py_1" localSheetId="47">#REF!,#REF!</definedName>
    <definedName name="Intt_Charge_py_1">#REF!,#REF!</definedName>
    <definedName name="INVEST">#N/A</definedName>
    <definedName name="iop" hidden="1">{"'Sheet1'!$L$16"}</definedName>
    <definedName name="iowc16">#REF!</definedName>
    <definedName name="iowc17onwards">#REF!</definedName>
    <definedName name="Iowc18">#REF!</definedName>
    <definedName name="Iowc19onwards">#REF!</definedName>
    <definedName name="IP_COAL_GCV">#REF!</definedName>
    <definedName name="IP_DSHR">#REF!</definedName>
    <definedName name="IP_GEN">#REF!</definedName>
    <definedName name="IP_SHR">#REF!</definedName>
    <definedName name="IP_SP_OIL_CON">#REF!</definedName>
    <definedName name="is" hidden="1">{"'Sheet1'!$L$16"}</definedName>
    <definedName name="IsCircular" localSheetId="46">#REF!</definedName>
    <definedName name="IsCircular" localSheetId="24">#REF!</definedName>
    <definedName name="IsCircular">#REF!</definedName>
    <definedName name="it" hidden="1">{"'Sheet1'!$L$16"}</definedName>
    <definedName name="ITEM_NO">"stock"</definedName>
    <definedName name="iv2dt" hidden="1">#REF!</definedName>
    <definedName name="ivdt" hidden="1">#REF!</definedName>
    <definedName name="IYU9TC">#REF!</definedName>
    <definedName name="j">#REF!</definedName>
    <definedName name="jfg">#REF!</definedName>
    <definedName name="jg">#REF!</definedName>
    <definedName name="jgh">#REF!</definedName>
    <definedName name="jghfjfguj">#REF!</definedName>
    <definedName name="jh">#REF!</definedName>
    <definedName name="jhf" hidden="1">#REF!</definedName>
    <definedName name="jhl">#REF!</definedName>
    <definedName name="jjjj" hidden="1">#REF!</definedName>
    <definedName name="JJTSRF">#REF!</definedName>
    <definedName name="jk">#REF!</definedName>
    <definedName name="JLH">#REF!</definedName>
    <definedName name="jt">#REF!</definedName>
    <definedName name="juu56tgj">#REF!</definedName>
    <definedName name="JYT">#REF!</definedName>
    <definedName name="K">#REF!</definedName>
    <definedName name="k.jg.kjg">#REF!</definedName>
    <definedName name="K2000_">#N/A</definedName>
    <definedName name="KABOLINE" hidden="1">#REF!</definedName>
    <definedName name="Kha5ResLife">#REF!</definedName>
    <definedName name="Khap5ResLife16">#REF!</definedName>
    <definedName name="khaperkheda">#REF!</definedName>
    <definedName name="KhapResLife16">#REF!</definedName>
    <definedName name="KhaResLife">#REF!</definedName>
    <definedName name="KJG">#REF!</definedName>
    <definedName name="KJG.">#REF!</definedName>
    <definedName name="kjh">#REF!</definedName>
    <definedName name="kjhl">(#REF!,#REF!)</definedName>
    <definedName name="KKK" hidden="1">#REF!</definedName>
    <definedName name="KL">#REF!</definedName>
    <definedName name="KoraResLife16">#REF!</definedName>
    <definedName name="KoraResLife17">#REF!</definedName>
    <definedName name="KorResLife">#REF!</definedName>
    <definedName name="KOTA_COAL_GCV">#REF!</definedName>
    <definedName name="KOTA_DSHR">#REF!</definedName>
    <definedName name="KOTA_GEN">#REF!</definedName>
    <definedName name="KOTA_SHR">#REF!</definedName>
    <definedName name="KOTA_Sp_OIL_CON">#REF!</definedName>
    <definedName name="KTPS">#REF!</definedName>
    <definedName name="kuf">#REF!</definedName>
    <definedName name="kujg">#REF!</definedName>
    <definedName name="l">#REF!</definedName>
    <definedName name="L_Adjust">#REF!</definedName>
    <definedName name="L_AJE_Tot">#REF!</definedName>
    <definedName name="L_CY_Beg">#REF!</definedName>
    <definedName name="L_CY_End">#REF!</definedName>
    <definedName name="L_PY_End">#REF!</definedName>
    <definedName name="L_RJE_Tot">#REF!</definedName>
    <definedName name="LAC">#REF!</definedName>
    <definedName name="Last_Row">#N/A</definedName>
    <definedName name="Lease_Rent_Received">"income"</definedName>
    <definedName name="LEHRAMOHABBAT_COAL_GCV">#REF!</definedName>
    <definedName name="LEHRAMOHABBAT_DSHR">#REF!</definedName>
    <definedName name="LEHRAMOHABBAT_GEN">#REF!</definedName>
    <definedName name="LEHRAMOHABBAT_SHR">#REF!</definedName>
    <definedName name="LEHRAMOHABBAT_Sp_OIL_CON">#REF!</definedName>
    <definedName name="List_1">#REF!</definedName>
    <definedName name="lkl">#REF!</definedName>
    <definedName name="LLL" hidden="1">#REF!</definedName>
    <definedName name="LOSS_DUE_TO_ANY_OTHER_PROBLEMS">#REF!</definedName>
    <definedName name="LTR_M_NEW" localSheetId="46">#REF!</definedName>
    <definedName name="LTR_M_NEW" localSheetId="24">#REF!</definedName>
    <definedName name="LTR_M_NEW">#REF!</definedName>
    <definedName name="LTR_MOR" localSheetId="46">#REF!</definedName>
    <definedName name="LTR_MOR" localSheetId="24">#REF!</definedName>
    <definedName name="LTR_MOR">#REF!</definedName>
    <definedName name="m">#REF!</definedName>
    <definedName name="mbhv">#REF!</definedName>
    <definedName name="mc">#REF!</definedName>
    <definedName name="MethodAcc">#REF!</definedName>
    <definedName name="mfhx">#REF!</definedName>
    <definedName name="mhdt" hidden="1">#REF!</definedName>
    <definedName name="mhgd" hidden="1">#REF!</definedName>
    <definedName name="MHM">#REF!</definedName>
    <definedName name="mn" hidden="1">{"'Sheet1'!$L$16"}</definedName>
    <definedName name="MONTH">#REF!</definedName>
    <definedName name="MStVal">#REF!</definedName>
    <definedName name="name">#REF!</definedName>
    <definedName name="Nashik" hidden="1">#REF!</definedName>
    <definedName name="NashResLife16">#REF!</definedName>
    <definedName name="NasResLife">#REF!</definedName>
    <definedName name="NatureBusiness">#REF!</definedName>
    <definedName name="nbdvqn">#REF!</definedName>
    <definedName name="NBhusResLife">#REF!</definedName>
    <definedName name="new" localSheetId="23" hidden="1">#REF!</definedName>
    <definedName name="new" localSheetId="45" hidden="1">#REF!</definedName>
    <definedName name="new" localSheetId="46" hidden="1">#REF!</definedName>
    <definedName name="new" localSheetId="47" hidden="1">#REF!</definedName>
    <definedName name="new" localSheetId="48" hidden="1">#REF!</definedName>
    <definedName name="new" localSheetId="19" hidden="1">#REF!</definedName>
    <definedName name="new" localSheetId="24" hidden="1">#REF!</definedName>
    <definedName name="new" localSheetId="18" hidden="1">#REF!</definedName>
    <definedName name="new" hidden="1">#REF!</definedName>
    <definedName name="nis" hidden="1">#REF!</definedName>
    <definedName name="NParliResLife">#REF!</definedName>
    <definedName name="Number_of_Payments">#N/A</definedName>
    <definedName name="O" localSheetId="46">#REF!</definedName>
    <definedName name="O" localSheetId="24">#REF!</definedName>
    <definedName name="O">#REF!</definedName>
    <definedName name="OBRA_A_COAL_GCV">#REF!</definedName>
    <definedName name="OBRA_A_DSHR">#REF!</definedName>
    <definedName name="OBRA_A_GEN">#REF!</definedName>
    <definedName name="OBRA_A_SHR">#REF!</definedName>
    <definedName name="OBRA_A_Sp_OIL_CON">#REF!</definedName>
    <definedName name="OBRA_B_COAL_GCV">#REF!</definedName>
    <definedName name="OBRA_B_DSHR">#REF!</definedName>
    <definedName name="OBRA_B_GEN">#REF!</definedName>
    <definedName name="OBRA_B_SHR">#REF!</definedName>
    <definedName name="OBRA_B_Sp_OIL_CON">#REF!</definedName>
    <definedName name="OBRA_COAL_GCV">#REF!</definedName>
    <definedName name="OBRA_DSHR">#REF!</definedName>
    <definedName name="OBRA_GEN">#REF!</definedName>
    <definedName name="OBRA_SHR">#REF!</definedName>
    <definedName name="OBRA_Sp_OIL_CON">#REF!</definedName>
    <definedName name="officeq">#REF!</definedName>
    <definedName name="OIL_LD_BKDN">#REF!</definedName>
    <definedName name="Oil_page">#REF!</definedName>
    <definedName name="OK" hidden="1">#REF!</definedName>
    <definedName name="oxybel_interest">SUM(#REF!)</definedName>
    <definedName name="p" localSheetId="46">#REF!</definedName>
    <definedName name="p" localSheetId="24">#REF!</definedName>
    <definedName name="p">#REF!</definedName>
    <definedName name="pacf">#REF!</definedName>
    <definedName name="PAGE1" localSheetId="46">#REF!</definedName>
    <definedName name="PAGE1" localSheetId="24">#REF!</definedName>
    <definedName name="PAGE1">#REF!</definedName>
    <definedName name="page10" localSheetId="46">#REF!</definedName>
    <definedName name="page10" localSheetId="24">#REF!</definedName>
    <definedName name="page10">#REF!</definedName>
    <definedName name="PAGE10_6" localSheetId="46">#REF!</definedName>
    <definedName name="PAGE10_6" localSheetId="24">#REF!</definedName>
    <definedName name="PAGE10_6">#REF!</definedName>
    <definedName name="PAGE11">#REF!</definedName>
    <definedName name="PAGE11_6" localSheetId="46">#REF!</definedName>
    <definedName name="PAGE11_6" localSheetId="24">#REF!</definedName>
    <definedName name="PAGE11_6">#REF!</definedName>
    <definedName name="PAGE12">#REF!</definedName>
    <definedName name="PAGE12_6" localSheetId="46">#REF!</definedName>
    <definedName name="PAGE12_6" localSheetId="24">#REF!</definedName>
    <definedName name="PAGE12_6">#REF!</definedName>
    <definedName name="PAGE13">#REF!</definedName>
    <definedName name="PAGE14" localSheetId="46">#REF!</definedName>
    <definedName name="PAGE14" localSheetId="24">#REF!</definedName>
    <definedName name="PAGE14">#REF!</definedName>
    <definedName name="PAGE15" localSheetId="46">#REF!</definedName>
    <definedName name="PAGE15" localSheetId="24">#REF!</definedName>
    <definedName name="PAGE15">#REF!</definedName>
    <definedName name="PAGE16" localSheetId="46">#REF!</definedName>
    <definedName name="PAGE16" localSheetId="24">#REF!</definedName>
    <definedName name="PAGE16">#REF!</definedName>
    <definedName name="PAGE17" localSheetId="46">#REF!</definedName>
    <definedName name="PAGE17" localSheetId="24">#REF!</definedName>
    <definedName name="PAGE17">#REF!</definedName>
    <definedName name="PAGE18" localSheetId="46">#REF!</definedName>
    <definedName name="PAGE18" localSheetId="24">#REF!</definedName>
    <definedName name="PAGE18">#REF!</definedName>
    <definedName name="PAGE19" localSheetId="46">#REF!</definedName>
    <definedName name="PAGE19" localSheetId="24">#REF!</definedName>
    <definedName name="PAGE19">#REF!</definedName>
    <definedName name="PAGE2" localSheetId="46">#REF!</definedName>
    <definedName name="PAGE2" localSheetId="24">#REF!</definedName>
    <definedName name="PAGE2">#REF!</definedName>
    <definedName name="PAGE2_6" localSheetId="46">#REF!</definedName>
    <definedName name="PAGE2_6" localSheetId="24">#REF!</definedName>
    <definedName name="PAGE2_6">#REF!</definedName>
    <definedName name="PAGE20" localSheetId="46">#REF!</definedName>
    <definedName name="PAGE20" localSheetId="24">#REF!</definedName>
    <definedName name="PAGE20">#REF!</definedName>
    <definedName name="PAGE21" localSheetId="46">#REF!</definedName>
    <definedName name="PAGE21" localSheetId="24">#REF!</definedName>
    <definedName name="PAGE21">#REF!</definedName>
    <definedName name="PAGE210" localSheetId="46">#REF!</definedName>
    <definedName name="PAGE210" localSheetId="24">#REF!</definedName>
    <definedName name="PAGE210">#REF!</definedName>
    <definedName name="PAGE22" localSheetId="46">#REF!</definedName>
    <definedName name="PAGE22" localSheetId="24">#REF!</definedName>
    <definedName name="PAGE22">#REF!</definedName>
    <definedName name="PAGE23" localSheetId="46">#REF!</definedName>
    <definedName name="PAGE23" localSheetId="24">#REF!</definedName>
    <definedName name="PAGE23">#REF!</definedName>
    <definedName name="PAGE24" localSheetId="46">#REF!</definedName>
    <definedName name="PAGE24" localSheetId="24">#REF!</definedName>
    <definedName name="PAGE24">#REF!</definedName>
    <definedName name="PAGE25" localSheetId="46">#REF!</definedName>
    <definedName name="PAGE25" localSheetId="24">#REF!</definedName>
    <definedName name="PAGE25">#REF!</definedName>
    <definedName name="PAGE26" localSheetId="46">#REF!</definedName>
    <definedName name="PAGE26" localSheetId="24">#REF!</definedName>
    <definedName name="PAGE26">#REF!</definedName>
    <definedName name="PAGE27" localSheetId="46">#REF!</definedName>
    <definedName name="PAGE27" localSheetId="24">#REF!</definedName>
    <definedName name="PAGE27">#REF!</definedName>
    <definedName name="PAGE28" localSheetId="46">#REF!</definedName>
    <definedName name="PAGE28" localSheetId="24">#REF!</definedName>
    <definedName name="PAGE28">#REF!</definedName>
    <definedName name="PAGE29" localSheetId="46">#REF!</definedName>
    <definedName name="PAGE29" localSheetId="24">#REF!</definedName>
    <definedName name="PAGE29">#REF!</definedName>
    <definedName name="PAGE3">#REF!</definedName>
    <definedName name="PAGE3_6" localSheetId="46">#REF!</definedName>
    <definedName name="PAGE3_6" localSheetId="24">#REF!</definedName>
    <definedName name="PAGE3_6">#REF!</definedName>
    <definedName name="PAGE30">#REF!</definedName>
    <definedName name="PAGE31">#REF!</definedName>
    <definedName name="page34" localSheetId="46">#REF!</definedName>
    <definedName name="page34" localSheetId="24">#REF!</definedName>
    <definedName name="page34">#REF!</definedName>
    <definedName name="Page35" localSheetId="46">#REF!</definedName>
    <definedName name="Page35" localSheetId="24">#REF!</definedName>
    <definedName name="Page35">#REF!</definedName>
    <definedName name="PAGE4">#REF!</definedName>
    <definedName name="PAGE4_6" localSheetId="46">#REF!</definedName>
    <definedName name="PAGE4_6" localSheetId="24">#REF!</definedName>
    <definedName name="PAGE4_6">#REF!</definedName>
    <definedName name="PAGE5">#REF!</definedName>
    <definedName name="PAGE5_6" localSheetId="46">#REF!</definedName>
    <definedName name="PAGE5_6" localSheetId="24">#REF!</definedName>
    <definedName name="PAGE5_6">#REF!</definedName>
    <definedName name="page50" localSheetId="46">#REF!</definedName>
    <definedName name="page50" localSheetId="24">#REF!</definedName>
    <definedName name="page50">#REF!</definedName>
    <definedName name="page51" localSheetId="46">#REF!</definedName>
    <definedName name="page51" localSheetId="24">#REF!</definedName>
    <definedName name="page51">#REF!</definedName>
    <definedName name="page52" localSheetId="46">#REF!</definedName>
    <definedName name="page52" localSheetId="24">#REF!</definedName>
    <definedName name="page52">#REF!</definedName>
    <definedName name="PAGE6" localSheetId="46">#REF!</definedName>
    <definedName name="PAGE6" localSheetId="24">#REF!</definedName>
    <definedName name="PAGE6">#REF!</definedName>
    <definedName name="PAGE6_6" localSheetId="46">#REF!</definedName>
    <definedName name="PAGE6_6" localSheetId="24">#REF!</definedName>
    <definedName name="PAGE6_6">#REF!</definedName>
    <definedName name="PAGE7" localSheetId="46">#REF!</definedName>
    <definedName name="PAGE7" localSheetId="24">#REF!</definedName>
    <definedName name="PAGE7">#REF!</definedName>
    <definedName name="PAGE7_6" localSheetId="46">#REF!</definedName>
    <definedName name="PAGE7_6" localSheetId="24">#REF!</definedName>
    <definedName name="PAGE7_6">#REF!</definedName>
    <definedName name="PAGE8" localSheetId="46">#REF!</definedName>
    <definedName name="PAGE8" localSheetId="24">#REF!</definedName>
    <definedName name="PAGE8">#REF!</definedName>
    <definedName name="PAGE8_6U1A" localSheetId="46">#REF!</definedName>
    <definedName name="PAGE8_6U1A" localSheetId="24">#REF!</definedName>
    <definedName name="PAGE8_6U1A">#REF!</definedName>
    <definedName name="PAGE8_6U1B" localSheetId="46">#REF!</definedName>
    <definedName name="PAGE8_6U1B" localSheetId="24">#REF!</definedName>
    <definedName name="PAGE8_6U1B">#REF!</definedName>
    <definedName name="PAGE8_6U2A" localSheetId="46">#REF!</definedName>
    <definedName name="PAGE8_6U2A" localSheetId="24">#REF!</definedName>
    <definedName name="PAGE8_6U2A">#REF!</definedName>
    <definedName name="PAGE8_6U2B" localSheetId="46">#REF!</definedName>
    <definedName name="PAGE8_6U2B" localSheetId="24">#REF!</definedName>
    <definedName name="PAGE8_6U2B">#REF!</definedName>
    <definedName name="PAGE8_6U3A" localSheetId="46">#REF!</definedName>
    <definedName name="PAGE8_6U3A" localSheetId="24">#REF!</definedName>
    <definedName name="PAGE8_6U3A">#REF!</definedName>
    <definedName name="PAGE8_6U3B" localSheetId="46">#REF!</definedName>
    <definedName name="PAGE8_6U3B" localSheetId="24">#REF!</definedName>
    <definedName name="PAGE8_6U3B">#REF!</definedName>
    <definedName name="PAGE9" localSheetId="46">#REF!</definedName>
    <definedName name="PAGE9" localSheetId="24">#REF!</definedName>
    <definedName name="PAGE9">#REF!</definedName>
    <definedName name="PAGE9_6" localSheetId="46">#REF!</definedName>
    <definedName name="PAGE9_6" localSheetId="24">#REF!</definedName>
    <definedName name="PAGE9_6">#REF!</definedName>
    <definedName name="paidadams">SUM(#REF!)</definedName>
    <definedName name="paidchemineer">SUM(#REF!)</definedName>
    <definedName name="paidcopes">SUM(#REF!)</definedName>
    <definedName name="paiddba">SUM(#REF!)</definedName>
    <definedName name="paiddelavan">SUM(#REF!)</definedName>
    <definedName name="paiddkm51">SUM(#REF!)</definedName>
    <definedName name="paiddkm52">SUM(#REF!)</definedName>
    <definedName name="paidemba">SUM(#REF!)</definedName>
    <definedName name="paidenviro">SUM(#REF!)</definedName>
    <definedName name="paidflowserve">SUM(#REF!)</definedName>
    <definedName name="paidfmc">SUM(#REF!)</definedName>
    <definedName name="paidgeveke149">SUM(#REF!)</definedName>
    <definedName name="paidgeveke80">SUM(#REF!)</definedName>
    <definedName name="paidgeveke81">SUM(#REF!)</definedName>
    <definedName name="paidghhb">SUM(#REF!)</definedName>
    <definedName name="paidgutor110">SUM(#REF!)</definedName>
    <definedName name="paidgutor96">SUM(#REF!)</definedName>
    <definedName name="paidhamw">SUM(#REF!)</definedName>
    <definedName name="paidheurtey">SUM(#REF!)</definedName>
    <definedName name="paidhmd">SUM(#REF!)</definedName>
    <definedName name="paidhydro">SUM(#REF!)</definedName>
    <definedName name="paidkerp">SUM(#REF!)</definedName>
    <definedName name="paidkiekens">SUM(#REF!)</definedName>
    <definedName name="paidklinger">SUM(#REF!)</definedName>
    <definedName name="paidkoch">SUM(#REF!)</definedName>
    <definedName name="paidkuervers">SUM(#REF!)</definedName>
    <definedName name="paidliebert">SUM(#REF!)</definedName>
    <definedName name="paidliebherr">SUM(#REF!)</definedName>
    <definedName name="paidmann">SUM(#REF!)</definedName>
    <definedName name="paidmrm">SUM(#REF!)</definedName>
    <definedName name="paidnat">SUM(#REF!)</definedName>
    <definedName name="paidnp">SUM(#REF!)</definedName>
    <definedName name="paidods">SUM(#REF!)</definedName>
    <definedName name="paidoxybel951">SUM(#REF!)</definedName>
    <definedName name="paidoxybel952">SUM(#REF!)</definedName>
    <definedName name="paidpirelli">SUM(#REF!)</definedName>
    <definedName name="paidsafex">SUM(#REF!)</definedName>
    <definedName name="paidschulz">SUM(#REF!)</definedName>
    <definedName name="paidsirco">SUM(#REF!)</definedName>
    <definedName name="paidtaprogge">SUM(#REF!)</definedName>
    <definedName name="paidthermoheat165">SUM(#REF!)</definedName>
    <definedName name="paidthermoheat175">SUM(#REF!)</definedName>
    <definedName name="paidyokogawa">SUM(#REF!)</definedName>
    <definedName name="paidyork">SUM(#REF!)</definedName>
    <definedName name="PANIPAT_COAL_GCV">#REF!</definedName>
    <definedName name="PANIPAT_DSHR">#REF!</definedName>
    <definedName name="PANIPAT_GEN">#REF!</definedName>
    <definedName name="PANIPAT_SHR">#REF!</definedName>
    <definedName name="PANIPAT_Sp_OIL_CON">#REF!</definedName>
    <definedName name="PANKI_COAL_GCV">#REF!</definedName>
    <definedName name="PANKI_DSHR">#REF!</definedName>
    <definedName name="PANKI_GEN">#REF!</definedName>
    <definedName name="PANKI_SHR">#REF!</definedName>
    <definedName name="PANKI_Sp_OIL_CON">#REF!</definedName>
    <definedName name="ParasBL17">#REF!</definedName>
    <definedName name="ParasResLife">#REF!</definedName>
    <definedName name="ParasResLife16">#REF!</definedName>
    <definedName name="PARICHA_COAL_GCV">#REF!</definedName>
    <definedName name="PARICHA_DSHR">#REF!</definedName>
    <definedName name="PARICHA_GEN">#REF!</definedName>
    <definedName name="PARICHA_SHR">#REF!</definedName>
    <definedName name="PARICHA_Sp_OIL_CON">#REF!</definedName>
    <definedName name="Parli67ResLife16">#REF!</definedName>
    <definedName name="ParliResLife">#REF!</definedName>
    <definedName name="ParliResLife16">#REF!</definedName>
    <definedName name="ParliResLife17">#REF!</definedName>
    <definedName name="PartDesignation">#REF!</definedName>
    <definedName name="pas">#REF!</definedName>
    <definedName name="Peak1">#REF!</definedName>
    <definedName name="Peak2">#REF!</definedName>
    <definedName name="Peak3">#REF!</definedName>
    <definedName name="Peak4">#REF!</definedName>
    <definedName name="perf">#REF!</definedName>
    <definedName name="PERFORMANCE">#REF!</definedName>
    <definedName name="PG" hidden="1">#REF!</definedName>
    <definedName name="POI" hidden="1">#REF!</definedName>
    <definedName name="Pop_Ratio" localSheetId="46">#REF!</definedName>
    <definedName name="Pop_Ratio" localSheetId="24">#REF!</definedName>
    <definedName name="Pop_Ratio">#REF!</definedName>
    <definedName name="pp" hidden="1">#REF!</definedName>
    <definedName name="PRF_1" localSheetId="46">#REF!</definedName>
    <definedName name="PRF_1" localSheetId="24">#REF!</definedName>
    <definedName name="PRF_1">#REF!</definedName>
    <definedName name="PRF_2_P1" localSheetId="46">#REF!</definedName>
    <definedName name="PRF_2_P1" localSheetId="24">#REF!</definedName>
    <definedName name="PRF_2_P1">#REF!</definedName>
    <definedName name="PRF_2_P2" localSheetId="46">#REF!</definedName>
    <definedName name="PRF_2_P2" localSheetId="24">#REF!</definedName>
    <definedName name="PRF_2_P2">#REF!</definedName>
    <definedName name="PRF_3_AN1" localSheetId="46">#REF!</definedName>
    <definedName name="PRF_3_AN1" localSheetId="24">#REF!</definedName>
    <definedName name="PRF_3_AN1">#REF!</definedName>
    <definedName name="PRF_3_AN2" localSheetId="46">#REF!</definedName>
    <definedName name="PRF_3_AN2" localSheetId="24">#REF!</definedName>
    <definedName name="PRF_3_AN2">#REF!</definedName>
    <definedName name="PRF_3_AN3" localSheetId="46">#REF!</definedName>
    <definedName name="PRF_3_AN3" localSheetId="24">#REF!</definedName>
    <definedName name="PRF_3_AN3">#REF!</definedName>
    <definedName name="Price_hike_Domestic_Coal">#REF!</definedName>
    <definedName name="Price_hike_FO">#REF!</definedName>
    <definedName name="Price_hike_Imported_Coal">#REF!</definedName>
    <definedName name="Price_hike_LDO">#REF!</definedName>
    <definedName name="_xlnm.Print_Area" localSheetId="2">'F1'!$A$1:$X$34</definedName>
    <definedName name="_xlnm.Print_Area" localSheetId="3">F1.1!$A$1:$R$19</definedName>
    <definedName name="_xlnm.Print_Area" localSheetId="35">'F11'!$A$1:$T$29</definedName>
    <definedName name="_xlnm.Print_Area" localSheetId="37">'F13'!$A$1:$F$42</definedName>
    <definedName name="_xlnm.Print_Area" localSheetId="46">#REF!</definedName>
    <definedName name="_xlnm.Print_Area" localSheetId="48">'F17 '!$A$1:$J$109</definedName>
    <definedName name="_xlnm.Print_Area" localSheetId="4">F2.1!$A$1:$Y$62</definedName>
    <definedName name="_xlnm.Print_Area" localSheetId="5">F2.2!$A$1:$Y$198</definedName>
    <definedName name="_xlnm.Print_Area" localSheetId="7">F2.3!$A$1:$V$141</definedName>
    <definedName name="_xlnm.Print_Area" localSheetId="8">F2.4!$A$1:$N$74</definedName>
    <definedName name="_xlnm.Print_Area" localSheetId="9">F2.5!$A$1:$T$19</definedName>
    <definedName name="_xlnm.Print_Area" localSheetId="10">F2.6!$A$1:$U$19</definedName>
    <definedName name="_xlnm.Print_Area" localSheetId="11">F2.7!$A$1:$N$36</definedName>
    <definedName name="_xlnm.Print_Area" localSheetId="12">F2.8!$A$1:$P$20</definedName>
    <definedName name="_xlnm.Print_Area" localSheetId="13">'F3'!$A$1:$X$35</definedName>
    <definedName name="_xlnm.Print_Area" localSheetId="14">F3.1!$A$1:$AG$69</definedName>
    <definedName name="_xlnm.Print_Area" localSheetId="15">F3.2!$A$1:$M$79</definedName>
    <definedName name="_xlnm.Print_Area" localSheetId="17">F3.4!$A$1:$I$25</definedName>
    <definedName name="_xlnm.Print_Area" localSheetId="20">F4.1!$A$1:$S$69</definedName>
    <definedName name="_xlnm.Print_Area" localSheetId="25">'F5'!$A$1:$AG$168</definedName>
    <definedName name="_xlnm.Print_Area" localSheetId="24">#REF!</definedName>
    <definedName name="_xlnm.Print_Area" localSheetId="26">'F5.1 (N)'!$A$1:$AD$93</definedName>
    <definedName name="_xlnm.Print_Area" localSheetId="27">'F6'!$A$1:$R$130</definedName>
    <definedName name="_xlnm.Print_Area" localSheetId="28">'F7'!$A$1:$R$45</definedName>
    <definedName name="_xlnm.Print_Area" localSheetId="30">'F9'!$A$1:$N$14</definedName>
    <definedName name="_xlnm.Print_Area" localSheetId="1">Index!$A$1:$D$58</definedName>
    <definedName name="_xlnm.Print_Area">#REF!</definedName>
    <definedName name="PRINT_AREA_MI" localSheetId="46">#REF!</definedName>
    <definedName name="PRINT_AREA_MI" localSheetId="24">#REF!</definedName>
    <definedName name="PRINT_AREA_MI">#REF!</definedName>
    <definedName name="_xlnm.Print_Titles" localSheetId="4">F2.1!$B:$D,F2.1!$1:$9</definedName>
    <definedName name="_xlnm.Print_Titles" localSheetId="5">F2.2!$B:$D,F2.2!$1:$8</definedName>
    <definedName name="_xlnm.Print_Titles" localSheetId="7">F2.3!$B:$D,F2.3!$1:$9</definedName>
    <definedName name="_xlnm.Print_Titles" localSheetId="8">F2.4!$2:$4</definedName>
    <definedName name="_xlnm.Print_Titles" localSheetId="9">F2.5!$B:$D,F2.5!$2:$4</definedName>
    <definedName name="_xlnm.Print_Titles">#REF!</definedName>
    <definedName name="PrintPG1">#REF!</definedName>
    <definedName name="pritam" hidden="1">#REF!</definedName>
    <definedName name="PROPOSED_GEN">#REF!</definedName>
    <definedName name="PROPOSED_GENERATION_REPORT">#REF!</definedName>
    <definedName name="PUR">#N/A</definedName>
    <definedName name="PY">#REF!</definedName>
    <definedName name="q" localSheetId="47" hidden="1">{"'Sheet1'!$A$4386:$N$4591"}</definedName>
    <definedName name="q">#REF!,#REF!</definedName>
    <definedName name="RAJGHAT_COAL_GCV">#REF!</definedName>
    <definedName name="RAJGHAT_DSHR">#REF!</definedName>
    <definedName name="RAJGHAT_GEN">#REF!</definedName>
    <definedName name="RAJGHAT_SHR">#REF!</definedName>
    <definedName name="RAJGHAT_Sp_OIL_CON">#REF!</definedName>
    <definedName name="rf">#REF!</definedName>
    <definedName name="rhfs">#REF!</definedName>
    <definedName name="rid" hidden="1">{"'Sheet1'!$L$16"}</definedName>
    <definedName name="RIHAND_COAL_GCV">#REF!</definedName>
    <definedName name="RIHAND_DSHR">#REF!</definedName>
    <definedName name="RIHAND_GEN">#REF!</definedName>
    <definedName name="RIHAND_SHR">#REF!</definedName>
    <definedName name="RIHAND_Sp_OIL_CON">#REF!</definedName>
    <definedName name="RJYT">#REF!</definedName>
    <definedName name="RMB">#REF!</definedName>
    <definedName name="ROEFY1718">#REF!</definedName>
    <definedName name="ROEFY1819">#REF!</definedName>
    <definedName name="ROEFY1920">#REF!</definedName>
    <definedName name="ROEFY2021">#REF!</definedName>
    <definedName name="ROEFY2122">#REF!</definedName>
    <definedName name="ROEFY2223">#REF!</definedName>
    <definedName name="ROEFY2324">#REF!</definedName>
    <definedName name="ROEFY2425">#REF!</definedName>
    <definedName name="ROff">#REF!</definedName>
    <definedName name="ROPAR_COAL_GCV">#REF!</definedName>
    <definedName name="ROPAR_DSHR">#REF!</definedName>
    <definedName name="ROPAR_GEN">#REF!</definedName>
    <definedName name="ROPAR_SHR">#REF!</definedName>
    <definedName name="ROPAR_Sp_OIL_CON">#REF!</definedName>
    <definedName name="rsd">#REF!</definedName>
    <definedName name="RSIN">#REF!</definedName>
    <definedName name="RSWTJY">#REF!</definedName>
    <definedName name="RSYTJ">#REF!</definedName>
    <definedName name="RUJ6T">#REF!</definedName>
    <definedName name="RVI" hidden="1">#REF!</definedName>
    <definedName name="ryt">#REF!</definedName>
    <definedName name="rz">#REF!</definedName>
    <definedName name="S" localSheetId="46">#REF!</definedName>
    <definedName name="S" localSheetId="24">#REF!</definedName>
    <definedName name="S">#REF!</definedName>
    <definedName name="S.1.4.3" hidden="1">{"Edition",#N/A,FALSE,"Data"}</definedName>
    <definedName name="S_CY_End_Data">#REF!</definedName>
    <definedName name="sa">#REF!</definedName>
    <definedName name="saed">#REF!</definedName>
    <definedName name="SANAND" hidden="1">{"'Sheet1'!$A$4386:$N$4591"}</definedName>
    <definedName name="SAPBEXdnldView" hidden="1">"3SB8LZCV0XHZU35V9QQ6GS6J7"</definedName>
    <definedName name="SAPBEXhrIndnt" hidden="1">"Wide"</definedName>
    <definedName name="SAPBEXrevision" hidden="1">1</definedName>
    <definedName name="SAPBEXsysID" hidden="1">"BP1"</definedName>
    <definedName name="SAPBEXwbID" hidden="1">"48XGN254XWMWREP3UDT6NQGM1"</definedName>
    <definedName name="SAPsysID" hidden="1">"708C5W7SBKP804JT78WJ0JNKI"</definedName>
    <definedName name="SAPwbID" hidden="1">"ARS"</definedName>
    <definedName name="sch4.1">#REF!</definedName>
    <definedName name="SCHv">#REF!</definedName>
    <definedName name="sd" hidden="1">{"'Sheet1'!$L$16"}</definedName>
    <definedName name="SDF">#REF!</definedName>
    <definedName name="sdfgdfg">#REF!</definedName>
    <definedName name="SDJH">#REF!</definedName>
    <definedName name="sdrf">#REF!</definedName>
    <definedName name="sdt">#REF!</definedName>
    <definedName name="sdz">#REF!</definedName>
    <definedName name="se">#REF!</definedName>
    <definedName name="SECOAL" localSheetId="46">#REF!</definedName>
    <definedName name="SECOAL" localSheetId="24">#REF!</definedName>
    <definedName name="SECOAL">#REF!</definedName>
    <definedName name="sed">#REF!</definedName>
    <definedName name="sEGT">#REF!</definedName>
    <definedName name="SEOREP" localSheetId="46">#REF!</definedName>
    <definedName name="SEOREP" localSheetId="24">#REF!</definedName>
    <definedName name="SEOREP">#REF!</definedName>
    <definedName name="Sept2" hidden="1">#REF!</definedName>
    <definedName name="ser">#REF!</definedName>
    <definedName name="serd">#REF!</definedName>
    <definedName name="SEREPORT" localSheetId="46">#REF!</definedName>
    <definedName name="SEREPORT" localSheetId="24">#REF!</definedName>
    <definedName name="SEREPORT">#REF!</definedName>
    <definedName name="setdg">#REF!</definedName>
    <definedName name="seyh">#REF!</definedName>
    <definedName name="sf">#REF!</definedName>
    <definedName name="sfd">#REF!</definedName>
    <definedName name="SFG">#REF!</definedName>
    <definedName name="SFGJ">#REF!</definedName>
    <definedName name="sfjt">#REF!</definedName>
    <definedName name="sfrd">#REF!</definedName>
    <definedName name="SFRJ">#REF!</definedName>
    <definedName name="SFRT">#REF!</definedName>
    <definedName name="SFRTJH">#REF!</definedName>
    <definedName name="SFYJ">#REF!</definedName>
    <definedName name="sg">#REF!</definedName>
    <definedName name="shft1" localSheetId="47">#REF!</definedName>
    <definedName name="shft1">#REF!</definedName>
    <definedName name="shftI" localSheetId="47">#REF!</definedName>
    <definedName name="shftI">#REF!</definedName>
    <definedName name="shweta">#REF!</definedName>
    <definedName name="SINGRAULI_COAL_GCV">#REF!</definedName>
    <definedName name="SINGRAULI_DSHR">#REF!</definedName>
    <definedName name="SINGRAULI_GEN">#REF!</definedName>
    <definedName name="SINGRAULI_SHR">#REF!</definedName>
    <definedName name="SINGRAULI_Sp_OIL_CON">#REF!</definedName>
    <definedName name="sjedtk">#REF!</definedName>
    <definedName name="SKF">#N/A</definedName>
    <definedName name="SL">#REF!</definedName>
    <definedName name="spcl">#REF!</definedName>
    <definedName name="spcl1">#REF!</definedName>
    <definedName name="sr">#REF!</definedName>
    <definedName name="SRFJ">#REF!</definedName>
    <definedName name="SRFTHJ">#REF!</definedName>
    <definedName name="SRJTY">#REF!</definedName>
    <definedName name="SRJY">#REF!</definedName>
    <definedName name="SRJYT">#REF!</definedName>
    <definedName name="SRTJ">#REF!</definedName>
    <definedName name="SRTYJ">#REF!</definedName>
    <definedName name="SRYJ">#REF!</definedName>
    <definedName name="SRYTJ">#REF!</definedName>
    <definedName name="SSSSS" hidden="1">#REF!</definedName>
    <definedName name="ssssssssss" hidden="1">#REF!</definedName>
    <definedName name="States">#REF!</definedName>
    <definedName name="STATION">#REF!</definedName>
    <definedName name="STG_I">#REF!</definedName>
    <definedName name="STG_II">#REF!</definedName>
    <definedName name="STJ">#REF!</definedName>
    <definedName name="stjelu" hidden="1">#REF!</definedName>
    <definedName name="stjsk" hidden="1">#REF!</definedName>
    <definedName name="STX">#REF!</definedName>
    <definedName name="SURATGARH_COAL_GCV">#REF!</definedName>
    <definedName name="SURATGARH_DSHR">#REF!</definedName>
    <definedName name="SURATGARH_GEN">#REF!</definedName>
    <definedName name="SURATGARH_SHR">#REF!</definedName>
    <definedName name="SURATGARH_Sp_OIL_CON">#REF!</definedName>
    <definedName name="sxX" hidden="1">#REF!</definedName>
    <definedName name="sy">#REF!</definedName>
    <definedName name="sz">#REF!</definedName>
    <definedName name="szrh">#REF!</definedName>
    <definedName name="t" localSheetId="46">#REF!</definedName>
    <definedName name="t" localSheetId="24">#REF!</definedName>
    <definedName name="t">#REF!</definedName>
    <definedName name="TAFName">#REF!</definedName>
    <definedName name="TAMNo">#REF!</definedName>
    <definedName name="TAName">#REF!</definedName>
    <definedName name="TANDA_COAL_GCV">#REF!</definedName>
    <definedName name="TANDA_DSHR">#REF!</definedName>
    <definedName name="TANDA_GEN">#REF!</definedName>
    <definedName name="TANDA_SHR">#REF!</definedName>
    <definedName name="TANDA_Sp_OIL_CON">#REF!</definedName>
    <definedName name="TAPlace">#REF!</definedName>
    <definedName name="TaxAudAdd">#REF!</definedName>
    <definedName name="TaxAuditDate">#REF!</definedName>
    <definedName name="TaxPaid10" localSheetId="47">#REF!</definedName>
    <definedName name="TaxPaid10">#REF!</definedName>
    <definedName name="TaxRate11" localSheetId="47">#REF!</definedName>
    <definedName name="TaxRate11">#REF!</definedName>
    <definedName name="Taxrate12" localSheetId="46">#REF!</definedName>
    <definedName name="Taxrate12" localSheetId="24">#REF!</definedName>
    <definedName name="Taxrate12">#REF!</definedName>
    <definedName name="TaxTV">10%</definedName>
    <definedName name="TaxXL">5%</definedName>
    <definedName name="tb">#REF!</definedName>
    <definedName name="TD">#REF!</definedName>
    <definedName name="tdhj">#REF!</definedName>
    <definedName name="tdky">#REF!</definedName>
    <definedName name="tdy">#REF!</definedName>
    <definedName name="TDYJ">#REF!</definedName>
    <definedName name="TextRefCopyRangeCount" hidden="1">1</definedName>
    <definedName name="tg">#REF!</definedName>
    <definedName name="tidf" hidden="1">{"'Sheet1'!$L$16"}</definedName>
    <definedName name="total_exposure_curr_rate">#REF!</definedName>
    <definedName name="TotalRoE10" localSheetId="47">#REF!</definedName>
    <definedName name="TotalRoE10">#REF!</definedName>
    <definedName name="tr">#REF!</definedName>
    <definedName name="tripping" localSheetId="46">#REF!</definedName>
    <definedName name="tripping" localSheetId="24">#REF!</definedName>
    <definedName name="tripping">#REF!</definedName>
    <definedName name="trj">#REF!</definedName>
    <definedName name="tstjru">#REF!</definedName>
    <definedName name="ttjtrs">#REF!</definedName>
    <definedName name="ttt" hidden="1">{"'장비'!$A$3:$M$12"}</definedName>
    <definedName name="tz">#REF!</definedName>
    <definedName name="U1LossPg1">#REF!</definedName>
    <definedName name="U1LossPg2">#REF!</definedName>
    <definedName name="U1PG1">#REF!</definedName>
    <definedName name="U1PG2">#REF!</definedName>
    <definedName name="U2LossPg1">#REF!</definedName>
    <definedName name="U2LossPg2">#REF!</definedName>
    <definedName name="U2Pg_2">#REF!</definedName>
    <definedName name="U2PG1">#REF!</definedName>
    <definedName name="U2PG2">#REF!</definedName>
    <definedName name="U3LossPg1">#REF!</definedName>
    <definedName name="U3lossPg2">#REF!</definedName>
    <definedName name="U3PG1">#REF!</definedName>
    <definedName name="U3PG2">#REF!</definedName>
    <definedName name="ukryt" hidden="1">#REF!</definedName>
    <definedName name="ukyr">#REF!</definedName>
    <definedName name="UNCHAHAR_COAL_GCV">#REF!</definedName>
    <definedName name="UNCHAHAR_DSHR">#REF!</definedName>
    <definedName name="UNCHAHAR_GEN">#REF!</definedName>
    <definedName name="UNCHAHAR_SHR">#REF!</definedName>
    <definedName name="UNCHAHAR_Sp_OIL_CON">#REF!</definedName>
    <definedName name="uNIT1" localSheetId="46">#REF!</definedName>
    <definedName name="uNIT1" localSheetId="24">#REF!</definedName>
    <definedName name="uNIT1">#REF!</definedName>
    <definedName name="uNIT2" localSheetId="46">#REF!</definedName>
    <definedName name="uNIT2" localSheetId="24">#REF!</definedName>
    <definedName name="uNIT2">#REF!</definedName>
    <definedName name="uNIT3" localSheetId="46">#REF!</definedName>
    <definedName name="uNIT3" localSheetId="24">#REF!</definedName>
    <definedName name="uNIT3">#REF!</definedName>
    <definedName name="UranResLife">#REF!</definedName>
    <definedName name="UranResLife16">#REF!</definedName>
    <definedName name="uryk" hidden="1">#REF!</definedName>
    <definedName name="USDPP">#REF!</definedName>
    <definedName name="ut" hidden="1">{"'Sheet1'!$L$16"}</definedName>
    <definedName name="uyf">#REF!</definedName>
    <definedName name="values">#REF!,#REF!,#REF!</definedName>
    <definedName name="VALuta">#REF!</definedName>
    <definedName name="vf" hidden="1">{"'Sheet1'!$L$16"}</definedName>
    <definedName name="VHBM">#REF!</definedName>
    <definedName name="vn" hidden="1">{"'Sheet1'!$L$16"}</definedName>
    <definedName name="W" localSheetId="46">#REF!</definedName>
    <definedName name="W" localSheetId="24">#REF!</definedName>
    <definedName name="W">#REF!</definedName>
    <definedName name="was">#REF!</definedName>
    <definedName name="water">'[1]FY 24-25 total'!$S$585,'[1]FY 24-25 total'!$P$576</definedName>
    <definedName name="WATERCONSUMPTIONREPORT">#REF!</definedName>
    <definedName name="WEEK">#REF!</definedName>
    <definedName name="WEEK_1A" localSheetId="46">#REF!</definedName>
    <definedName name="WEEK_1A" localSheetId="24">#REF!</definedName>
    <definedName name="WEEK_1A">#REF!</definedName>
    <definedName name="WEEK_1B" localSheetId="46">#REF!</definedName>
    <definedName name="WEEK_1B" localSheetId="24">#REF!</definedName>
    <definedName name="WEEK_1B">#REF!</definedName>
    <definedName name="WEEK_2A" localSheetId="46">#REF!</definedName>
    <definedName name="WEEK_2A" localSheetId="24">#REF!</definedName>
    <definedName name="WEEK_2A">#REF!</definedName>
    <definedName name="WEEK_2B" localSheetId="46">#REF!</definedName>
    <definedName name="WEEK_2B" localSheetId="24">#REF!</definedName>
    <definedName name="WEEK_2B">#REF!</definedName>
    <definedName name="weki_9701.xls" hidden="1">#REF!</definedName>
    <definedName name="wekir9701.xls" hidden="1">#REF!</definedName>
    <definedName name="wes">#REF!</definedName>
    <definedName name="WFQKJG">#REF!</definedName>
    <definedName name="wfsf">#REF!</definedName>
    <definedName name="Working_capital_Rate_of_Interest_for_FY_10_11" localSheetId="47">#REF!</definedName>
    <definedName name="Working_capital_Rate_of_Interest_for_FY_10_11">#REF!</definedName>
    <definedName name="wrn.AA." hidden="1">{#N/A,#N/A,FALSE,"PMTABB";#N/A,#N/A,FALSE,"PMTABB"}</definedName>
    <definedName name="wrn.Aging._.and._.Trend._.Analysis." hidden="1">{#N/A,#N/A,FALSE,"Aging Summary";#N/A,#N/A,FALSE,"Ratio Analysis";#N/A,#N/A,FALSE,"Test 120 Day Accts";#N/A,#N/A,FALSE,"Tickmarks"}</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Budget2000." hidden="1">{#N/A,#N/A,FALSE,"Title";#N/A,#N/A,FALSE,"Corp b sheet";#N/A,#N/A,FALSE,"MODIFIED Pl";#N/A,#N/A,FALSE,"Balance Sheet";#N/A,#N/A,FALSE,"Profit and Loss";#N/A,#N/A,FALSE,"Supplement info";#N/A,#N/A,FALSE,"Cashflow";#N/A,#N/A,FALSE,"Asspc Co - Inv Schedule";#N/A,#N/A,FALSE,"kpi"}</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Scope._.of._.Supply._.Mechanical." hidden="1">{#N/A,#N/A,FALSE,"Mechanical"}</definedName>
    <definedName name="wrn.testrpt." hidden="1">{"Edition",#N/A,FALSE,"Data"}</definedName>
    <definedName name="wrn1.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sazswa">#REF!</definedName>
    <definedName name="x" hidden="1">#REF!</definedName>
    <definedName name="X1_" localSheetId="46">#REF!</definedName>
    <definedName name="X1_" localSheetId="24">#REF!</definedName>
    <definedName name="X1_">#REF!</definedName>
    <definedName name="X11__?___QUIT_" localSheetId="46">#REF!</definedName>
    <definedName name="X11__?___QUIT_" localSheetId="24">#REF!</definedName>
    <definedName name="X11__?___QUIT_">#REF!</definedName>
    <definedName name="xdtxdgf">(#REF!,#REF!)</definedName>
    <definedName name="XREF_COLUMN_1" hidden="1">#REF!</definedName>
    <definedName name="XREF_COLUMN_10" hidden="1">#REF!</definedName>
    <definedName name="XREF_COLUMN_100" hidden="1">#REF!</definedName>
    <definedName name="XREF_COLUMN_101" hidden="1">#REF!</definedName>
    <definedName name="XREF_COLUMN_102" hidden="1">#REF!</definedName>
    <definedName name="XREF_COLUMN_103" hidden="1">#REF!</definedName>
    <definedName name="XREF_COLUMN_104" hidden="1">#REF!</definedName>
    <definedName name="XREF_COLUMN_105" hidden="1">#REF!</definedName>
    <definedName name="XREF_COLUMN_106" hidden="1">#REF!</definedName>
    <definedName name="XREF_COLUMN_107" hidden="1">#REF!</definedName>
    <definedName name="XREF_COLUMN_108" hidden="1">#REF!</definedName>
    <definedName name="XREF_COLUMN_109" hidden="1">#REF!</definedName>
    <definedName name="XREF_COLUMN_11" hidden="1">#REF!</definedName>
    <definedName name="XREF_COLUMN_110" hidden="1">#REF!</definedName>
    <definedName name="XREF_COLUMN_111" hidden="1">#REF!</definedName>
    <definedName name="XREF_COLUMN_112" hidden="1">#REF!</definedName>
    <definedName name="XREF_COLUMN_113" hidden="1">#REF!</definedName>
    <definedName name="XREF_COLUMN_114" hidden="1">#REF!</definedName>
    <definedName name="XREF_COLUMN_115" hidden="1">#REF!</definedName>
    <definedName name="XREF_COLUMN_116" hidden="1">#REF!</definedName>
    <definedName name="XREF_COLUMN_117" hidden="1">#REF!</definedName>
    <definedName name="XREF_COLUMN_118" hidden="1">#REF!</definedName>
    <definedName name="XREF_COLUMN_119" hidden="1">#REF!</definedName>
    <definedName name="XREF_COLUMN_12" hidden="1">#REF!</definedName>
    <definedName name="XREF_COLUMN_121" hidden="1">#REF!</definedName>
    <definedName name="XREF_COLUMN_122" hidden="1">#REF!</definedName>
    <definedName name="XREF_COLUMN_123" hidden="1">#REF!</definedName>
    <definedName name="XREF_COLUMN_124" hidden="1">#REF!</definedName>
    <definedName name="XREF_COLUMN_125" hidden="1">#REF!</definedName>
    <definedName name="XREF_COLUMN_126" hidden="1">#REF!</definedName>
    <definedName name="XREF_COLUMN_127" hidden="1">#REF!</definedName>
    <definedName name="XREF_COLUMN_128" hidden="1">#REF!</definedName>
    <definedName name="XREF_COLUMN_129" hidden="1">#REF!</definedName>
    <definedName name="XREF_COLUMN_13" hidden="1">#REF!</definedName>
    <definedName name="XREF_COLUMN_130" hidden="1">#REF!</definedName>
    <definedName name="XREF_COLUMN_131" hidden="1">#REF!</definedName>
    <definedName name="XREF_COLUMN_132"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4" hidden="1">#REF!</definedName>
    <definedName name="XREF_COLUMN_27" hidden="1">#REF!</definedName>
    <definedName name="XREF_COLUMN_28" hidden="1">#REF!</definedName>
    <definedName name="XREF_COLUMN_3" hidden="1">#REF!</definedName>
    <definedName name="XREF_COLUMN_37" hidden="1">#REF!</definedName>
    <definedName name="XREF_COLUMN_4" hidden="1">#REF!</definedName>
    <definedName name="XREF_COLUMN_41" hidden="1">#REF!</definedName>
    <definedName name="XREF_COLUMN_5" hidden="1">#REF!</definedName>
    <definedName name="XREF_COLUMN_51" hidden="1">#REF!</definedName>
    <definedName name="XREF_COLUMN_6" hidden="1">#REF!</definedName>
    <definedName name="XREF_COLUMN_65" hidden="1">#REF!</definedName>
    <definedName name="XREF_COLUMN_66" hidden="1">#REF!</definedName>
    <definedName name="XREF_COLUMN_67" hidden="1">#REF!</definedName>
    <definedName name="XREF_COLUMN_68" hidden="1">#REF!</definedName>
    <definedName name="XREF_COLUMN_69" hidden="1">#REF!</definedName>
    <definedName name="XREF_COLUMN_7" hidden="1">#REF!</definedName>
    <definedName name="XREF_COLUMN_70" hidden="1">#REF!</definedName>
    <definedName name="XREF_COLUMN_71" hidden="1">#REF!</definedName>
    <definedName name="XREF_COLUMN_72" hidden="1">#REF!</definedName>
    <definedName name="XREF_COLUMN_73" hidden="1">#REF!</definedName>
    <definedName name="XREF_COLUMN_74" hidden="1">#REF!</definedName>
    <definedName name="XREF_COLUMN_75" hidden="1">#REF!</definedName>
    <definedName name="XREF_COLUMN_77" hidden="1">#REF!</definedName>
    <definedName name="XREF_COLUMN_78" hidden="1">#REF!</definedName>
    <definedName name="XREF_COLUMN_79" hidden="1">#REF!</definedName>
    <definedName name="XREF_COLUMN_8" hidden="1">#REF!</definedName>
    <definedName name="XREF_COLUMN_80" hidden="1">#REF!</definedName>
    <definedName name="XREF_COLUMN_81" hidden="1">#REF!</definedName>
    <definedName name="XREF_COLUMN_82" hidden="1">#REF!</definedName>
    <definedName name="XREF_COLUMN_83" hidden="1">#REF!</definedName>
    <definedName name="XREF_COLUMN_84" hidden="1">#REF!</definedName>
    <definedName name="XREF_COLUMN_85" hidden="1">#REF!</definedName>
    <definedName name="XREF_COLUMN_86" hidden="1">#REF!</definedName>
    <definedName name="XREF_COLUMN_87" hidden="1">#REF!</definedName>
    <definedName name="XREF_COLUMN_88" hidden="1">#REF!</definedName>
    <definedName name="XREF_COLUMN_89" hidden="1">#REF!</definedName>
    <definedName name="XREF_COLUMN_9" hidden="1">#REF!</definedName>
    <definedName name="XREF_COLUMN_90" hidden="1">#REF!</definedName>
    <definedName name="XREF_COLUMN_91" hidden="1">#REF!</definedName>
    <definedName name="XREF_COLUMN_92" hidden="1">#REF!</definedName>
    <definedName name="XREF_COLUMN_93" hidden="1">#REF!</definedName>
    <definedName name="XREF_COLUMN_94" hidden="1">#REF!</definedName>
    <definedName name="XREF_COLUMN_95" hidden="1">#REF!</definedName>
    <definedName name="XREF_COLUMN_96" hidden="1">#REF!</definedName>
    <definedName name="XREF_COLUMN_97" hidden="1">#REF!</definedName>
    <definedName name="XREF_COLUMN_98" hidden="1">#REF!</definedName>
    <definedName name="XREF_COLUMN_99" hidden="1">#REF!</definedName>
    <definedName name="XRefActiveRow" hidden="1">#REF!</definedName>
    <definedName name="XRefColumnsCount" hidden="1">2</definedName>
    <definedName name="XRefCopy1" hidden="1">#REF!</definedName>
    <definedName name="XRefCopy10" hidden="1">#REF!</definedName>
    <definedName name="XRefCopy100Row" hidden="1">#REF!</definedName>
    <definedName name="XRefCopy101Row" hidden="1">#REF!</definedName>
    <definedName name="XRefCopy102Row" hidden="1">#REF!</definedName>
    <definedName name="XRefCopy103Row" hidden="1">#REF!</definedName>
    <definedName name="XRefCopy104Row" hidden="1">#REF!</definedName>
    <definedName name="XRefCopy105Row" hidden="1">#REF!</definedName>
    <definedName name="XRefCopy106Row" hidden="1">#REF!</definedName>
    <definedName name="XRefCopy107Row" hidden="1">#REF!</definedName>
    <definedName name="XRefCopy108Row" hidden="1">#REF!</definedName>
    <definedName name="XRefCopy109Row" hidden="1">#REF!</definedName>
    <definedName name="XRefCopy10Row" hidden="1">#REF!</definedName>
    <definedName name="XRefCopy11" hidden="1">#REF!</definedName>
    <definedName name="XRefCopy110Row" hidden="1">#REF!</definedName>
    <definedName name="XRefCopy111Row" hidden="1">#REF!</definedName>
    <definedName name="XRefCopy112Row" hidden="1">#REF!</definedName>
    <definedName name="XRefCopy113Row" hidden="1">#REF!</definedName>
    <definedName name="XRefCopy114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5Row" hidden="1">#REF!</definedName>
    <definedName name="XRefCopy146Row" hidden="1">#REF!</definedName>
    <definedName name="XRefCopy148Row"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Row" hidden="1">#REF!</definedName>
    <definedName name="XRefCopy152Row" hidden="1">#REF!</definedName>
    <definedName name="XRefCopy153Row" hidden="1">#REF!</definedName>
    <definedName name="XRefCopy155Row" hidden="1">#REF!</definedName>
    <definedName name="XRefCopy156Row" hidden="1">#REF!</definedName>
    <definedName name="XRefCopy157Row" hidden="1">#REF!</definedName>
    <definedName name="XRefCopy158Row" hidden="1">#REF!</definedName>
    <definedName name="XRefCopy159Row"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Row"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Row" hidden="1">#REF!</definedName>
    <definedName name="XRefCopy169Row" hidden="1">#REF!</definedName>
    <definedName name="XRefCopy16Row" hidden="1">#REF!</definedName>
    <definedName name="XRefCopy17" hidden="1">#REF!</definedName>
    <definedName name="XRefCopy170Row" hidden="1">#REF!</definedName>
    <definedName name="XRefCopy171Row" hidden="1">#REF!</definedName>
    <definedName name="XRefCopy172Row" hidden="1">#REF!</definedName>
    <definedName name="XRefCopy173Row" hidden="1">#REF!</definedName>
    <definedName name="XRefCopy174Row" hidden="1">#REF!</definedName>
    <definedName name="XRefCopy175Row" hidden="1">#REF!</definedName>
    <definedName name="XRefCopy176Row" hidden="1">#REF!</definedName>
    <definedName name="XRefCopy177" hidden="1">#REF!</definedName>
    <definedName name="XRefCopy177Row" hidden="1">#REF!</definedName>
    <definedName name="XRefCopy178" hidden="1">#REF!</definedName>
    <definedName name="XRefCopy179" hidden="1">#REF!</definedName>
    <definedName name="XRefCopy179Row" hidden="1">#REF!</definedName>
    <definedName name="XRefCopy17Row" hidden="1">#REF!</definedName>
    <definedName name="XRefCopy18" hidden="1">#REF!</definedName>
    <definedName name="XRefCopy180Row" hidden="1">#REF!</definedName>
    <definedName name="XRefCopy181Row" hidden="1">#REF!</definedName>
    <definedName name="XRefCopy182" hidden="1">#REF!</definedName>
    <definedName name="XRefCopy183" hidden="1">#REF!</definedName>
    <definedName name="XRefCopy183Row" hidden="1">#REF!</definedName>
    <definedName name="XRefCopy184Row" hidden="1">#REF!</definedName>
    <definedName name="XRefCopy185Row" hidden="1">#REF!</definedName>
    <definedName name="XRefCopy186Row" hidden="1">#REF!</definedName>
    <definedName name="XRefCopy187Row" hidden="1">#REF!</definedName>
    <definedName name="XRefCopy188Row" hidden="1">#REF!</definedName>
    <definedName name="XRefCopy189Row" hidden="1">#REF!</definedName>
    <definedName name="XRefCopy18Row" hidden="1">#REF!</definedName>
    <definedName name="XRefCopy19" hidden="1">#REF!</definedName>
    <definedName name="XRefCopy190Row" hidden="1">#REF!</definedName>
    <definedName name="XRefCopy191Row" hidden="1">#REF!</definedName>
    <definedName name="XRefCopy192Row" hidden="1">#REF!</definedName>
    <definedName name="XRefCopy193Row" hidden="1">#REF!</definedName>
    <definedName name="XRefCopy194Row" hidden="1">#REF!</definedName>
    <definedName name="XRefCopy195Row" hidden="1">#REF!</definedName>
    <definedName name="XRefCopy196Row" hidden="1">#REF!</definedName>
    <definedName name="XRefCopy197Row" hidden="1">#REF!</definedName>
    <definedName name="XRefCopy198Row" hidden="1">#REF!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1Row" hidden="1">#REF!</definedName>
    <definedName name="XRefCopy202Row" hidden="1">#REF!</definedName>
    <definedName name="XRefCopy203Row" hidden="1">#REF!</definedName>
    <definedName name="XRefCopy205Row" hidden="1">#REF!</definedName>
    <definedName name="XRefCopy207Row" hidden="1">#REF!</definedName>
    <definedName name="XRefCopy20Row" hidden="1">#REF!</definedName>
    <definedName name="XRefCopy21" hidden="1">#REF!</definedName>
    <definedName name="XRefCopy210Row" hidden="1">#REF!</definedName>
    <definedName name="XRefCopy211Row" hidden="1">#REF!</definedName>
    <definedName name="XRefCopy212Row" hidden="1">#REF!</definedName>
    <definedName name="XRefCopy213Row" hidden="1">#REF!</definedName>
    <definedName name="XRefCopy214Row" hidden="1">#REF!</definedName>
    <definedName name="XRefCopy215Row" hidden="1">#REF!</definedName>
    <definedName name="XRefCopy216Row" hidden="1">#REF!</definedName>
    <definedName name="XRefCopy217Row" hidden="1">#REF!</definedName>
    <definedName name="XRefCopy218Row" hidden="1">#REF!</definedName>
    <definedName name="XRefCopy219Row" hidden="1">#REF!</definedName>
    <definedName name="XRefCopy21Row" hidden="1">#REF!</definedName>
    <definedName name="XRefCopy22" hidden="1">#REF!</definedName>
    <definedName name="XRefCopy220Row" hidden="1">#REF!</definedName>
    <definedName name="XRefCopy221Row" hidden="1">#REF!</definedName>
    <definedName name="XRefCopy222Row" hidden="1">#REF!</definedName>
    <definedName name="XRefCopy223Row" hidden="1">#REF!</definedName>
    <definedName name="XRefCopy224Row" hidden="1">#REF!</definedName>
    <definedName name="XRefCopy225Row" hidden="1">#REF!</definedName>
    <definedName name="XRefCopy226Row" hidden="1">#REF!</definedName>
    <definedName name="XRefCopy228Row" hidden="1">#REF!</definedName>
    <definedName name="XRefCopy229Row" hidden="1">#REF!</definedName>
    <definedName name="XRefCopy22Row" hidden="1">#REF!</definedName>
    <definedName name="XRefCopy23" hidden="1">#REF!</definedName>
    <definedName name="XRefCopy230Row" hidden="1">#REF!</definedName>
    <definedName name="XRefCopy23Row" hidden="1">#REF!</definedName>
    <definedName name="XRefCopy24" hidden="1">#REF!</definedName>
    <definedName name="XRefCopy24Row"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4Row" hidden="1">#REF!</definedName>
    <definedName name="XRefCopy45Row" hidden="1">#REF!</definedName>
    <definedName name="XRefCopy46Row" hidden="1">#REF!</definedName>
    <definedName name="XRefCopy4Row" hidden="1">#REF!</definedName>
    <definedName name="XRefCopy5" hidden="1">#REF!</definedName>
    <definedName name="XRefCopy56" hidden="1">#REF!</definedName>
    <definedName name="XRefCopy57" hidden="1">#REF!</definedName>
    <definedName name="XRefCopy57Row" hidden="1">#REF!</definedName>
    <definedName name="XRefCopy5Row" hidden="1">#REF!</definedName>
    <definedName name="XRefCopy6" hidden="1">#REF!</definedName>
    <definedName name="XRefCopy60Row" hidden="1">#REF!</definedName>
    <definedName name="XRefCopy61Row" hidden="1">#REF!</definedName>
    <definedName name="XRefCopy62Row" hidden="1">#REF!</definedName>
    <definedName name="XRefCopy63Row" hidden="1">#REF!</definedName>
    <definedName name="XRefCopy64Row" hidden="1">#REF!</definedName>
    <definedName name="XRefCopy65Row" hidden="1">#REF!</definedName>
    <definedName name="XRefCopy66Row" hidden="1">#REF!</definedName>
    <definedName name="XRefCopy67Row" hidden="1">#REF!</definedName>
    <definedName name="XRefCopy68Row" hidden="1">#REF!</definedName>
    <definedName name="XRefCopy69Row" hidden="1">#REF!</definedName>
    <definedName name="XRefCopy6Row" hidden="1">#REF!</definedName>
    <definedName name="XRefCopy7" hidden="1">#REF!</definedName>
    <definedName name="XRefCopy70Row"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Row" hidden="1">#REF!</definedName>
    <definedName name="XRefCopy75Row" hidden="1">#REF!</definedName>
    <definedName name="XRefCopy76Row"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 hidden="1">#REF!</definedName>
    <definedName name="XRefCopy81Row" hidden="1">#REF!</definedName>
    <definedName name="XRefCopy82Row" hidden="1">#REF!</definedName>
    <definedName name="XRefCopy83" hidden="1">#REF!</definedName>
    <definedName name="XRefCopy83Row" hidden="1">#REF!</definedName>
    <definedName name="XRefCopy84Row"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Row" hidden="1">#REF!</definedName>
    <definedName name="XRefCopy91Row" hidden="1">#REF!</definedName>
    <definedName name="XRefCopy92Row" hidden="1">#REF!</definedName>
    <definedName name="XRefCopy93Row" hidden="1">#REF!</definedName>
    <definedName name="XRefCopy94Row" hidden="1">#REF!</definedName>
    <definedName name="XRefCopy95Row" hidden="1">#REF!</definedName>
    <definedName name="XRefCopy96Row" hidden="1">#REF!</definedName>
    <definedName name="XRefCopy97Row" hidden="1">#REF!</definedName>
    <definedName name="XRefCopy98Row" hidden="1">#REF!</definedName>
    <definedName name="XRefCopy99Row" hidden="1">#REF!</definedName>
    <definedName name="XRefCopy9Row" hidden="1">#REF!</definedName>
    <definedName name="XRefCopyRangeCount" hidden="1">2</definedName>
    <definedName name="XRefPaste1" hidden="1">#REF!</definedName>
    <definedName name="XRefPaste10" hidden="1">#REF!</definedName>
    <definedName name="XRefPaste100Row" hidden="1">#REF!</definedName>
    <definedName name="XRefPaste101Row" hidden="1">#REF!</definedName>
    <definedName name="XRefPaste102Row" hidden="1">#REF!</definedName>
    <definedName name="XRefPaste103Row" hidden="1">#REF!</definedName>
    <definedName name="XRefPaste104Row" hidden="1">#REF!</definedName>
    <definedName name="XRefPaste105Row" hidden="1">#REF!</definedName>
    <definedName name="XRefPaste106Row" hidden="1">#REF!</definedName>
    <definedName name="XRefPaste107Row" hidden="1">#REF!</definedName>
    <definedName name="XRefPaste108Row" hidden="1">#REF!</definedName>
    <definedName name="XRefPaste109Row" hidden="1">#REF!</definedName>
    <definedName name="XRefPaste10Row" hidden="1">#REF!</definedName>
    <definedName name="XRefPaste11" hidden="1">#REF!</definedName>
    <definedName name="XRefPaste110Row" hidden="1">#REF!</definedName>
    <definedName name="XRefPaste111Row" hidden="1">#REF!</definedName>
    <definedName name="XRefPaste112Row" hidden="1">#REF!</definedName>
    <definedName name="XRefPaste113Row" hidden="1">#REF!</definedName>
    <definedName name="XRefPaste114Row" hidden="1">#REF!</definedName>
    <definedName name="XRefPaste115Row" hidden="1">#REF!</definedName>
    <definedName name="XRefPaste116Row"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3Row" hidden="1">#REF!</definedName>
    <definedName name="XRefPaste174Row" hidden="1">#REF!</definedName>
    <definedName name="XRefPaste175Row" hidden="1">#REF!</definedName>
    <definedName name="XRefPaste176" hidden="1">#REF!</definedName>
    <definedName name="XRefPaste176Row" hidden="1">#REF!</definedName>
    <definedName name="XRefPaste177Row" hidden="1">#REF!</definedName>
    <definedName name="XRefPaste178" hidden="1">#REF!</definedName>
    <definedName name="XRefPaste178Row" hidden="1">#REF!</definedName>
    <definedName name="XRefPaste179Row" hidden="1">#REF!</definedName>
    <definedName name="XRefPaste17Row" hidden="1">#REF!</definedName>
    <definedName name="XRefPaste18" hidden="1">#REF!</definedName>
    <definedName name="XRefPaste180Row" hidden="1">#REF!</definedName>
    <definedName name="XRefPaste182Row" hidden="1">#REF!</definedName>
    <definedName name="XRefPaste183Row" hidden="1">#REF!</definedName>
    <definedName name="XRefPaste184Row" hidden="1">#REF!</definedName>
    <definedName name="XRefPaste185Row" hidden="1">#REF!</definedName>
    <definedName name="XRefPaste186" hidden="1">#REF!</definedName>
    <definedName name="XRefPaste186Row" hidden="1">#REF!</definedName>
    <definedName name="XRefPaste187" hidden="1">#REF!</definedName>
    <definedName name="XRefPaste187Row" hidden="1">#REF!</definedName>
    <definedName name="XRefPaste188" hidden="1">#REF!</definedName>
    <definedName name="XRefPaste188Row" hidden="1">#REF!</definedName>
    <definedName name="XRefPaste189" hidden="1">#REF!</definedName>
    <definedName name="XRefPaste189Row" hidden="1">#REF!</definedName>
    <definedName name="XRefPaste18Row" hidden="1">#REF!</definedName>
    <definedName name="XRefPaste19" hidden="1">#REF!</definedName>
    <definedName name="XRefPaste190" hidden="1">#REF!</definedName>
    <definedName name="XRefPaste190Row" hidden="1">#REF!</definedName>
    <definedName name="XRefPaste191" hidden="1">#REF!</definedName>
    <definedName name="XRefPaste191Row" hidden="1">#REF!</definedName>
    <definedName name="XRefPaste192" hidden="1">#REF!</definedName>
    <definedName name="XRefPaste192Row" hidden="1">#REF!</definedName>
    <definedName name="XRefPaste193" hidden="1">#REF!</definedName>
    <definedName name="XRefPaste193Row" hidden="1">#REF!</definedName>
    <definedName name="XRefPaste194Row" hidden="1">#REF!</definedName>
    <definedName name="XRefPaste195Row" hidden="1">#REF!</definedName>
    <definedName name="XRefPaste196Row" hidden="1">#REF!</definedName>
    <definedName name="XRefPaste197Row" hidden="1">#REF!</definedName>
    <definedName name="XRefPaste198Row" hidden="1">#REF!</definedName>
    <definedName name="XRefPaste199Row" hidden="1">#REF!</definedName>
    <definedName name="XRefPaste19Row" hidden="1">#REF!</definedName>
    <definedName name="XRefPaste1Row" hidden="1">#REF!</definedName>
    <definedName name="XRefPaste20" hidden="1">#REF!</definedName>
    <definedName name="XRefPaste200Row" hidden="1">#REF!</definedName>
    <definedName name="XRefPaste201Row" hidden="1">#REF!</definedName>
    <definedName name="XRefPaste202Row" hidden="1">#REF!</definedName>
    <definedName name="XRefPaste203Row" hidden="1">#REF!</definedName>
    <definedName name="XRefPaste204Row" hidden="1">#REF!</definedName>
    <definedName name="XRefPaste205Row" hidden="1">#REF!</definedName>
    <definedName name="XRefPaste206Row" hidden="1">#REF!</definedName>
    <definedName name="XRefPaste207" hidden="1">#REF!</definedName>
    <definedName name="XRefPaste207Row" hidden="1">#REF!</definedName>
    <definedName name="XRefPaste208Row" hidden="1">#REF!</definedName>
    <definedName name="XRefPaste209Row" hidden="1">#REF!</definedName>
    <definedName name="XRefPaste20Row" hidden="1">#REF!</definedName>
    <definedName name="XRefPaste21" hidden="1">#REF!</definedName>
    <definedName name="XRefPaste210Row" hidden="1">#REF!</definedName>
    <definedName name="XRefPaste211" hidden="1">#REF!</definedName>
    <definedName name="XRefPaste211Row" hidden="1">#REF!</definedName>
    <definedName name="XRefPaste212Row" hidden="1">#REF!</definedName>
    <definedName name="XRefPaste213Row" hidden="1">#REF!</definedName>
    <definedName name="XRefPaste214Row" hidden="1">#REF!</definedName>
    <definedName name="XRefPaste215Row" hidden="1">#REF!</definedName>
    <definedName name="XRefPaste216Row" hidden="1">#REF!</definedName>
    <definedName name="XRefPaste217Row" hidden="1">#REF!</definedName>
    <definedName name="XRefPaste218Row" hidden="1">#REF!</definedName>
    <definedName name="XRefPaste219Row" hidden="1">#REF!</definedName>
    <definedName name="XRefPaste21Row" hidden="1">#REF!</definedName>
    <definedName name="XRefPaste22" hidden="1">#REF!</definedName>
    <definedName name="XRefPaste220Row" hidden="1">#REF!</definedName>
    <definedName name="XRefPaste221Row" hidden="1">#REF!</definedName>
    <definedName name="XRefPaste222Row" hidden="1">#REF!</definedName>
    <definedName name="XRefPaste223Row" hidden="1">#REF!</definedName>
    <definedName name="XRefPaste224Row" hidden="1">#REF!</definedName>
    <definedName name="XRefPaste225Row" hidden="1">#REF!</definedName>
    <definedName name="XRefPaste226Row" hidden="1">#REF!</definedName>
    <definedName name="XRefPaste227" hidden="1">#REF!</definedName>
    <definedName name="XRefPaste227Row" hidden="1">#REF!</definedName>
    <definedName name="XRefPaste228Row" hidden="1">#REF!</definedName>
    <definedName name="XRefPaste22Row" hidden="1">#REF!</definedName>
    <definedName name="XRefPaste23" hidden="1">#REF!</definedName>
    <definedName name="XRefPaste230Row" hidden="1">#REF!</definedName>
    <definedName name="XRefPaste233Row" hidden="1">#REF!</definedName>
    <definedName name="XRefPaste234Row" hidden="1">#REF!</definedName>
    <definedName name="XRefPaste235Row" hidden="1">#REF!</definedName>
    <definedName name="XRefPaste236Row" hidden="1">#REF!</definedName>
    <definedName name="XRefPaste237Row" hidden="1">#REF!</definedName>
    <definedName name="XRefPaste238Row" hidden="1">#REF!</definedName>
    <definedName name="XRefPaste239Row" hidden="1">#REF!</definedName>
    <definedName name="XRefPaste23Row" hidden="1">#REF!</definedName>
    <definedName name="XRefPaste24" hidden="1">#REF!</definedName>
    <definedName name="XRefPaste240Row" hidden="1">#REF!</definedName>
    <definedName name="XRefPaste241Row" hidden="1">#REF!</definedName>
    <definedName name="XRefPaste242Row" hidden="1">#REF!</definedName>
    <definedName name="XRefPaste243Row" hidden="1">#REF!</definedName>
    <definedName name="XRefPaste244Row" hidden="1">#REF!</definedName>
    <definedName name="XRefPaste245Row" hidden="1">#REF!</definedName>
    <definedName name="XRefPaste246Row" hidden="1">#REF!</definedName>
    <definedName name="XRefPaste247Row" hidden="1">#REF!</definedName>
    <definedName name="XRefPaste248Row"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0"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Row" hidden="1">#REF!</definedName>
    <definedName name="XRefPaste47"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3Row" hidden="1">#REF!</definedName>
    <definedName name="XRefPaste64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2Row" hidden="1">#REF!</definedName>
    <definedName name="XRefPaste73Row" hidden="1">#REF!</definedName>
    <definedName name="XRefPaste74Row" hidden="1">#REF!</definedName>
    <definedName name="XRefPaste76Row" hidden="1">#REF!</definedName>
    <definedName name="XRefPaste77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#REF!</definedName>
    <definedName name="XRefPaste90Row" hidden="1">#REF!</definedName>
    <definedName name="XRefPaste91Row" hidden="1">#REF!</definedName>
    <definedName name="XRefPaste92Row" hidden="1">#REF!</definedName>
    <definedName name="XRefPaste93Row" hidden="1">#REF!</definedName>
    <definedName name="XRefPaste94Row" hidden="1">#REF!</definedName>
    <definedName name="XRefPaste95Row" hidden="1">#REF!</definedName>
    <definedName name="XRefPaste96Row" hidden="1">#REF!</definedName>
    <definedName name="XRefPaste97Row" hidden="1">#REF!</definedName>
    <definedName name="XRefPaste98Row" hidden="1">#REF!</definedName>
    <definedName name="XRefPaste99Row" hidden="1">#REF!</definedName>
    <definedName name="XRefPaste9Row" hidden="1">#REF!</definedName>
    <definedName name="XRefPasteRangeCount" hidden="1">2</definedName>
    <definedName name="xsxa" hidden="1">{"'Sheet1'!$A$4386:$N$4591"}</definedName>
    <definedName name="xx" hidden="1">#REF!</definedName>
    <definedName name="xxx" hidden="1">#REF!</definedName>
    <definedName name="xxxx" localSheetId="23" hidden="1">#REF!</definedName>
    <definedName name="xxxx" localSheetId="45" hidden="1">#REF!</definedName>
    <definedName name="xxxx" localSheetId="46" hidden="1">#REF!</definedName>
    <definedName name="xxxx" localSheetId="47" hidden="1">#REF!</definedName>
    <definedName name="xxxx" localSheetId="48" hidden="1">#REF!</definedName>
    <definedName name="xxxx" localSheetId="19" hidden="1">#REF!</definedName>
    <definedName name="xxxx" localSheetId="24" hidden="1">#REF!</definedName>
    <definedName name="xxxx" localSheetId="18" hidden="1">#REF!</definedName>
    <definedName name="xxxx" hidden="1">#REF!</definedName>
    <definedName name="xzgxfgh">#REF!</definedName>
    <definedName name="XZZZ" hidden="1">#REF!</definedName>
    <definedName name="Y" hidden="1">#REF!</definedName>
    <definedName name="ydjk">#REF!</definedName>
    <definedName name="ye">#REF!</definedName>
    <definedName name="YEAR" localSheetId="46">#REF!</definedName>
    <definedName name="YEAR" localSheetId="24">#REF!</definedName>
    <definedName name="YEAR">#REF!</definedName>
    <definedName name="Year1" localSheetId="46">#REF!</definedName>
    <definedName name="Year1" localSheetId="24">#REF!</definedName>
    <definedName name="Year1">#REF!</definedName>
    <definedName name="YearStart2">#REF!</definedName>
    <definedName name="YearStart3">#REF!</definedName>
    <definedName name="yf">#REF!</definedName>
    <definedName name="yfhg">#REF!</definedName>
    <definedName name="yfil">#REF!</definedName>
    <definedName name="yfjfyj">#REF!</definedName>
    <definedName name="yfu">#REF!</definedName>
    <definedName name="yh">#REF!</definedName>
    <definedName name="yi" hidden="1">{"'Sheet1'!$L$16"}</definedName>
    <definedName name="yt">#REF!</definedName>
    <definedName name="yuiuy">#REF!</definedName>
    <definedName name="Z_A05A0254_2D25_4269_AA4F_D166F945C039_.wvu.PrintArea" localSheetId="3" hidden="1">F1.1!$A$1:$I$20</definedName>
    <definedName name="zander">#REF!</definedName>
    <definedName name="zander_zander">#REF!</definedName>
    <definedName name="ZCFGH">#REF!</definedName>
    <definedName name="zd">#REF!</definedName>
    <definedName name="ZDFH">#REF!</definedName>
    <definedName name="ZDGHJ">#REF!</definedName>
    <definedName name="zdsf">#REF!</definedName>
    <definedName name="zdtf">#REF!</definedName>
    <definedName name="zrdf">#REF!</definedName>
    <definedName name="zsr">#REF!</definedName>
    <definedName name="zsrf">#REF!</definedName>
    <definedName name="계전2" hidden="1">#REF!</definedName>
    <definedName name="ㄴㅇㄹㅇㄹ" hidden="1">#REF!</definedName>
    <definedName name="대" hidden="1">{"Edition",#N/A,FALSE,"Data"}</definedName>
    <definedName name="ㄹㅇㄴ" hidden="1">{"'Sheet1'!$L$16"}</definedName>
    <definedName name="ㅁㅁㅁㅁ" hidden="1">{"Edition",#N/A,FALSE,"Data"}</definedName>
    <definedName name="몰라" hidden="1">{"Edition",#N/A,FALSE,"Data"}</definedName>
    <definedName name="ㅅㄷ" hidden="1">{"'Sheet1'!$L$16"}</definedName>
    <definedName name="영흥" hidden="1">{"Edition",#N/A,FALSE,"Data"}</definedName>
    <definedName name="영흥2" hidden="1">{"Edition",#N/A,FALSE,"Data"}</definedName>
    <definedName name="위치" hidden="1">{"Edition",#N/A,FALSE,"Data"}</definedName>
    <definedName name="ㅊㅌㅍㅊㅍㅊㅌㅍㅊㅌㅍㅊㅌㅍㅊㅌㅍㅊㅌㅍ" hidden="1">#REF!</definedName>
    <definedName name="ㅊㅌㅍㅊㅍㅌㅋㅊㅍㅌㅊㅍ" hidden="1">#REF!</definedName>
    <definedName name="ㅊㅌㅍㅋㅊㅍㅌㅊㅍㅌㅊㅍ" hidden="1">#REF!</definedName>
    <definedName name="ㅊㅌㅍㅌㅊㅍㅊㅌㅍㅌㅊㅍㅌㅊㅍ" hidden="1">#REF!</definedName>
    <definedName name="추" hidden="1">{"'Sheet1'!$L$16"}</definedName>
    <definedName name="추가분" hidden="1">{"'장비'!$A$3:$M$12"}</definedName>
    <definedName name="ㅋ" hidden="1">#REF!</definedName>
    <definedName name="ㅋㅋㅋㅋ" hidden="1">#REF!</definedName>
    <definedName name="ㅋㅋㅋㅋㅋㅋ" hidden="1">#REF!</definedName>
    <definedName name="ㅋㅋㅋㅋㅋㅋㅋㅋㅋ" hidden="1">#REF!</definedName>
    <definedName name="ㅌㅊㅍㅌㅊㅍㅌㅋㅊㅍㅌ" hidden="1">#REF!</definedName>
    <definedName name="토목변경" hidden="1">{"'장비'!$A$3:$M$12"}</definedName>
    <definedName name="토목실행예산" hidden="1">{"'장비'!$A$3:$M$12"}</definedName>
    <definedName name="토목조정분" hidden="1">{"'장비'!$A$3:$M$12"}</definedName>
    <definedName name="ㅎㅎㄹ" hidden="1">{"Edition",#N/A,FALSE,"Data"}</definedName>
    <definedName name="할" hidden="1">{"'Sheet1'!$L$16"}</definedName>
    <definedName name="항" hidden="1">{"'Sheet1'!$L$16"}</definedName>
    <definedName name="ㅏ1" hidden="1">#REF!</definedName>
    <definedName name="ㅑㅅ" hidden="1">{"'Sheet1'!$L$16"}</definedName>
    <definedName name="ㅘ" hidden="1">{"'Sheet1'!$L$16"}</definedName>
  </definedNames>
  <calcPr calcId="162913"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131" l="1"/>
  <c r="K61" i="131"/>
  <c r="K45" i="131"/>
  <c r="K29" i="131"/>
  <c r="E72" i="61" l="1"/>
  <c r="F72" i="61"/>
  <c r="I47" i="124" l="1"/>
  <c r="N69" i="59" l="1"/>
  <c r="M69" i="59"/>
  <c r="L69" i="59"/>
  <c r="K69" i="59"/>
  <c r="F24" i="65" l="1"/>
  <c r="K27" i="59" l="1"/>
  <c r="I56" i="81" l="1"/>
  <c r="I52" i="81"/>
  <c r="I40" i="81"/>
  <c r="I39" i="81"/>
  <c r="I38" i="81"/>
  <c r="I41" i="81" s="1"/>
  <c r="I37" i="81"/>
  <c r="I152" i="59"/>
  <c r="I151" i="59"/>
  <c r="I150" i="59"/>
  <c r="I149" i="59"/>
  <c r="I148" i="59"/>
  <c r="I147" i="59"/>
  <c r="I146" i="59"/>
  <c r="I145" i="59"/>
  <c r="I144" i="59"/>
  <c r="I143" i="59"/>
  <c r="I142" i="59"/>
  <c r="I141" i="59"/>
  <c r="I140" i="59"/>
  <c r="I153" i="59" s="1"/>
  <c r="I136" i="59"/>
  <c r="I135" i="59"/>
  <c r="I134" i="59"/>
  <c r="I137" i="59" s="1"/>
  <c r="I130" i="59"/>
  <c r="I129" i="59"/>
  <c r="I128" i="59"/>
  <c r="I131" i="59" s="1"/>
  <c r="I75" i="59"/>
  <c r="I66" i="59" l="1"/>
  <c r="I65" i="59"/>
  <c r="I54" i="59"/>
  <c r="I53" i="59"/>
  <c r="I43" i="59"/>
  <c r="J43" i="59"/>
  <c r="I41" i="59"/>
  <c r="J41" i="59"/>
  <c r="I39" i="59"/>
  <c r="I28" i="59"/>
  <c r="I25" i="59"/>
  <c r="I24" i="59"/>
  <c r="I12" i="59"/>
  <c r="I11" i="59"/>
  <c r="I11" i="81"/>
  <c r="H54" i="60"/>
  <c r="H24" i="60"/>
  <c r="I60" i="81" l="1"/>
  <c r="I185" i="124" l="1"/>
  <c r="M24" i="58" l="1"/>
  <c r="L24" i="58"/>
  <c r="K38" i="77"/>
  <c r="J38" i="77"/>
  <c r="I38" i="77"/>
  <c r="K24" i="58" s="1"/>
  <c r="H38" i="77"/>
  <c r="J24" i="58" s="1"/>
  <c r="G38" i="77"/>
  <c r="I24" i="58" s="1"/>
  <c r="H11" i="60" l="1"/>
  <c r="H23" i="60" s="1"/>
  <c r="H22" i="60" l="1"/>
  <c r="H26" i="60"/>
  <c r="I73" i="59" s="1"/>
  <c r="J22" i="60"/>
  <c r="K22" i="60" s="1"/>
  <c r="L22" i="60" s="1"/>
  <c r="M22" i="60" s="1"/>
  <c r="I26" i="60"/>
  <c r="I79" i="59" l="1"/>
  <c r="J112" i="60"/>
  <c r="H237" i="124"/>
  <c r="E249" i="124"/>
  <c r="E246" i="124"/>
  <c r="E245" i="124"/>
  <c r="E247" i="124" s="1"/>
  <c r="H235" i="124" l="1"/>
  <c r="I78" i="59"/>
  <c r="E252" i="124"/>
  <c r="I64" i="59"/>
  <c r="I50" i="59"/>
  <c r="I13" i="59"/>
  <c r="I23" i="59" l="1"/>
  <c r="I87" i="59" s="1"/>
  <c r="I63" i="59"/>
  <c r="I49" i="59"/>
  <c r="I48" i="59"/>
  <c r="I58" i="59" s="1"/>
  <c r="I59" i="59"/>
  <c r="I60" i="59"/>
  <c r="J70" i="59"/>
  <c r="I113" i="59"/>
  <c r="E191" i="59"/>
  <c r="E182" i="59"/>
  <c r="L39" i="124"/>
  <c r="K39" i="124"/>
  <c r="J39" i="124"/>
  <c r="I39" i="124"/>
  <c r="I33" i="59" l="1"/>
  <c r="I36" i="59" s="1"/>
  <c r="I37" i="59" s="1"/>
  <c r="I34" i="59"/>
  <c r="I35" i="59"/>
  <c r="I68" i="59"/>
  <c r="P91" i="59"/>
  <c r="P90" i="59"/>
  <c r="E17" i="55" l="1"/>
  <c r="L55" i="124"/>
  <c r="K55" i="124"/>
  <c r="J55" i="124"/>
  <c r="I55" i="124"/>
  <c r="H55" i="124"/>
  <c r="G29" i="59"/>
  <c r="O19" i="91"/>
  <c r="P19" i="91"/>
  <c r="B12" i="78" l="1"/>
  <c r="B13" i="78" s="1"/>
  <c r="B14" i="78" s="1"/>
  <c r="B15" i="78" s="1"/>
  <c r="B16" i="78" s="1"/>
  <c r="B17" i="78" s="1"/>
  <c r="B20" i="78" s="1"/>
  <c r="B21" i="78" s="1"/>
  <c r="B22" i="78" s="1"/>
  <c r="B23" i="78" s="1"/>
  <c r="B24" i="78" s="1"/>
  <c r="B28" i="78" s="1"/>
  <c r="AF91" i="129" l="1"/>
  <c r="AE91" i="129"/>
  <c r="AD91" i="129"/>
  <c r="AC91" i="129"/>
  <c r="AB91" i="129"/>
  <c r="AA91" i="129"/>
  <c r="Z91" i="129"/>
  <c r="Y91" i="129"/>
  <c r="X91" i="129"/>
  <c r="W91" i="129"/>
  <c r="V91" i="129"/>
  <c r="U91" i="129"/>
  <c r="A13" i="129"/>
  <c r="B2" i="121" l="1"/>
  <c r="B3" i="93"/>
  <c r="B1" i="121"/>
  <c r="J26" i="59" l="1"/>
  <c r="J27" i="59"/>
  <c r="J36" i="81" s="1"/>
  <c r="J15" i="110"/>
  <c r="B11" i="110"/>
  <c r="B12" i="110" s="1"/>
  <c r="B13" i="110" s="1"/>
  <c r="B14" i="110" s="1"/>
  <c r="B15" i="110" s="1"/>
  <c r="B16" i="110" s="1"/>
  <c r="B17" i="110" s="1"/>
  <c r="B18" i="110" s="1"/>
  <c r="B19" i="110" s="1"/>
  <c r="B20" i="110" s="1"/>
  <c r="B21" i="110" s="1"/>
  <c r="B22" i="110" s="1"/>
  <c r="B23" i="110" s="1"/>
  <c r="B24" i="110" s="1"/>
  <c r="K15" i="110" l="1"/>
  <c r="I184" i="124"/>
  <c r="H184" i="124"/>
  <c r="P32" i="133" l="1"/>
  <c r="N32" i="133"/>
  <c r="L32" i="133"/>
  <c r="J32" i="133"/>
  <c r="H32" i="133"/>
  <c r="K15" i="93" l="1"/>
  <c r="J15" i="93"/>
  <c r="G49" i="133"/>
  <c r="G51" i="133" s="1"/>
  <c r="G52" i="133" s="1"/>
  <c r="G53" i="133" s="1"/>
  <c r="G54" i="133" s="1"/>
  <c r="O25" i="133"/>
  <c r="O32" i="133" s="1"/>
  <c r="M25" i="133"/>
  <c r="M32" i="133" s="1"/>
  <c r="E25" i="133"/>
  <c r="Y21" i="107" l="1"/>
  <c r="T21" i="107"/>
  <c r="C15" i="109"/>
  <c r="D15" i="109"/>
  <c r="E20" i="109"/>
  <c r="E32" i="133"/>
  <c r="E14" i="93"/>
  <c r="E15" i="109"/>
  <c r="E22" i="109" l="1"/>
  <c r="H21" i="110"/>
  <c r="J20" i="110"/>
  <c r="J16" i="110"/>
  <c r="F21" i="110" l="1"/>
  <c r="I21" i="110"/>
  <c r="K20" i="110"/>
  <c r="AE19" i="126" l="1"/>
  <c r="K33" i="77" l="1"/>
  <c r="J33" i="77"/>
  <c r="I33" i="77"/>
  <c r="H33" i="77"/>
  <c r="G33" i="77"/>
  <c r="L33" i="77" l="1"/>
  <c r="L38" i="77"/>
  <c r="M23" i="58"/>
  <c r="L23" i="58"/>
  <c r="K23" i="58"/>
  <c r="J23" i="58"/>
  <c r="I23" i="58"/>
  <c r="W14" i="66" l="1"/>
  <c r="W15" i="66" s="1"/>
  <c r="W16" i="66" s="1"/>
  <c r="W17" i="66" s="1"/>
  <c r="G14" i="65" l="1"/>
  <c r="J118" i="54" l="1"/>
  <c r="G123" i="54"/>
  <c r="G126" i="54" s="1"/>
  <c r="G128" i="54" s="1"/>
  <c r="K119" i="54"/>
  <c r="G117" i="54"/>
  <c r="K118" i="54"/>
  <c r="I118" i="54"/>
  <c r="J123" i="54"/>
  <c r="J126" i="54" s="1"/>
  <c r="J128" i="54" s="1"/>
  <c r="G119" i="54"/>
  <c r="I117" i="54"/>
  <c r="I123" i="54"/>
  <c r="I126" i="54" s="1"/>
  <c r="I128" i="54" s="1"/>
  <c r="J119" i="54"/>
  <c r="G118" i="54"/>
  <c r="K117" i="54"/>
  <c r="I119" i="54"/>
  <c r="K123" i="54"/>
  <c r="K126" i="54" s="1"/>
  <c r="K128" i="54" s="1"/>
  <c r="J117" i="54"/>
  <c r="F28" i="58" l="1"/>
  <c r="E81" i="55"/>
  <c r="F81" i="55" s="1"/>
  <c r="G81" i="55" s="1"/>
  <c r="H81" i="55" s="1"/>
  <c r="B81" i="55"/>
  <c r="B82" i="55" s="1"/>
  <c r="B83" i="55" s="1"/>
  <c r="B84" i="55" s="1"/>
  <c r="B85" i="55" s="1"/>
  <c r="B86" i="55" s="1"/>
  <c r="D80" i="55"/>
  <c r="D75" i="55"/>
  <c r="D77" i="55" s="1"/>
  <c r="E73" i="55" s="1"/>
  <c r="J16" i="93"/>
  <c r="K16" i="93"/>
  <c r="B74" i="55"/>
  <c r="B75" i="55" s="1"/>
  <c r="B76" i="55" s="1"/>
  <c r="B77" i="55" s="1"/>
  <c r="D82" i="55" l="1"/>
  <c r="E80" i="55"/>
  <c r="E82" i="55" l="1"/>
  <c r="F80" i="55"/>
  <c r="F82" i="55" l="1"/>
  <c r="G80" i="55"/>
  <c r="G82" i="55" l="1"/>
  <c r="H80" i="55"/>
  <c r="H82" i="55" l="1"/>
  <c r="C15" i="132"/>
  <c r="C14" i="132"/>
  <c r="C12" i="132"/>
  <c r="D12" i="132" s="1"/>
  <c r="E12" i="132" s="1"/>
  <c r="F12" i="132" s="1"/>
  <c r="G12" i="132" s="1"/>
  <c r="G8" i="132"/>
  <c r="F8" i="132" l="1"/>
  <c r="F6" i="132" s="1"/>
  <c r="E9" i="132"/>
  <c r="E10" i="132" s="1"/>
  <c r="E6" i="132"/>
  <c r="C10" i="132"/>
  <c r="B19" i="132"/>
  <c r="C20" i="132"/>
  <c r="B10" i="132"/>
  <c r="G10" i="132"/>
  <c r="D10" i="132"/>
  <c r="B20" i="132"/>
  <c r="B18" i="132"/>
  <c r="C13" i="132"/>
  <c r="D13" i="132" s="1"/>
  <c r="E13" i="132" s="1"/>
  <c r="F13" i="132" s="1"/>
  <c r="G13" i="132" s="1"/>
  <c r="C18" i="132"/>
  <c r="C21" i="132"/>
  <c r="D15" i="132"/>
  <c r="D14" i="132"/>
  <c r="B21" i="132"/>
  <c r="F9" i="132" l="1"/>
  <c r="F10" i="132" s="1"/>
  <c r="B22" i="132"/>
  <c r="B23" i="132" s="1"/>
  <c r="D19" i="132"/>
  <c r="C19" i="132"/>
  <c r="C22" i="132" s="1"/>
  <c r="C23" i="132" s="1"/>
  <c r="D21" i="132"/>
  <c r="E15" i="132"/>
  <c r="E19" i="132"/>
  <c r="I19" i="132" s="1"/>
  <c r="E14" i="132"/>
  <c r="D20" i="132"/>
  <c r="D18" i="132"/>
  <c r="E27" i="66" l="1"/>
  <c r="D22" i="132"/>
  <c r="D23" i="132" s="1"/>
  <c r="F27" i="66"/>
  <c r="G27" i="66"/>
  <c r="F14" i="132"/>
  <c r="E20" i="132"/>
  <c r="I20" i="132" s="1"/>
  <c r="E21" i="132"/>
  <c r="I21" i="132" s="1"/>
  <c r="F15" i="132"/>
  <c r="G19" i="132"/>
  <c r="K19" i="132" s="1"/>
  <c r="F19" i="132"/>
  <c r="J19" i="132" s="1"/>
  <c r="E18" i="132"/>
  <c r="I18" i="132" s="1"/>
  <c r="E22" i="132" l="1"/>
  <c r="E23" i="132" s="1"/>
  <c r="H27" i="66" s="1"/>
  <c r="F18" i="132"/>
  <c r="J18" i="132" s="1"/>
  <c r="G18" i="132"/>
  <c r="K18" i="132" s="1"/>
  <c r="G15" i="132"/>
  <c r="G21" i="132" s="1"/>
  <c r="K21" i="132" s="1"/>
  <c r="F21" i="132"/>
  <c r="J21" i="132" s="1"/>
  <c r="G14" i="132"/>
  <c r="G20" i="132" s="1"/>
  <c r="K20" i="132" s="1"/>
  <c r="F20" i="132"/>
  <c r="J20" i="132" s="1"/>
  <c r="G22" i="132" l="1"/>
  <c r="G23" i="132" s="1"/>
  <c r="F22" i="132"/>
  <c r="F23" i="132" s="1"/>
  <c r="I27" i="66" l="1"/>
  <c r="J27" i="66"/>
  <c r="E295" i="104"/>
  <c r="C295" i="104"/>
  <c r="E294" i="104"/>
  <c r="C294" i="104"/>
  <c r="E293" i="104"/>
  <c r="C293" i="104"/>
  <c r="E292" i="104"/>
  <c r="C292" i="104"/>
  <c r="E291" i="104"/>
  <c r="C291" i="104"/>
  <c r="AD291" i="104" s="1"/>
  <c r="C290" i="104"/>
  <c r="E262" i="104"/>
  <c r="AD262" i="104" s="1"/>
  <c r="AE262" i="104" s="1"/>
  <c r="AG262" i="104" s="1"/>
  <c r="C262" i="104"/>
  <c r="E261" i="104"/>
  <c r="C261" i="104"/>
  <c r="E260" i="104"/>
  <c r="C260" i="104"/>
  <c r="AC260" i="104" s="1"/>
  <c r="E259" i="104"/>
  <c r="C259" i="104"/>
  <c r="AC259" i="104" s="1"/>
  <c r="E258" i="104"/>
  <c r="AB258" i="104" s="1"/>
  <c r="C258" i="104"/>
  <c r="C257" i="104"/>
  <c r="E229" i="104"/>
  <c r="C229" i="104"/>
  <c r="E228" i="104"/>
  <c r="C228" i="104"/>
  <c r="E227" i="104"/>
  <c r="C227" i="104"/>
  <c r="AB227" i="104" s="1"/>
  <c r="E226" i="104"/>
  <c r="C226" i="104"/>
  <c r="E225" i="104"/>
  <c r="C225" i="104"/>
  <c r="C224" i="104"/>
  <c r="E196" i="104"/>
  <c r="C196" i="104"/>
  <c r="E195" i="104"/>
  <c r="C195" i="104"/>
  <c r="E194" i="104"/>
  <c r="C194" i="104"/>
  <c r="E193" i="104"/>
  <c r="C193" i="104"/>
  <c r="AD193" i="104" s="1"/>
  <c r="E192" i="104"/>
  <c r="C192" i="104"/>
  <c r="C191" i="104"/>
  <c r="E163" i="104"/>
  <c r="C163" i="104"/>
  <c r="E162" i="104"/>
  <c r="C162" i="104"/>
  <c r="E161" i="104"/>
  <c r="E160" i="104"/>
  <c r="E159" i="104"/>
  <c r="E130" i="104"/>
  <c r="C130" i="104"/>
  <c r="E129" i="104"/>
  <c r="C129" i="104"/>
  <c r="E128" i="104"/>
  <c r="C128" i="104"/>
  <c r="AC128" i="104" s="1"/>
  <c r="E127" i="104"/>
  <c r="C127" i="104"/>
  <c r="E126" i="104"/>
  <c r="AC126" i="104" s="1"/>
  <c r="C126" i="104"/>
  <c r="E97" i="104"/>
  <c r="C97" i="104"/>
  <c r="E96" i="104"/>
  <c r="C96" i="104"/>
  <c r="E95" i="104"/>
  <c r="C95" i="104"/>
  <c r="E94" i="104"/>
  <c r="C94" i="104"/>
  <c r="E93" i="104"/>
  <c r="C93" i="104"/>
  <c r="C92" i="104"/>
  <c r="E64" i="104"/>
  <c r="C64" i="104"/>
  <c r="AD64" i="104" s="1"/>
  <c r="AE64" i="104" s="1"/>
  <c r="E63" i="104"/>
  <c r="C63" i="104"/>
  <c r="E62" i="104"/>
  <c r="C62" i="104"/>
  <c r="E61" i="104"/>
  <c r="C61" i="104"/>
  <c r="E60" i="104"/>
  <c r="C60" i="104"/>
  <c r="AC60" i="104" s="1"/>
  <c r="E33" i="104"/>
  <c r="C33" i="104"/>
  <c r="E32" i="104"/>
  <c r="C32" i="104"/>
  <c r="E31" i="104"/>
  <c r="C31" i="104"/>
  <c r="E30" i="104"/>
  <c r="C30" i="104"/>
  <c r="AB30" i="104" s="1"/>
  <c r="E29" i="104"/>
  <c r="C29" i="104"/>
  <c r="AD29" i="104" s="1"/>
  <c r="D28" i="104"/>
  <c r="I15" i="58"/>
  <c r="K15" i="58"/>
  <c r="J15" i="58"/>
  <c r="G15" i="58"/>
  <c r="B2" i="93"/>
  <c r="AB293" i="104"/>
  <c r="AD293" i="104"/>
  <c r="AD260" i="104"/>
  <c r="AD225" i="104"/>
  <c r="AA225" i="104"/>
  <c r="Z225" i="104"/>
  <c r="AB225" i="104"/>
  <c r="AC225" i="104"/>
  <c r="AD97" i="104"/>
  <c r="AE97" i="104" s="1"/>
  <c r="Z93" i="104"/>
  <c r="AD62" i="104"/>
  <c r="AC62" i="104"/>
  <c r="AB62" i="104"/>
  <c r="AD32" i="104"/>
  <c r="AB260" i="104" l="1"/>
  <c r="AD229" i="104"/>
  <c r="AE229" i="104" s="1"/>
  <c r="AG229" i="104" s="1"/>
  <c r="AC261" i="104"/>
  <c r="AA30" i="104"/>
  <c r="AA193" i="104"/>
  <c r="AC32" i="104"/>
  <c r="M15" i="58"/>
  <c r="L15" i="58"/>
  <c r="AA127" i="104"/>
  <c r="AB259" i="104"/>
  <c r="AD292" i="104"/>
  <c r="AD63" i="104"/>
  <c r="AD294" i="104"/>
  <c r="Z60" i="104"/>
  <c r="AD61" i="104"/>
  <c r="AA292" i="104"/>
  <c r="AB60" i="104"/>
  <c r="AD128" i="104"/>
  <c r="AB94" i="104"/>
  <c r="AD195" i="104"/>
  <c r="F15" i="58"/>
  <c r="AC63" i="104"/>
  <c r="AE260" i="104"/>
  <c r="AG260" i="104" s="1"/>
  <c r="AC292" i="104"/>
  <c r="AD259" i="104"/>
  <c r="AD30" i="104"/>
  <c r="AC94" i="104"/>
  <c r="AA259" i="104"/>
  <c r="AD261" i="104"/>
  <c r="AE261" i="104" s="1"/>
  <c r="AG261" i="104" s="1"/>
  <c r="AE225" i="104"/>
  <c r="AE62" i="104"/>
  <c r="AG62" i="104" s="1"/>
  <c r="AD130" i="104"/>
  <c r="AE130" i="104" s="1"/>
  <c r="AG130" i="104" s="1"/>
  <c r="AD228" i="104"/>
  <c r="AC228" i="104"/>
  <c r="AG64" i="104"/>
  <c r="AD163" i="104"/>
  <c r="AE163" i="104" s="1"/>
  <c r="AG163" i="104" s="1"/>
  <c r="AB95" i="104"/>
  <c r="AD95" i="104"/>
  <c r="AC95" i="104"/>
  <c r="AD126" i="104"/>
  <c r="AA126" i="104"/>
  <c r="Z126" i="104"/>
  <c r="Z192" i="104"/>
  <c r="AC192" i="104"/>
  <c r="AB192" i="104"/>
  <c r="AA192" i="104"/>
  <c r="AE32" i="104"/>
  <c r="AG32" i="104" s="1"/>
  <c r="AC93" i="104"/>
  <c r="AB93" i="104"/>
  <c r="AB126" i="104"/>
  <c r="AB29" i="104"/>
  <c r="AA29" i="104"/>
  <c r="AA61" i="104"/>
  <c r="AC61" i="104"/>
  <c r="AB61" i="104"/>
  <c r="AD192" i="104"/>
  <c r="AD226" i="104"/>
  <c r="AA226" i="104"/>
  <c r="Z29" i="104"/>
  <c r="AD31" i="104"/>
  <c r="AC31" i="104"/>
  <c r="AB31" i="104"/>
  <c r="AE63" i="104"/>
  <c r="AG63" i="104" s="1"/>
  <c r="AD96" i="104"/>
  <c r="AC96" i="104"/>
  <c r="AD127" i="104"/>
  <c r="AB127" i="104"/>
  <c r="AD129" i="104"/>
  <c r="AC129" i="104"/>
  <c r="AE129" i="104" s="1"/>
  <c r="AD258" i="104"/>
  <c r="Z258" i="104"/>
  <c r="C328" i="104"/>
  <c r="AC30" i="104"/>
  <c r="AD60" i="104"/>
  <c r="AC195" i="104"/>
  <c r="AC29" i="104"/>
  <c r="AD33" i="104"/>
  <c r="AG129" i="104"/>
  <c r="AD227" i="104"/>
  <c r="AC227" i="104"/>
  <c r="AA258" i="104"/>
  <c r="AD295" i="104"/>
  <c r="AE295" i="104" s="1"/>
  <c r="AG295" i="104" s="1"/>
  <c r="Z291" i="104"/>
  <c r="AC291" i="104"/>
  <c r="AB291" i="104"/>
  <c r="AD194" i="104"/>
  <c r="AC194" i="104"/>
  <c r="AC258" i="104"/>
  <c r="AA94" i="104"/>
  <c r="AD94" i="104"/>
  <c r="AG97" i="104"/>
  <c r="AD162" i="104"/>
  <c r="AC162" i="104"/>
  <c r="AC294" i="104"/>
  <c r="AE294" i="104" s="1"/>
  <c r="AG294" i="104" s="1"/>
  <c r="C327" i="104"/>
  <c r="AA93" i="104"/>
  <c r="AD93" i="104"/>
  <c r="AC127" i="104"/>
  <c r="AB128" i="104"/>
  <c r="AC193" i="104"/>
  <c r="AB193" i="104"/>
  <c r="AB194" i="104"/>
  <c r="AD196" i="104"/>
  <c r="AE196" i="104" s="1"/>
  <c r="AG196" i="104" s="1"/>
  <c r="AC226" i="104"/>
  <c r="AB226" i="104"/>
  <c r="AA291" i="104"/>
  <c r="AB292" i="104"/>
  <c r="AC293" i="104"/>
  <c r="AE293" i="104" s="1"/>
  <c r="AG293" i="104" s="1"/>
  <c r="AA60" i="104"/>
  <c r="AG225" i="104"/>
  <c r="AE195" i="104" l="1"/>
  <c r="AG195" i="104" s="1"/>
  <c r="AE292" i="104"/>
  <c r="AG292" i="104" s="1"/>
  <c r="AE94" i="104"/>
  <c r="AG94" i="104" s="1"/>
  <c r="AE127" i="104"/>
  <c r="AG127" i="104" s="1"/>
  <c r="AE30" i="104"/>
  <c r="AG30" i="104" s="1"/>
  <c r="AE60" i="104"/>
  <c r="AG60" i="104" s="1"/>
  <c r="AE128" i="104"/>
  <c r="AG128" i="104" s="1"/>
  <c r="AE162" i="104"/>
  <c r="AG162" i="104" s="1"/>
  <c r="AE193" i="104"/>
  <c r="AG193" i="104" s="1"/>
  <c r="AE194" i="104"/>
  <c r="AG194" i="104" s="1"/>
  <c r="AE227" i="104"/>
  <c r="AG227" i="104" s="1"/>
  <c r="AE259" i="104"/>
  <c r="AG259" i="104" s="1"/>
  <c r="AE258" i="104"/>
  <c r="AG258" i="104" s="1"/>
  <c r="AE96" i="104" a="1"/>
  <c r="AE96" i="104" s="1"/>
  <c r="AG96" i="104" s="1"/>
  <c r="AE29" i="104"/>
  <c r="AG29" i="104" s="1"/>
  <c r="AE61" i="104"/>
  <c r="AG61" i="104" s="1"/>
  <c r="AE95" i="104"/>
  <c r="AG95" i="104" s="1"/>
  <c r="AE228" i="104"/>
  <c r="AG228" i="104" s="1"/>
  <c r="AD328" i="104"/>
  <c r="AE328" i="104" s="1"/>
  <c r="AE33" i="104"/>
  <c r="AG33" i="104" s="1"/>
  <c r="AG328" i="104" s="1"/>
  <c r="AD327" i="104"/>
  <c r="AE226" i="104"/>
  <c r="AG226" i="104" s="1"/>
  <c r="AE192" i="104"/>
  <c r="AG192" i="104" s="1"/>
  <c r="AC327" i="104"/>
  <c r="AE126" i="104"/>
  <c r="AG126" i="104" s="1"/>
  <c r="AE291" i="104"/>
  <c r="AG291" i="104" s="1"/>
  <c r="AE31" i="104"/>
  <c r="AG31" i="104" s="1"/>
  <c r="AG327" i="104" l="1"/>
  <c r="AE327" i="104"/>
  <c r="I16" i="81" l="1"/>
  <c r="G70" i="59"/>
  <c r="G105" i="59" l="1"/>
  <c r="E45" i="107" l="1"/>
  <c r="F15" i="81" l="1"/>
  <c r="G110" i="59" l="1"/>
  <c r="G109" i="59"/>
  <c r="F84" i="131" l="1"/>
  <c r="F83" i="131"/>
  <c r="F82" i="131"/>
  <c r="F81" i="131"/>
  <c r="F80" i="131"/>
  <c r="F79" i="131"/>
  <c r="F78" i="131"/>
  <c r="F77" i="131"/>
  <c r="F76" i="131"/>
  <c r="F75" i="131"/>
  <c r="F74" i="131"/>
  <c r="F73" i="131"/>
  <c r="B73" i="131"/>
  <c r="F68" i="131"/>
  <c r="F67" i="131"/>
  <c r="F66" i="131"/>
  <c r="F65" i="131"/>
  <c r="F64" i="131"/>
  <c r="F63" i="131"/>
  <c r="F62" i="131"/>
  <c r="F61" i="131"/>
  <c r="F60" i="131"/>
  <c r="F59" i="131"/>
  <c r="F58" i="131"/>
  <c r="F57" i="131"/>
  <c r="B57" i="131"/>
  <c r="F52" i="131"/>
  <c r="F51" i="131"/>
  <c r="F50" i="131"/>
  <c r="F49" i="131"/>
  <c r="F48" i="131"/>
  <c r="F47" i="131"/>
  <c r="F46" i="131"/>
  <c r="F45" i="131"/>
  <c r="F44" i="131"/>
  <c r="F43" i="131"/>
  <c r="F42" i="131"/>
  <c r="F41" i="131"/>
  <c r="B41" i="131"/>
  <c r="F36" i="131"/>
  <c r="F35" i="131"/>
  <c r="F34" i="131"/>
  <c r="F33" i="131"/>
  <c r="F32" i="131"/>
  <c r="F31" i="131"/>
  <c r="F30" i="131"/>
  <c r="F29" i="131"/>
  <c r="F28" i="131"/>
  <c r="F27" i="131"/>
  <c r="F26" i="131"/>
  <c r="F25" i="131"/>
  <c r="B25" i="131"/>
  <c r="B9" i="131"/>
  <c r="F26" i="75" l="1"/>
  <c r="D26" i="75"/>
  <c r="D27" i="77"/>
  <c r="K27" i="77" l="1"/>
  <c r="G27" i="77"/>
  <c r="J26" i="75"/>
  <c r="I27" i="77"/>
  <c r="K26" i="75"/>
  <c r="I26" i="75"/>
  <c r="H26" i="75"/>
  <c r="G26" i="75"/>
  <c r="E27" i="77"/>
  <c r="E26" i="75"/>
  <c r="J27" i="77"/>
  <c r="H27" i="77"/>
  <c r="G10" i="93"/>
  <c r="E10" i="93"/>
  <c r="H203" i="130"/>
  <c r="T91" i="129"/>
  <c r="K10" i="93" s="1"/>
  <c r="S91" i="129"/>
  <c r="J10" i="93" s="1"/>
  <c r="R91" i="129"/>
  <c r="I10" i="93" s="1"/>
  <c r="Q91" i="129"/>
  <c r="D21" i="69"/>
  <c r="E21" i="69"/>
  <c r="F21" i="69"/>
  <c r="G21" i="69"/>
  <c r="H21" i="69"/>
  <c r="I21" i="69"/>
  <c r="D39" i="67"/>
  <c r="H10" i="93" l="1"/>
  <c r="T92" i="129"/>
  <c r="H39" i="68"/>
  <c r="H41" i="68" s="1"/>
  <c r="E79" i="67"/>
  <c r="D36" i="67"/>
  <c r="H36" i="67"/>
  <c r="H38" i="67" s="1"/>
  <c r="H40" i="67" s="1"/>
  <c r="I39" i="68"/>
  <c r="I41" i="68" s="1"/>
  <c r="I36" i="67"/>
  <c r="I38" i="67" s="1"/>
  <c r="I40" i="67" s="1"/>
  <c r="D79" i="67"/>
  <c r="I79" i="67"/>
  <c r="G36" i="67"/>
  <c r="G38" i="67" s="1"/>
  <c r="G40" i="67" s="1"/>
  <c r="G39" i="68"/>
  <c r="G41" i="68" s="1"/>
  <c r="H79" i="67"/>
  <c r="F36" i="67"/>
  <c r="F38" i="67" s="1"/>
  <c r="F40" i="67" s="1"/>
  <c r="F39" i="68"/>
  <c r="F41" i="68" s="1"/>
  <c r="E36" i="67"/>
  <c r="E38" i="67" s="1"/>
  <c r="E40" i="67" s="1"/>
  <c r="E39" i="68"/>
  <c r="E41" i="68" s="1"/>
  <c r="G79" i="67"/>
  <c r="F79" i="67"/>
  <c r="D39" i="68"/>
  <c r="D41" i="68" s="1"/>
  <c r="G12" i="65" s="1"/>
  <c r="Q9" i="91" l="1"/>
  <c r="E159" i="59" l="1"/>
  <c r="E157" i="59" l="1"/>
  <c r="I186" i="59" l="1"/>
  <c r="H186" i="59"/>
  <c r="G186" i="59"/>
  <c r="F186" i="59"/>
  <c r="E186" i="59"/>
  <c r="E171" i="59" l="1"/>
  <c r="I100" i="61" l="1"/>
  <c r="F33" i="61" s="1"/>
  <c r="F98" i="61"/>
  <c r="E97" i="61"/>
  <c r="F97" i="61" s="1"/>
  <c r="E96" i="61"/>
  <c r="F96" i="61" s="1"/>
  <c r="E95" i="61"/>
  <c r="F95" i="61" s="1"/>
  <c r="E94" i="61"/>
  <c r="F94" i="61" s="1"/>
  <c r="E93" i="61"/>
  <c r="F93" i="61" s="1"/>
  <c r="H93" i="61" l="1"/>
  <c r="I93" i="61" s="1"/>
  <c r="G38" i="81" l="1"/>
  <c r="J46" i="100" s="1"/>
  <c r="C158" i="104" l="1"/>
  <c r="I16" i="124" l="1"/>
  <c r="E75" i="55" s="1"/>
  <c r="E77" i="55" l="1"/>
  <c r="F73" i="55" s="1"/>
  <c r="J16" i="124"/>
  <c r="K16" i="124" l="1"/>
  <c r="F75" i="55"/>
  <c r="F77" i="55" s="1"/>
  <c r="G73" i="55" s="1"/>
  <c r="L16" i="124" l="1"/>
  <c r="G56" i="55"/>
  <c r="G75" i="55"/>
  <c r="H56" i="55" l="1"/>
  <c r="H75" i="55"/>
  <c r="G77" i="55"/>
  <c r="H73" i="55" s="1"/>
  <c r="H77" i="55" l="1"/>
  <c r="AA61" i="107"/>
  <c r="G33" i="107"/>
  <c r="F33" i="107"/>
  <c r="D33" i="107"/>
  <c r="C28" i="104" l="1"/>
  <c r="E70" i="70"/>
  <c r="C59" i="104"/>
  <c r="C125" i="104"/>
  <c r="H15" i="124"/>
  <c r="I15" i="124"/>
  <c r="E15" i="58"/>
  <c r="C323" i="104" l="1"/>
  <c r="K15" i="124"/>
  <c r="J15" i="124"/>
  <c r="I75" i="124"/>
  <c r="J75" i="124" s="1"/>
  <c r="K75" i="124" s="1"/>
  <c r="L75" i="124" s="1"/>
  <c r="N95" i="59" s="1"/>
  <c r="K80" i="131" s="1"/>
  <c r="G82" i="131" l="1"/>
  <c r="G83" i="131"/>
  <c r="G79" i="131"/>
  <c r="G84" i="131"/>
  <c r="G75" i="131"/>
  <c r="G74" i="131"/>
  <c r="G80" i="131"/>
  <c r="G73" i="131"/>
  <c r="G81" i="131"/>
  <c r="J72" i="124"/>
  <c r="K72" i="124" s="1"/>
  <c r="L72" i="124" s="1"/>
  <c r="N59" i="59" s="1"/>
  <c r="K95" i="59"/>
  <c r="K32" i="131" s="1"/>
  <c r="L95" i="59"/>
  <c r="K48" i="131" s="1"/>
  <c r="M95" i="59"/>
  <c r="K64" i="131" s="1"/>
  <c r="G65" i="131" l="1"/>
  <c r="G63" i="131"/>
  <c r="G67" i="131"/>
  <c r="G66" i="131"/>
  <c r="G58" i="131"/>
  <c r="G57" i="131"/>
  <c r="G64" i="131"/>
  <c r="G68" i="131"/>
  <c r="G59" i="131"/>
  <c r="G47" i="131"/>
  <c r="G42" i="131"/>
  <c r="G41" i="131"/>
  <c r="G51" i="131"/>
  <c r="G52" i="131"/>
  <c r="G49" i="131"/>
  <c r="G50" i="131"/>
  <c r="G48" i="131"/>
  <c r="G43" i="131"/>
  <c r="G33" i="131"/>
  <c r="G34" i="131"/>
  <c r="G25" i="131"/>
  <c r="G31" i="131"/>
  <c r="G26" i="131"/>
  <c r="G36" i="131"/>
  <c r="G32" i="131"/>
  <c r="G27" i="131"/>
  <c r="G35" i="131"/>
  <c r="M59" i="59"/>
  <c r="K59" i="59"/>
  <c r="L59" i="59"/>
  <c r="B159" i="59"/>
  <c r="B160" i="59" s="1"/>
  <c r="B161" i="59" s="1"/>
  <c r="H40" i="60" l="1"/>
  <c r="I74" i="59" s="1"/>
  <c r="H112" i="60"/>
  <c r="J21" i="124"/>
  <c r="L21" i="124"/>
  <c r="K21" i="124"/>
  <c r="I21" i="124"/>
  <c r="H21" i="124"/>
  <c r="K78" i="59" l="1"/>
  <c r="K74" i="59"/>
  <c r="L74" i="59"/>
  <c r="K112" i="60"/>
  <c r="M74" i="59"/>
  <c r="N74" i="59"/>
  <c r="L112" i="60" l="1"/>
  <c r="L78" i="59"/>
  <c r="M78" i="59" l="1"/>
  <c r="M112" i="60"/>
  <c r="L80" i="124"/>
  <c r="M24" i="60" s="1"/>
  <c r="K80" i="124"/>
  <c r="L24" i="60" s="1"/>
  <c r="J80" i="124"/>
  <c r="K24" i="60" s="1"/>
  <c r="I80" i="124"/>
  <c r="J24" i="60" s="1"/>
  <c r="H80" i="124"/>
  <c r="L62" i="124"/>
  <c r="K62" i="124"/>
  <c r="J62" i="124"/>
  <c r="I62" i="124"/>
  <c r="H62" i="124"/>
  <c r="N63" i="59"/>
  <c r="M63" i="59"/>
  <c r="L63" i="59"/>
  <c r="I60" i="124"/>
  <c r="J60" i="124" s="1"/>
  <c r="K60" i="124" s="1"/>
  <c r="L60" i="124" s="1"/>
  <c r="K63" i="59" l="1"/>
  <c r="E250" i="124"/>
  <c r="E251" i="124" s="1"/>
  <c r="E253" i="124" s="1"/>
  <c r="E254" i="124" s="1"/>
  <c r="N78" i="59"/>
  <c r="J105" i="59"/>
  <c r="I212" i="124"/>
  <c r="J212" i="124" s="1"/>
  <c r="K212" i="124" s="1"/>
  <c r="L212" i="124" s="1"/>
  <c r="E236" i="124" l="1"/>
  <c r="E255" i="124"/>
  <c r="E238" i="124"/>
  <c r="K105" i="59"/>
  <c r="J88" i="70"/>
  <c r="L16" i="93"/>
  <c r="D16" i="93"/>
  <c r="E28" i="104"/>
  <c r="E71" i="70"/>
  <c r="E72" i="70"/>
  <c r="E73" i="70"/>
  <c r="E74" i="70"/>
  <c r="E75" i="70"/>
  <c r="E76" i="70"/>
  <c r="E77" i="70"/>
  <c r="E78" i="70"/>
  <c r="E79" i="70"/>
  <c r="E80" i="70"/>
  <c r="E81" i="70"/>
  <c r="E82" i="70"/>
  <c r="E83" i="70"/>
  <c r="E84" i="70"/>
  <c r="E85" i="70"/>
  <c r="E86" i="70"/>
  <c r="H236" i="124" l="1"/>
  <c r="H238" i="124" s="1"/>
  <c r="I238" i="124" s="1"/>
  <c r="G238" i="124"/>
  <c r="I69" i="124" s="1"/>
  <c r="F238" i="124"/>
  <c r="F239" i="124" s="1"/>
  <c r="F241" i="124" s="1"/>
  <c r="F242" i="124" s="1"/>
  <c r="J17" i="54"/>
  <c r="E158" i="104"/>
  <c r="E125" i="104"/>
  <c r="E290" i="104"/>
  <c r="E92" i="104"/>
  <c r="E257" i="104"/>
  <c r="E224" i="104"/>
  <c r="E59" i="104"/>
  <c r="E191" i="104"/>
  <c r="AA28" i="104"/>
  <c r="Y28" i="104"/>
  <c r="Z28" i="104"/>
  <c r="AD28" i="104"/>
  <c r="AC28" i="104"/>
  <c r="AB28" i="104"/>
  <c r="P82" i="70"/>
  <c r="P72" i="70"/>
  <c r="P80" i="70"/>
  <c r="P70" i="70"/>
  <c r="E44" i="107"/>
  <c r="Q70" i="70"/>
  <c r="P78" i="70"/>
  <c r="P86" i="70"/>
  <c r="P74" i="70"/>
  <c r="P83" i="70"/>
  <c r="P79" i="70"/>
  <c r="P71" i="70"/>
  <c r="P84" i="70"/>
  <c r="P76" i="70"/>
  <c r="P85" i="70"/>
  <c r="P77" i="70"/>
  <c r="P81" i="70"/>
  <c r="P73" i="70"/>
  <c r="L105" i="59"/>
  <c r="P75" i="70"/>
  <c r="Z92" i="104" l="1"/>
  <c r="Z98" i="104" s="1"/>
  <c r="Y92" i="104"/>
  <c r="AC92" i="104"/>
  <c r="AC98" i="104" s="1"/>
  <c r="AB92" i="104"/>
  <c r="AB98" i="104" s="1"/>
  <c r="AA92" i="104"/>
  <c r="AA98" i="104" s="1"/>
  <c r="AD92" i="104"/>
  <c r="AD98" i="104" s="1"/>
  <c r="AB34" i="104"/>
  <c r="AD59" i="104"/>
  <c r="AD65" i="104" s="1"/>
  <c r="AC59" i="104"/>
  <c r="AC65" i="104" s="1"/>
  <c r="Y59" i="104"/>
  <c r="AB59" i="104"/>
  <c r="AB65" i="104" s="1"/>
  <c r="Z59" i="104"/>
  <c r="Z65" i="104" s="1"/>
  <c r="AA59" i="104"/>
  <c r="AA65" i="104" s="1"/>
  <c r="AC290" i="104"/>
  <c r="AC296" i="104" s="1"/>
  <c r="AB290" i="104"/>
  <c r="AB296" i="104" s="1"/>
  <c r="AA290" i="104"/>
  <c r="AA296" i="104" s="1"/>
  <c r="Z290" i="104"/>
  <c r="Z296" i="104" s="1"/>
  <c r="Y290" i="104"/>
  <c r="AD290" i="104"/>
  <c r="AD296" i="104" s="1"/>
  <c r="AC34" i="104"/>
  <c r="AD34" i="104"/>
  <c r="Z224" i="104"/>
  <c r="Z230" i="104" s="1"/>
  <c r="AD224" i="104"/>
  <c r="AD230" i="104" s="1"/>
  <c r="AC224" i="104"/>
  <c r="AC230" i="104" s="1"/>
  <c r="AB224" i="104"/>
  <c r="AB230" i="104" s="1"/>
  <c r="Y224" i="104"/>
  <c r="AA224" i="104"/>
  <c r="AA230" i="104" s="1"/>
  <c r="AD125" i="104"/>
  <c r="AD131" i="104" s="1"/>
  <c r="AA125" i="104"/>
  <c r="AA131" i="104" s="1"/>
  <c r="AB125" i="104"/>
  <c r="AB131" i="104" s="1"/>
  <c r="Y125" i="104"/>
  <c r="AC125" i="104"/>
  <c r="AC131" i="104" s="1"/>
  <c r="Z125" i="104"/>
  <c r="Z131" i="104" s="1"/>
  <c r="Z34" i="104"/>
  <c r="AB191" i="104"/>
  <c r="AB197" i="104" s="1"/>
  <c r="AA191" i="104"/>
  <c r="AA197" i="104" s="1"/>
  <c r="Z191" i="104"/>
  <c r="Z197" i="104" s="1"/>
  <c r="AC191" i="104"/>
  <c r="AC197" i="104" s="1"/>
  <c r="Y191" i="104"/>
  <c r="AD191" i="104"/>
  <c r="AD197" i="104" s="1"/>
  <c r="Y34" i="104"/>
  <c r="AE28" i="104"/>
  <c r="AC257" i="104"/>
  <c r="AC263" i="104" s="1"/>
  <c r="AA257" i="104"/>
  <c r="AA263" i="104" s="1"/>
  <c r="Z257" i="104"/>
  <c r="Z263" i="104" s="1"/>
  <c r="AD257" i="104"/>
  <c r="AD263" i="104" s="1"/>
  <c r="Y257" i="104"/>
  <c r="AB257" i="104"/>
  <c r="AB263" i="104" s="1"/>
  <c r="AA158" i="104"/>
  <c r="Z158" i="104"/>
  <c r="AC158" i="104"/>
  <c r="AB158" i="104"/>
  <c r="AD158" i="104"/>
  <c r="Y158" i="104"/>
  <c r="AA34" i="104"/>
  <c r="R70" i="70"/>
  <c r="M105" i="59"/>
  <c r="AE257" i="104" l="1" a="1"/>
  <c r="AE191" i="104" a="1"/>
  <c r="AE191" i="104" s="1"/>
  <c r="Y323" i="104"/>
  <c r="Y329" i="104" s="1"/>
  <c r="AB323" i="104"/>
  <c r="AD323" i="104"/>
  <c r="AC323" i="104"/>
  <c r="Z323" i="104"/>
  <c r="Y230" i="104"/>
  <c r="AE224" i="104"/>
  <c r="AE34" i="104"/>
  <c r="AG28" i="104"/>
  <c r="AG34" i="104" s="1"/>
  <c r="Y263" i="104"/>
  <c r="AE257" i="104"/>
  <c r="AE158" i="104"/>
  <c r="Y164" i="104"/>
  <c r="Y197" i="104"/>
  <c r="AE290" i="104"/>
  <c r="Y296" i="104"/>
  <c r="AE59" i="104"/>
  <c r="Y65" i="104"/>
  <c r="AE125" i="104"/>
  <c r="Y131" i="104"/>
  <c r="AE92" i="104"/>
  <c r="AG92" i="104" s="1"/>
  <c r="Y98" i="104"/>
  <c r="AA323" i="104"/>
  <c r="N105" i="59"/>
  <c r="AE230" i="104" l="1"/>
  <c r="AG224" i="104"/>
  <c r="AG230" i="104" s="1"/>
  <c r="AG158" i="104"/>
  <c r="AE263" i="104"/>
  <c r="AG257" i="104"/>
  <c r="AG263" i="104" s="1"/>
  <c r="AE197" i="104"/>
  <c r="AG191" i="104"/>
  <c r="AG197" i="104" s="1"/>
  <c r="AE131" i="104"/>
  <c r="AG125" i="104"/>
  <c r="AG131" i="104" s="1"/>
  <c r="AE65" i="104"/>
  <c r="AG59" i="104"/>
  <c r="AG65" i="104" s="1"/>
  <c r="AG290" i="104"/>
  <c r="AE296" i="104"/>
  <c r="AE323" i="104"/>
  <c r="H53" i="124"/>
  <c r="L47" i="124"/>
  <c r="N31" i="59" s="1"/>
  <c r="N40" i="81" s="1"/>
  <c r="K47" i="124"/>
  <c r="M31" i="59" s="1"/>
  <c r="M40" i="81" s="1"/>
  <c r="J47" i="124"/>
  <c r="L31" i="59" s="1"/>
  <c r="L40" i="81" s="1"/>
  <c r="K31" i="59"/>
  <c r="K40" i="81" s="1"/>
  <c r="L46" i="124"/>
  <c r="N30" i="59" s="1"/>
  <c r="K46" i="124"/>
  <c r="M30" i="59" s="1"/>
  <c r="J46" i="124"/>
  <c r="L30" i="59" s="1"/>
  <c r="I46" i="124"/>
  <c r="K30" i="59" s="1"/>
  <c r="L45" i="124"/>
  <c r="K45" i="124"/>
  <c r="J45" i="124"/>
  <c r="I45" i="124"/>
  <c r="L44" i="124"/>
  <c r="K44" i="124"/>
  <c r="J44" i="124"/>
  <c r="I44" i="124"/>
  <c r="H45" i="124"/>
  <c r="H44" i="124"/>
  <c r="G41" i="124"/>
  <c r="K1036" i="111"/>
  <c r="K9" i="111" s="1"/>
  <c r="I435" i="111"/>
  <c r="I434" i="111"/>
  <c r="I433" i="111"/>
  <c r="I431" i="111"/>
  <c r="I430" i="111"/>
  <c r="I429" i="111"/>
  <c r="I293" i="111"/>
  <c r="I292" i="111"/>
  <c r="I289" i="111"/>
  <c r="I288" i="111"/>
  <c r="I287" i="111"/>
  <c r="I286" i="111"/>
  <c r="I285" i="111"/>
  <c r="I284" i="111"/>
  <c r="I283" i="111"/>
  <c r="I282" i="111"/>
  <c r="I281" i="111"/>
  <c r="I280" i="111"/>
  <c r="I279" i="111"/>
  <c r="I278" i="111"/>
  <c r="I277" i="111"/>
  <c r="I276" i="111"/>
  <c r="I275" i="111"/>
  <c r="I273" i="111"/>
  <c r="I270" i="111"/>
  <c r="I266" i="111"/>
  <c r="I265" i="111"/>
  <c r="I264" i="111"/>
  <c r="I263" i="111"/>
  <c r="I262" i="111"/>
  <c r="I257" i="111"/>
  <c r="I256" i="111"/>
  <c r="I255" i="111"/>
  <c r="I254" i="111"/>
  <c r="I250" i="111"/>
  <c r="I247" i="111"/>
  <c r="I246" i="111"/>
  <c r="I245" i="111"/>
  <c r="I243" i="111"/>
  <c r="I242" i="111"/>
  <c r="I241" i="111"/>
  <c r="I240" i="111"/>
  <c r="I239" i="111"/>
  <c r="I238" i="111"/>
  <c r="I237" i="111"/>
  <c r="I233" i="111"/>
  <c r="I232" i="111"/>
  <c r="I231" i="111"/>
  <c r="I230" i="111"/>
  <c r="I228" i="111"/>
  <c r="I227" i="111"/>
  <c r="I226" i="111"/>
  <c r="I225" i="111"/>
  <c r="I224" i="111"/>
  <c r="I222" i="111"/>
  <c r="I221" i="111"/>
  <c r="I220" i="111"/>
  <c r="I218" i="111"/>
  <c r="I217" i="111"/>
  <c r="I216" i="111"/>
  <c r="I215" i="111"/>
  <c r="I213" i="111"/>
  <c r="I211" i="111"/>
  <c r="I208" i="111"/>
  <c r="I207" i="111"/>
  <c r="I206" i="111"/>
  <c r="I205" i="111"/>
  <c r="I204" i="111"/>
  <c r="I201" i="111"/>
  <c r="I198" i="111"/>
  <c r="I197" i="111"/>
  <c r="I196" i="111"/>
  <c r="I195" i="111"/>
  <c r="I193" i="111"/>
  <c r="I191" i="111"/>
  <c r="I189" i="111"/>
  <c r="I187" i="111"/>
  <c r="I186" i="111"/>
  <c r="I185" i="111"/>
  <c r="I184" i="111"/>
  <c r="I182" i="111"/>
  <c r="I180" i="111"/>
  <c r="I177" i="111"/>
  <c r="I176" i="111"/>
  <c r="I173" i="111"/>
  <c r="I171" i="111"/>
  <c r="I170" i="111"/>
  <c r="I168" i="111"/>
  <c r="I167" i="111"/>
  <c r="I166" i="111"/>
  <c r="I165" i="111"/>
  <c r="I164" i="111"/>
  <c r="I163" i="111"/>
  <c r="I162" i="111"/>
  <c r="I161" i="111"/>
  <c r="I160" i="111"/>
  <c r="I159" i="111"/>
  <c r="I158" i="111"/>
  <c r="I155" i="111"/>
  <c r="I154" i="111"/>
  <c r="I153" i="111"/>
  <c r="I150" i="111"/>
  <c r="I149" i="111"/>
  <c r="I148" i="111"/>
  <c r="I147" i="111"/>
  <c r="I146" i="111"/>
  <c r="I144" i="111"/>
  <c r="I143" i="111"/>
  <c r="I141" i="111"/>
  <c r="I137" i="111"/>
  <c r="I136" i="111"/>
  <c r="I135" i="111"/>
  <c r="I134" i="111"/>
  <c r="I133" i="111"/>
  <c r="I132" i="111"/>
  <c r="I131" i="111"/>
  <c r="I130" i="111"/>
  <c r="I128" i="111"/>
  <c r="I127" i="111"/>
  <c r="I126" i="111"/>
  <c r="I125" i="111"/>
  <c r="I124" i="111"/>
  <c r="I122" i="111"/>
  <c r="I121" i="111"/>
  <c r="I120" i="111"/>
  <c r="I118" i="111"/>
  <c r="I117" i="111"/>
  <c r="I116" i="111"/>
  <c r="I115" i="111"/>
  <c r="I114" i="111"/>
  <c r="I113" i="111"/>
  <c r="I112" i="111"/>
  <c r="I110" i="111"/>
  <c r="I108" i="111"/>
  <c r="I107" i="111"/>
  <c r="I106" i="111"/>
  <c r="I105" i="111"/>
  <c r="I103" i="111"/>
  <c r="I102" i="111"/>
  <c r="I101" i="111"/>
  <c r="I100" i="111"/>
  <c r="I99" i="111"/>
  <c r="I98" i="111"/>
  <c r="I96" i="111"/>
  <c r="I95" i="111"/>
  <c r="I94" i="111"/>
  <c r="I93" i="111"/>
  <c r="I90" i="111"/>
  <c r="I88" i="111"/>
  <c r="I87" i="111"/>
  <c r="I85" i="111"/>
  <c r="I84" i="111"/>
  <c r="I82" i="111"/>
  <c r="I81" i="111"/>
  <c r="I79" i="111"/>
  <c r="I78" i="111"/>
  <c r="I77" i="111"/>
  <c r="I76" i="111"/>
  <c r="I74" i="111"/>
  <c r="I72" i="111"/>
  <c r="I69" i="111"/>
  <c r="I68" i="111"/>
  <c r="I67" i="111"/>
  <c r="I66" i="111"/>
  <c r="I62" i="111"/>
  <c r="I61" i="111"/>
  <c r="I60" i="111"/>
  <c r="I58" i="111"/>
  <c r="I57" i="111"/>
  <c r="I56" i="111"/>
  <c r="I55" i="111"/>
  <c r="I54" i="111"/>
  <c r="I53" i="111"/>
  <c r="I52" i="111"/>
  <c r="I51" i="111"/>
  <c r="I48" i="111"/>
  <c r="I47" i="111"/>
  <c r="I46" i="111"/>
  <c r="I42" i="111"/>
  <c r="I41" i="111"/>
  <c r="I39" i="111"/>
  <c r="I38" i="111"/>
  <c r="I36" i="111"/>
  <c r="I33" i="111"/>
  <c r="I32" i="111"/>
  <c r="I28" i="111"/>
  <c r="I27" i="111"/>
  <c r="I26" i="111"/>
  <c r="I25" i="111"/>
  <c r="I24" i="111"/>
  <c r="I23" i="111"/>
  <c r="I22" i="111"/>
  <c r="I21" i="111"/>
  <c r="I20" i="111"/>
  <c r="I17" i="111"/>
  <c r="I16" i="111"/>
  <c r="M8" i="111"/>
  <c r="AG296" i="104" l="1"/>
  <c r="AG323" i="104"/>
  <c r="J22" i="110"/>
  <c r="E13" i="93" l="1"/>
  <c r="G12" i="124" s="1"/>
  <c r="I24" i="110" l="1"/>
  <c r="F24" i="110"/>
  <c r="J10" i="110"/>
  <c r="J19" i="110"/>
  <c r="J18" i="110"/>
  <c r="J17" i="110"/>
  <c r="J14" i="110"/>
  <c r="J13" i="110"/>
  <c r="J12" i="110"/>
  <c r="J11" i="110"/>
  <c r="G22" i="110"/>
  <c r="G19" i="110"/>
  <c r="G11" i="110"/>
  <c r="G12" i="110"/>
  <c r="G13" i="110"/>
  <c r="G14" i="110"/>
  <c r="G16" i="110"/>
  <c r="K16" i="110" s="1"/>
  <c r="G17" i="110"/>
  <c r="G18" i="110"/>
  <c r="D20" i="109"/>
  <c r="C20" i="109"/>
  <c r="J21" i="110" l="1"/>
  <c r="J24" i="110" s="1"/>
  <c r="G21" i="110"/>
  <c r="G24" i="110" s="1"/>
  <c r="E12" i="93"/>
  <c r="E124" i="70"/>
  <c r="C22" i="109"/>
  <c r="K11" i="110"/>
  <c r="K17" i="110"/>
  <c r="D22" i="109"/>
  <c r="K18" i="110"/>
  <c r="K13" i="110"/>
  <c r="K19" i="110"/>
  <c r="K12" i="110"/>
  <c r="K14" i="110"/>
  <c r="K22" i="110"/>
  <c r="D25" i="127"/>
  <c r="G25" i="127"/>
  <c r="D91" i="127"/>
  <c r="G91" i="127"/>
  <c r="AF40" i="126"/>
  <c r="AA36" i="126"/>
  <c r="Z36" i="126"/>
  <c r="Y36" i="126"/>
  <c r="X36" i="126"/>
  <c r="S36" i="126"/>
  <c r="R36" i="126"/>
  <c r="Q36" i="126"/>
  <c r="P36" i="126"/>
  <c r="O36" i="126"/>
  <c r="N36" i="126"/>
  <c r="M36" i="126"/>
  <c r="L36" i="126"/>
  <c r="E36" i="126"/>
  <c r="D36" i="126"/>
  <c r="AE34" i="126"/>
  <c r="AD34" i="126"/>
  <c r="AC34" i="126"/>
  <c r="AB34" i="126"/>
  <c r="AA34" i="126"/>
  <c r="Z34" i="126"/>
  <c r="Y34" i="126"/>
  <c r="X34" i="126"/>
  <c r="W34" i="126"/>
  <c r="V34" i="126"/>
  <c r="U34" i="126"/>
  <c r="T34" i="126"/>
  <c r="S34" i="126"/>
  <c r="R34" i="126"/>
  <c r="Q34" i="126"/>
  <c r="P34" i="126"/>
  <c r="O34" i="126"/>
  <c r="N34" i="126"/>
  <c r="M34" i="126"/>
  <c r="L34" i="126"/>
  <c r="K34" i="126"/>
  <c r="J34" i="126"/>
  <c r="I34" i="126"/>
  <c r="H34" i="126"/>
  <c r="G34" i="126"/>
  <c r="F34" i="126"/>
  <c r="E34" i="126"/>
  <c r="D34" i="126"/>
  <c r="AD28" i="126"/>
  <c r="AC28" i="126"/>
  <c r="AB28" i="126"/>
  <c r="D27" i="126"/>
  <c r="E27" i="126" s="1"/>
  <c r="F27" i="126" s="1"/>
  <c r="G27" i="126" s="1"/>
  <c r="H27" i="126" s="1"/>
  <c r="I27" i="126" s="1"/>
  <c r="J27" i="126" s="1"/>
  <c r="K27" i="126" s="1"/>
  <c r="L27" i="126" s="1"/>
  <c r="M27" i="126" s="1"/>
  <c r="N27" i="126" s="1"/>
  <c r="O27" i="126" s="1"/>
  <c r="P27" i="126" s="1"/>
  <c r="Q27" i="126" s="1"/>
  <c r="R27" i="126" s="1"/>
  <c r="S27" i="126" s="1"/>
  <c r="T27" i="126" s="1"/>
  <c r="U27" i="126" s="1"/>
  <c r="V27" i="126" s="1"/>
  <c r="W27" i="126" s="1"/>
  <c r="X27" i="126" s="1"/>
  <c r="Y27" i="126" s="1"/>
  <c r="Z27" i="126" s="1"/>
  <c r="AA27" i="126" s="1"/>
  <c r="AB27" i="126" s="1"/>
  <c r="AC27" i="126" s="1"/>
  <c r="AD27" i="126" s="1"/>
  <c r="AE27" i="126" s="1"/>
  <c r="AF27" i="126" s="1"/>
  <c r="AE21" i="126"/>
  <c r="AD21" i="126"/>
  <c r="AC21" i="126"/>
  <c r="AB21" i="126"/>
  <c r="D20" i="126"/>
  <c r="E20" i="126" s="1"/>
  <c r="F20" i="126" s="1"/>
  <c r="G20" i="126" s="1"/>
  <c r="H20" i="126" s="1"/>
  <c r="I20" i="126" s="1"/>
  <c r="J20" i="126" s="1"/>
  <c r="K20" i="126" s="1"/>
  <c r="L20" i="126" s="1"/>
  <c r="M20" i="126" s="1"/>
  <c r="N20" i="126" s="1"/>
  <c r="O20" i="126" s="1"/>
  <c r="P20" i="126" s="1"/>
  <c r="Q20" i="126" s="1"/>
  <c r="R20" i="126" s="1"/>
  <c r="S20" i="126" s="1"/>
  <c r="T20" i="126" s="1"/>
  <c r="U20" i="126" s="1"/>
  <c r="V20" i="126" s="1"/>
  <c r="W20" i="126" s="1"/>
  <c r="X20" i="126" s="1"/>
  <c r="Y20" i="126" s="1"/>
  <c r="Z20" i="126" s="1"/>
  <c r="AA20" i="126" s="1"/>
  <c r="AB20" i="126" s="1"/>
  <c r="AC20" i="126" s="1"/>
  <c r="AD20" i="126" s="1"/>
  <c r="AE20" i="126" s="1"/>
  <c r="AF20" i="126" s="1"/>
  <c r="AE14" i="126"/>
  <c r="AE13" i="126"/>
  <c r="AD13" i="126"/>
  <c r="AC13" i="126"/>
  <c r="AB13" i="126"/>
  <c r="W13" i="126"/>
  <c r="W36" i="126" s="1"/>
  <c r="V13" i="126"/>
  <c r="V36" i="126" s="1"/>
  <c r="U13" i="126"/>
  <c r="U36" i="126" s="1"/>
  <c r="T13" i="126"/>
  <c r="T36" i="126" s="1"/>
  <c r="K13" i="126"/>
  <c r="K36" i="126" s="1"/>
  <c r="J13" i="126"/>
  <c r="J36" i="126" s="1"/>
  <c r="I13" i="126"/>
  <c r="I36" i="126" s="1"/>
  <c r="H13" i="126"/>
  <c r="H36" i="126" s="1"/>
  <c r="G13" i="126"/>
  <c r="G36" i="126" s="1"/>
  <c r="F13" i="126"/>
  <c r="F36" i="126" s="1"/>
  <c r="D12" i="126"/>
  <c r="E12" i="126" s="1"/>
  <c r="F12" i="126" s="1"/>
  <c r="G12" i="126" s="1"/>
  <c r="H12" i="126" s="1"/>
  <c r="I12" i="126" s="1"/>
  <c r="J12" i="126" s="1"/>
  <c r="K12" i="126" s="1"/>
  <c r="L12" i="126" s="1"/>
  <c r="M12" i="126" s="1"/>
  <c r="N12" i="126" s="1"/>
  <c r="O12" i="126" s="1"/>
  <c r="P12" i="126" s="1"/>
  <c r="Q12" i="126" s="1"/>
  <c r="R12" i="126" s="1"/>
  <c r="S12" i="126" s="1"/>
  <c r="T12" i="126" s="1"/>
  <c r="U12" i="126" s="1"/>
  <c r="V12" i="126" s="1"/>
  <c r="W12" i="126" s="1"/>
  <c r="X12" i="126" s="1"/>
  <c r="Y12" i="126" s="1"/>
  <c r="Z12" i="126" s="1"/>
  <c r="AA12" i="126" s="1"/>
  <c r="AB12" i="126" s="1"/>
  <c r="AC12" i="126" s="1"/>
  <c r="AD12" i="126" s="1"/>
  <c r="AE12" i="126" s="1"/>
  <c r="AF12" i="126" s="1"/>
  <c r="AE36" i="126" l="1"/>
  <c r="AC36" i="126"/>
  <c r="AD36" i="126"/>
  <c r="K21" i="110"/>
  <c r="K24" i="110" s="1"/>
  <c r="E34" i="117"/>
  <c r="E16" i="93"/>
  <c r="E17" i="54" s="1"/>
  <c r="G11" i="124"/>
  <c r="E17" i="93"/>
  <c r="AF13" i="126"/>
  <c r="AF21" i="126"/>
  <c r="AF34" i="126"/>
  <c r="AF28" i="126"/>
  <c r="AF14" i="126"/>
  <c r="D35" i="126"/>
  <c r="E35" i="126" s="1"/>
  <c r="F35" i="126" s="1"/>
  <c r="G35" i="126" s="1"/>
  <c r="H35" i="126" s="1"/>
  <c r="I35" i="126" s="1"/>
  <c r="J35" i="126" s="1"/>
  <c r="K35" i="126" s="1"/>
  <c r="L35" i="126" s="1"/>
  <c r="M35" i="126" s="1"/>
  <c r="N35" i="126" s="1"/>
  <c r="O35" i="126" s="1"/>
  <c r="P35" i="126" s="1"/>
  <c r="Q35" i="126" s="1"/>
  <c r="R35" i="126" s="1"/>
  <c r="S35" i="126" s="1"/>
  <c r="T35" i="126" s="1"/>
  <c r="U35" i="126" s="1"/>
  <c r="V35" i="126" s="1"/>
  <c r="W35" i="126" s="1"/>
  <c r="X35" i="126" s="1"/>
  <c r="Y35" i="126" s="1"/>
  <c r="Z35" i="126" s="1"/>
  <c r="AA35" i="126" s="1"/>
  <c r="AB35" i="126" s="1"/>
  <c r="AC35" i="126" s="1"/>
  <c r="AD35" i="126" s="1"/>
  <c r="AE35" i="126" s="1"/>
  <c r="AB36" i="126"/>
  <c r="AF36" i="126" s="1"/>
  <c r="E61" i="55" l="1"/>
  <c r="F61" i="55"/>
  <c r="G61" i="55"/>
  <c r="H61" i="55"/>
  <c r="D61" i="55"/>
  <c r="E32" i="55"/>
  <c r="E35" i="55"/>
  <c r="E10" i="55"/>
  <c r="Q19" i="91" l="1"/>
  <c r="Q8" i="91"/>
  <c r="Q11" i="91"/>
  <c r="Q14" i="91"/>
  <c r="D45" i="68" l="1"/>
  <c r="F22" i="65" l="1"/>
  <c r="G22" i="65"/>
  <c r="H22" i="65"/>
  <c r="I22" i="65"/>
  <c r="E22" i="65"/>
  <c r="E23" i="65" s="1"/>
  <c r="E24" i="65" s="1"/>
  <c r="D24" i="65"/>
  <c r="F192" i="59"/>
  <c r="G192" i="59"/>
  <c r="H192" i="59"/>
  <c r="I192" i="59"/>
  <c r="F193" i="59"/>
  <c r="G193" i="59"/>
  <c r="H193" i="59"/>
  <c r="I193" i="59"/>
  <c r="E193" i="59"/>
  <c r="E192" i="59"/>
  <c r="F195" i="59"/>
  <c r="G195" i="59"/>
  <c r="H195" i="59"/>
  <c r="I195" i="59"/>
  <c r="E195" i="59"/>
  <c r="F176" i="59"/>
  <c r="G176" i="59"/>
  <c r="H176" i="59"/>
  <c r="I176" i="59"/>
  <c r="E176" i="59"/>
  <c r="F171" i="59"/>
  <c r="G171" i="59"/>
  <c r="H171" i="59"/>
  <c r="I171" i="59"/>
  <c r="F172" i="59"/>
  <c r="G172" i="59"/>
  <c r="H172" i="59"/>
  <c r="I172" i="59"/>
  <c r="F173" i="59"/>
  <c r="G173" i="59"/>
  <c r="H173" i="59"/>
  <c r="I173" i="59"/>
  <c r="E172" i="59"/>
  <c r="E173" i="59"/>
  <c r="F49" i="59"/>
  <c r="H49" i="59" s="1"/>
  <c r="F50" i="59"/>
  <c r="H50" i="59" s="1"/>
  <c r="E174" i="59" l="1"/>
  <c r="H174" i="59"/>
  <c r="I174" i="59"/>
  <c r="G174" i="59"/>
  <c r="F174" i="59"/>
  <c r="F23" i="65"/>
  <c r="F23" i="60"/>
  <c r="K48" i="59" l="1"/>
  <c r="L48" i="59"/>
  <c r="M48" i="59"/>
  <c r="N48" i="59"/>
  <c r="K29" i="59"/>
  <c r="L29" i="59"/>
  <c r="M29" i="59"/>
  <c r="N29" i="59"/>
  <c r="K26" i="59"/>
  <c r="L26" i="59"/>
  <c r="M26" i="59"/>
  <c r="N26" i="59"/>
  <c r="K36" i="81"/>
  <c r="L27" i="59"/>
  <c r="L36" i="81" s="1"/>
  <c r="M27" i="59"/>
  <c r="M36" i="81" s="1"/>
  <c r="N27" i="59"/>
  <c r="N36" i="81" s="1"/>
  <c r="K25" i="59"/>
  <c r="L25" i="59"/>
  <c r="M25" i="59"/>
  <c r="N25" i="59"/>
  <c r="J25" i="59"/>
  <c r="F36" i="81"/>
  <c r="G36" i="81" s="1"/>
  <c r="F35" i="81"/>
  <c r="F34" i="81"/>
  <c r="K40" i="59"/>
  <c r="L40" i="59"/>
  <c r="M40" i="59"/>
  <c r="N40" i="59"/>
  <c r="K44" i="59"/>
  <c r="L44" i="59"/>
  <c r="M44" i="59"/>
  <c r="N44" i="59"/>
  <c r="K43" i="59"/>
  <c r="L43" i="59"/>
  <c r="M43" i="59"/>
  <c r="N43" i="59"/>
  <c r="F43" i="59"/>
  <c r="K42" i="59"/>
  <c r="K99" i="59" s="1"/>
  <c r="K109" i="59" s="1"/>
  <c r="L42" i="59"/>
  <c r="L99" i="59" s="1"/>
  <c r="M42" i="59"/>
  <c r="M99" i="59" s="1"/>
  <c r="N42" i="59"/>
  <c r="N99" i="59" s="1"/>
  <c r="K41" i="59"/>
  <c r="L41" i="59"/>
  <c r="M41" i="59"/>
  <c r="N41" i="59"/>
  <c r="H48" i="124"/>
  <c r="I48" i="124"/>
  <c r="J48" i="124"/>
  <c r="K48" i="124"/>
  <c r="L48" i="124"/>
  <c r="H41" i="124"/>
  <c r="I41" i="124"/>
  <c r="J41" i="124"/>
  <c r="K41" i="124"/>
  <c r="L41" i="124"/>
  <c r="G30" i="81"/>
  <c r="F31" i="81"/>
  <c r="E37" i="81"/>
  <c r="H27" i="81"/>
  <c r="G53" i="124"/>
  <c r="I40" i="66"/>
  <c r="H40" i="66"/>
  <c r="G40" i="66"/>
  <c r="F40" i="66"/>
  <c r="E40" i="66"/>
  <c r="I53" i="124"/>
  <c r="J53" i="124"/>
  <c r="K53" i="124"/>
  <c r="L53" i="124"/>
  <c r="G48" i="124"/>
  <c r="K61" i="59"/>
  <c r="Q89" i="125"/>
  <c r="Q88" i="125"/>
  <c r="G87" i="59" l="1"/>
  <c r="N39" i="59"/>
  <c r="J39" i="59"/>
  <c r="M39" i="59"/>
  <c r="L39" i="59"/>
  <c r="K39" i="59"/>
  <c r="J28" i="59"/>
  <c r="L92" i="125"/>
  <c r="O91" i="125"/>
  <c r="M91" i="125"/>
  <c r="O90" i="125"/>
  <c r="N90" i="125"/>
  <c r="M90" i="125"/>
  <c r="O89" i="125"/>
  <c r="N89" i="125"/>
  <c r="P89" i="125" s="1"/>
  <c r="M89" i="125"/>
  <c r="O88" i="125"/>
  <c r="N88" i="125"/>
  <c r="P88" i="125" s="1"/>
  <c r="M88" i="125"/>
  <c r="Q87" i="125"/>
  <c r="O87" i="125"/>
  <c r="N87" i="125"/>
  <c r="P87" i="125" s="1"/>
  <c r="M87" i="125"/>
  <c r="Q86" i="125"/>
  <c r="O86" i="125"/>
  <c r="N86" i="125"/>
  <c r="P86" i="125" s="1"/>
  <c r="M86" i="125"/>
  <c r="Q85" i="125"/>
  <c r="O85" i="125"/>
  <c r="N85" i="125"/>
  <c r="P85" i="125" s="1"/>
  <c r="M85" i="125"/>
  <c r="Q84" i="125"/>
  <c r="O84" i="125"/>
  <c r="N84" i="125"/>
  <c r="P84" i="125" s="1"/>
  <c r="M84" i="125"/>
  <c r="Q83" i="125"/>
  <c r="O83" i="125"/>
  <c r="N83" i="125"/>
  <c r="P83" i="125" s="1"/>
  <c r="M83" i="125"/>
  <c r="Q82" i="125"/>
  <c r="O82" i="125"/>
  <c r="N82" i="125"/>
  <c r="M82" i="125"/>
  <c r="Q81" i="125"/>
  <c r="O81" i="125"/>
  <c r="M81" i="125"/>
  <c r="Q80" i="125"/>
  <c r="O80" i="125"/>
  <c r="M80" i="125"/>
  <c r="Q79" i="125"/>
  <c r="O79" i="125"/>
  <c r="M79" i="125"/>
  <c r="I74" i="125"/>
  <c r="J74" i="125" s="1"/>
  <c r="I62" i="125"/>
  <c r="I38" i="125"/>
  <c r="N92" i="125" l="1"/>
  <c r="O92" i="125" s="1"/>
  <c r="M11" i="125" s="1"/>
  <c r="M12" i="125" s="1"/>
  <c r="M92" i="125"/>
  <c r="L11" i="125" s="1"/>
  <c r="L12" i="125" s="1"/>
  <c r="P82" i="125"/>
  <c r="P92" i="125" s="1"/>
  <c r="Q92" i="125" l="1"/>
  <c r="G35" i="81"/>
  <c r="N12" i="125" l="1"/>
  <c r="G72" i="61" l="1"/>
  <c r="J11" i="59"/>
  <c r="K11" i="59" s="1"/>
  <c r="L11" i="59" s="1"/>
  <c r="M11" i="59" s="1"/>
  <c r="N11" i="59" s="1"/>
  <c r="G224" i="124"/>
  <c r="F224" i="124"/>
  <c r="G219" i="124" s="1"/>
  <c r="H219" i="124" s="1"/>
  <c r="D83" i="55" s="1"/>
  <c r="G153" i="124"/>
  <c r="F11" i="65" s="1"/>
  <c r="G32" i="124"/>
  <c r="G13" i="124"/>
  <c r="G6" i="124"/>
  <c r="G7" i="124" s="1"/>
  <c r="D84" i="55" l="1"/>
  <c r="D85" i="55"/>
  <c r="H72" i="61"/>
  <c r="I219" i="124"/>
  <c r="E83" i="55" s="1"/>
  <c r="D62" i="55"/>
  <c r="F10" i="65"/>
  <c r="I47" i="66"/>
  <c r="I54" i="66" s="1"/>
  <c r="E47" i="66"/>
  <c r="E54" i="66" s="1"/>
  <c r="K10" i="66" s="1"/>
  <c r="F47" i="66"/>
  <c r="F54" i="66" s="1"/>
  <c r="G47" i="66"/>
  <c r="G54" i="66" s="1"/>
  <c r="H47" i="66"/>
  <c r="H54" i="66" s="1"/>
  <c r="G78" i="124"/>
  <c r="G9" i="124"/>
  <c r="G8" i="124" s="1"/>
  <c r="D86" i="55" l="1"/>
  <c r="I28" i="58"/>
  <c r="E84" i="55"/>
  <c r="E85" i="55"/>
  <c r="I72" i="61"/>
  <c r="J219" i="124"/>
  <c r="F83" i="55" s="1"/>
  <c r="E62" i="55"/>
  <c r="H44" i="59"/>
  <c r="F84" i="55" l="1"/>
  <c r="F85" i="55"/>
  <c r="E86" i="55"/>
  <c r="J72" i="61"/>
  <c r="K219" i="124"/>
  <c r="G83" i="55" s="1"/>
  <c r="F62" i="55"/>
  <c r="G107" i="59"/>
  <c r="G106" i="59"/>
  <c r="G104" i="59"/>
  <c r="E62" i="107"/>
  <c r="E51" i="66"/>
  <c r="J28" i="58" l="1"/>
  <c r="G84" i="55"/>
  <c r="G85" i="55"/>
  <c r="F86" i="55"/>
  <c r="L219" i="124"/>
  <c r="G62" i="55"/>
  <c r="K28" i="58" l="1"/>
  <c r="G86" i="55"/>
  <c r="H62" i="55"/>
  <c r="H83" i="55"/>
  <c r="F3" i="76"/>
  <c r="F2" i="76"/>
  <c r="B8" i="76"/>
  <c r="B9" i="76" s="1"/>
  <c r="L28" i="58" l="1"/>
  <c r="H84" i="55"/>
  <c r="H85" i="55"/>
  <c r="F24" i="59"/>
  <c r="H86" i="55" l="1"/>
  <c r="F25" i="59"/>
  <c r="G25" i="81"/>
  <c r="F12" i="59"/>
  <c r="J12" i="59" s="1"/>
  <c r="K12" i="59" s="1"/>
  <c r="L12" i="59" s="1"/>
  <c r="M12" i="59" s="1"/>
  <c r="N12" i="59" s="1"/>
  <c r="E12" i="59"/>
  <c r="M28" i="58" l="1"/>
  <c r="G20" i="59"/>
  <c r="J20" i="59" s="1"/>
  <c r="K20" i="59" s="1"/>
  <c r="L20" i="59" s="1"/>
  <c r="M20" i="59" s="1"/>
  <c r="N20" i="59" s="1"/>
  <c r="E25" i="81"/>
  <c r="E20" i="59" s="1"/>
  <c r="G34" i="81"/>
  <c r="F20" i="59"/>
  <c r="G15" i="81"/>
  <c r="G12" i="59" s="1"/>
  <c r="H12" i="59" s="1"/>
  <c r="H20" i="59" l="1"/>
  <c r="I175" i="59" l="1"/>
  <c r="H175" i="59"/>
  <c r="G175" i="59"/>
  <c r="F175" i="59"/>
  <c r="E175" i="59"/>
  <c r="B192" i="59"/>
  <c r="B193" i="59" s="1"/>
  <c r="B194" i="59" s="1"/>
  <c r="B195" i="59" s="1"/>
  <c r="B196" i="59" s="1"/>
  <c r="B183" i="59"/>
  <c r="B184" i="59" s="1"/>
  <c r="B185" i="59" s="1"/>
  <c r="B186" i="59" s="1"/>
  <c r="B187" i="59" s="1"/>
  <c r="B169" i="59"/>
  <c r="B170" i="59" s="1"/>
  <c r="B171" i="59" s="1"/>
  <c r="B172" i="59" s="1"/>
  <c r="B173" i="59" s="1"/>
  <c r="B174" i="59" s="1"/>
  <c r="B175" i="59" s="1"/>
  <c r="B176" i="59" s="1"/>
  <c r="B177" i="59" s="1"/>
  <c r="B178" i="59" s="1"/>
  <c r="I19" i="65"/>
  <c r="H19" i="65"/>
  <c r="G19" i="65"/>
  <c r="F19" i="65"/>
  <c r="E19" i="65"/>
  <c r="E177" i="59" l="1"/>
  <c r="F177" i="59"/>
  <c r="G177" i="59"/>
  <c r="H177" i="59"/>
  <c r="I177" i="59"/>
  <c r="E17" i="65" l="1"/>
  <c r="E12" i="78"/>
  <c r="D12" i="78"/>
  <c r="I55" i="66"/>
  <c r="H55" i="66"/>
  <c r="G55" i="66"/>
  <c r="F55" i="66"/>
  <c r="E55" i="66"/>
  <c r="S10" i="66"/>
  <c r="Q10" i="66"/>
  <c r="O10" i="66"/>
  <c r="M10" i="66"/>
  <c r="E53" i="66"/>
  <c r="I52" i="66"/>
  <c r="H52" i="66"/>
  <c r="G52" i="66"/>
  <c r="F52" i="66"/>
  <c r="E52" i="66"/>
  <c r="I51" i="66"/>
  <c r="H51" i="66"/>
  <c r="G51" i="66"/>
  <c r="F51" i="66"/>
  <c r="I53" i="66"/>
  <c r="E13" i="78"/>
  <c r="D13" i="78" s="1"/>
  <c r="H16" i="65"/>
  <c r="I11" i="65" l="1"/>
  <c r="I10" i="65" s="1"/>
  <c r="T10" i="66"/>
  <c r="M11" i="65"/>
  <c r="M10" i="65" s="1"/>
  <c r="F53" i="66"/>
  <c r="G53" i="66"/>
  <c r="H53" i="66"/>
  <c r="R10" i="66" s="1"/>
  <c r="L10" i="66"/>
  <c r="J11" i="65"/>
  <c r="J10" i="65" s="1"/>
  <c r="L11" i="65"/>
  <c r="L10" i="65" s="1"/>
  <c r="N10" i="66" l="1"/>
  <c r="K11" i="65"/>
  <c r="K10" i="65" s="1"/>
  <c r="P10" i="66"/>
  <c r="M13" i="66" l="1"/>
  <c r="L13" i="66"/>
  <c r="L14" i="66" s="1"/>
  <c r="L16" i="66" s="1"/>
  <c r="I14" i="65"/>
  <c r="K14" i="66"/>
  <c r="K16" i="66" s="1"/>
  <c r="I17" i="65" l="1"/>
  <c r="I13" i="58" s="1"/>
  <c r="J14" i="65"/>
  <c r="O13" i="66"/>
  <c r="N13" i="66"/>
  <c r="N14" i="66" s="1"/>
  <c r="N16" i="66" s="1"/>
  <c r="M14" i="66"/>
  <c r="M16" i="66" s="1"/>
  <c r="J17" i="65" l="1"/>
  <c r="J13" i="58" s="1"/>
  <c r="Q13" i="66"/>
  <c r="K14" i="65"/>
  <c r="P13" i="66"/>
  <c r="P14" i="66" s="1"/>
  <c r="P16" i="66" s="1"/>
  <c r="O14" i="66"/>
  <c r="O16" i="66" s="1"/>
  <c r="K17" i="65" l="1"/>
  <c r="K13" i="58" s="1"/>
  <c r="S13" i="66"/>
  <c r="R13" i="66"/>
  <c r="R14" i="66" s="1"/>
  <c r="R16" i="66" s="1"/>
  <c r="L14" i="65"/>
  <c r="Q14" i="66"/>
  <c r="Q16" i="66" s="1"/>
  <c r="L17" i="65" l="1"/>
  <c r="L13" i="58" s="1"/>
  <c r="T13" i="66"/>
  <c r="T14" i="66" s="1"/>
  <c r="T16" i="66" s="1"/>
  <c r="M14" i="65"/>
  <c r="S14" i="66"/>
  <c r="S16" i="66" s="1"/>
  <c r="M17" i="65" l="1"/>
  <c r="M13" i="58" s="1"/>
  <c r="B12" i="58"/>
  <c r="B13" i="58" s="1"/>
  <c r="B14" i="58" s="1"/>
  <c r="B15" i="58" l="1"/>
  <c r="B16" i="58" s="1"/>
  <c r="B17" i="58" s="1"/>
  <c r="B18" i="58" s="1"/>
  <c r="B19" i="58" s="1"/>
  <c r="B20" i="58" s="1"/>
  <c r="B21" i="58" s="1"/>
  <c r="B22" i="58" s="1"/>
  <c r="B72" i="60"/>
  <c r="B73" i="60" s="1"/>
  <c r="B74" i="60" s="1"/>
  <c r="B75" i="60" s="1"/>
  <c r="B76" i="60" s="1"/>
  <c r="B77" i="60" s="1"/>
  <c r="B78" i="60" s="1"/>
  <c r="B79" i="60" s="1"/>
  <c r="B80" i="60" s="1"/>
  <c r="B81" i="60" s="1"/>
  <c r="B58" i="60"/>
  <c r="B59" i="60" s="1"/>
  <c r="B60" i="60" s="1"/>
  <c r="B61" i="60" s="1"/>
  <c r="B62" i="60" s="1"/>
  <c r="B63" i="60" s="1"/>
  <c r="B64" i="60" s="1"/>
  <c r="B65" i="60" s="1"/>
  <c r="B66" i="60" s="1"/>
  <c r="B67" i="60" s="1"/>
  <c r="P4" i="107"/>
  <c r="B23" i="58" l="1"/>
  <c r="B24" i="58" s="1"/>
  <c r="B25" i="58" s="1"/>
  <c r="B26" i="58" s="1"/>
  <c r="B27" i="58" s="1"/>
  <c r="B28" i="58" s="1"/>
  <c r="B29" i="58" s="1"/>
  <c r="B30" i="58" s="1"/>
  <c r="B31" i="58" s="1"/>
  <c r="V111" i="117"/>
  <c r="Q111" i="117"/>
  <c r="L111" i="117"/>
  <c r="G111" i="117"/>
  <c r="V110" i="117"/>
  <c r="Q110" i="117"/>
  <c r="L110" i="117"/>
  <c r="G110" i="117"/>
  <c r="V109" i="117"/>
  <c r="Q109" i="117"/>
  <c r="L109" i="117"/>
  <c r="G109" i="117"/>
  <c r="V108" i="117"/>
  <c r="Q108" i="117"/>
  <c r="L108" i="117"/>
  <c r="G108" i="117"/>
  <c r="V107" i="117"/>
  <c r="Q107" i="117"/>
  <c r="L107" i="117"/>
  <c r="G107" i="117"/>
  <c r="V106" i="117"/>
  <c r="Q106" i="117"/>
  <c r="L106" i="117"/>
  <c r="G106" i="117"/>
  <c r="V105" i="117"/>
  <c r="Q105" i="117"/>
  <c r="L105" i="117"/>
  <c r="G105" i="117"/>
  <c r="V104" i="117"/>
  <c r="Q104" i="117"/>
  <c r="L104" i="117"/>
  <c r="G104" i="117"/>
  <c r="V103" i="117"/>
  <c r="Q103" i="117"/>
  <c r="L103" i="117"/>
  <c r="G103" i="117"/>
  <c r="V102" i="117"/>
  <c r="Q102" i="117"/>
  <c r="L102" i="117"/>
  <c r="G102" i="117"/>
  <c r="V101" i="117"/>
  <c r="Q101" i="117"/>
  <c r="L101" i="117"/>
  <c r="G101" i="117"/>
  <c r="V100" i="117"/>
  <c r="Q100" i="117"/>
  <c r="L100" i="117"/>
  <c r="G100" i="117"/>
  <c r="V99" i="117"/>
  <c r="Q99" i="117"/>
  <c r="L99" i="117"/>
  <c r="G99" i="117"/>
  <c r="V98" i="117"/>
  <c r="Q98" i="117"/>
  <c r="L98" i="117"/>
  <c r="G98" i="117"/>
  <c r="V97" i="117"/>
  <c r="Q97" i="117"/>
  <c r="L97" i="117"/>
  <c r="G97" i="117"/>
  <c r="V96" i="117"/>
  <c r="Q96" i="117"/>
  <c r="L96" i="117"/>
  <c r="G96" i="117"/>
  <c r="V95" i="117"/>
  <c r="Q95" i="117"/>
  <c r="L95" i="117"/>
  <c r="G95" i="117"/>
  <c r="L84" i="117"/>
  <c r="L83" i="117"/>
  <c r="L82" i="117"/>
  <c r="L81" i="117"/>
  <c r="L80" i="117"/>
  <c r="L79" i="117"/>
  <c r="L78" i="117"/>
  <c r="L77" i="117"/>
  <c r="L76" i="117"/>
  <c r="L75" i="117"/>
  <c r="L74" i="117"/>
  <c r="L73" i="117"/>
  <c r="L72" i="117"/>
  <c r="L71" i="117"/>
  <c r="L70" i="117"/>
  <c r="L69" i="117"/>
  <c r="L68" i="117"/>
  <c r="V56" i="117"/>
  <c r="Q56" i="117"/>
  <c r="L56" i="117"/>
  <c r="G56" i="117"/>
  <c r="V55" i="117"/>
  <c r="Q55" i="117"/>
  <c r="L55" i="117"/>
  <c r="G55" i="117"/>
  <c r="V54" i="117"/>
  <c r="Q54" i="117"/>
  <c r="L54" i="117"/>
  <c r="G54" i="117"/>
  <c r="V53" i="117"/>
  <c r="Q53" i="117"/>
  <c r="L53" i="117"/>
  <c r="G53" i="117"/>
  <c r="V52" i="117"/>
  <c r="Q52" i="117"/>
  <c r="L52" i="117"/>
  <c r="G52" i="117"/>
  <c r="V51" i="117"/>
  <c r="Q51" i="117"/>
  <c r="L51" i="117"/>
  <c r="G51" i="117"/>
  <c r="V50" i="117"/>
  <c r="Q50" i="117"/>
  <c r="L50" i="117"/>
  <c r="G50" i="117"/>
  <c r="V49" i="117"/>
  <c r="Q49" i="117"/>
  <c r="L49" i="117"/>
  <c r="G49" i="117"/>
  <c r="V48" i="117"/>
  <c r="Q48" i="117"/>
  <c r="L48" i="117"/>
  <c r="G48" i="117"/>
  <c r="V47" i="117"/>
  <c r="Q47" i="117"/>
  <c r="L47" i="117"/>
  <c r="G47" i="117"/>
  <c r="V46" i="117"/>
  <c r="Q46" i="117"/>
  <c r="L46" i="117"/>
  <c r="G46" i="117"/>
  <c r="V45" i="117"/>
  <c r="Q45" i="117"/>
  <c r="L45" i="117"/>
  <c r="G45" i="117"/>
  <c r="V44" i="117"/>
  <c r="Q44" i="117"/>
  <c r="L44" i="117"/>
  <c r="G44" i="117"/>
  <c r="V43" i="117"/>
  <c r="Q43" i="117"/>
  <c r="L43" i="117"/>
  <c r="G43" i="117"/>
  <c r="V42" i="117"/>
  <c r="Q42" i="117"/>
  <c r="L42" i="117"/>
  <c r="G42" i="117"/>
  <c r="V41" i="117"/>
  <c r="Q41" i="117"/>
  <c r="L41" i="117"/>
  <c r="G41" i="117"/>
  <c r="V40" i="117"/>
  <c r="Q40" i="117"/>
  <c r="L40" i="117"/>
  <c r="G40" i="117"/>
  <c r="L30" i="117"/>
  <c r="L29" i="117"/>
  <c r="L28" i="117"/>
  <c r="L27" i="117"/>
  <c r="L26" i="117"/>
  <c r="L25" i="117"/>
  <c r="L24" i="117"/>
  <c r="L23" i="117"/>
  <c r="L22" i="117"/>
  <c r="L21" i="117"/>
  <c r="L20" i="117"/>
  <c r="L19" i="117"/>
  <c r="L18" i="117"/>
  <c r="L17" i="117"/>
  <c r="L16" i="117"/>
  <c r="L15" i="117"/>
  <c r="L14" i="117"/>
  <c r="G84" i="117"/>
  <c r="G83" i="117"/>
  <c r="G82" i="117"/>
  <c r="G81" i="117"/>
  <c r="G80" i="117"/>
  <c r="G79" i="117"/>
  <c r="G78" i="117"/>
  <c r="G77" i="117"/>
  <c r="G76" i="117"/>
  <c r="G75" i="117"/>
  <c r="G74" i="117"/>
  <c r="G73" i="117"/>
  <c r="G72" i="117"/>
  <c r="G71" i="117"/>
  <c r="G70" i="117"/>
  <c r="G69" i="117"/>
  <c r="G68" i="117"/>
  <c r="G30" i="117"/>
  <c r="G29" i="117"/>
  <c r="G28" i="117"/>
  <c r="G27" i="117"/>
  <c r="G26" i="117"/>
  <c r="G25" i="117"/>
  <c r="G24" i="117"/>
  <c r="G23" i="117"/>
  <c r="G22" i="117"/>
  <c r="G21" i="117"/>
  <c r="G20" i="117"/>
  <c r="G19" i="117"/>
  <c r="G18" i="117"/>
  <c r="G17" i="117"/>
  <c r="G16" i="117"/>
  <c r="G15" i="117"/>
  <c r="G14" i="117"/>
  <c r="K5" i="117"/>
  <c r="K4" i="117"/>
  <c r="V165" i="117"/>
  <c r="U165" i="117"/>
  <c r="T165" i="117"/>
  <c r="Q165" i="117"/>
  <c r="P165" i="117"/>
  <c r="O165" i="117"/>
  <c r="L165" i="117"/>
  <c r="K165" i="117"/>
  <c r="J165" i="117"/>
  <c r="B149" i="117"/>
  <c r="B150" i="117" s="1"/>
  <c r="B151" i="117" s="1"/>
  <c r="B152" i="117" s="1"/>
  <c r="B153" i="117" s="1"/>
  <c r="B154" i="117" s="1"/>
  <c r="B155" i="117" s="1"/>
  <c r="B156" i="117" s="1"/>
  <c r="B157" i="117" s="1"/>
  <c r="B158" i="117" s="1"/>
  <c r="B159" i="117" s="1"/>
  <c r="B160" i="117" s="1"/>
  <c r="B161" i="117" s="1"/>
  <c r="B162" i="117" s="1"/>
  <c r="B163" i="117" s="1"/>
  <c r="B164" i="117" s="1"/>
  <c r="B123" i="117"/>
  <c r="B124" i="117" s="1"/>
  <c r="B125" i="117" s="1"/>
  <c r="B126" i="117" s="1"/>
  <c r="B127" i="117" s="1"/>
  <c r="B128" i="117" s="1"/>
  <c r="B129" i="117" s="1"/>
  <c r="B130" i="117" s="1"/>
  <c r="B131" i="117" s="1"/>
  <c r="B132" i="117" s="1"/>
  <c r="B133" i="117" s="1"/>
  <c r="B134" i="117" s="1"/>
  <c r="B135" i="117" s="1"/>
  <c r="B136" i="117" s="1"/>
  <c r="B137" i="117" s="1"/>
  <c r="B138" i="117" s="1"/>
  <c r="B96" i="117"/>
  <c r="B97" i="117" s="1"/>
  <c r="B98" i="117" s="1"/>
  <c r="B99" i="117" s="1"/>
  <c r="B100" i="117" s="1"/>
  <c r="B101" i="117" s="1"/>
  <c r="B102" i="117" s="1"/>
  <c r="B103" i="117" s="1"/>
  <c r="B104" i="117" s="1"/>
  <c r="B105" i="117" s="1"/>
  <c r="B106" i="117" s="1"/>
  <c r="B107" i="117" s="1"/>
  <c r="B108" i="117" s="1"/>
  <c r="B109" i="117" s="1"/>
  <c r="B110" i="117" s="1"/>
  <c r="B111" i="117" s="1"/>
  <c r="B69" i="117"/>
  <c r="B70" i="117" s="1"/>
  <c r="B71" i="117" s="1"/>
  <c r="B72" i="117" s="1"/>
  <c r="B73" i="117" s="1"/>
  <c r="B74" i="117" s="1"/>
  <c r="B75" i="117" s="1"/>
  <c r="B76" i="117" s="1"/>
  <c r="B77" i="117" s="1"/>
  <c r="B78" i="117" s="1"/>
  <c r="B79" i="117" s="1"/>
  <c r="B80" i="117" s="1"/>
  <c r="B81" i="117" s="1"/>
  <c r="B82" i="117" s="1"/>
  <c r="B83" i="117" s="1"/>
  <c r="B84" i="117" s="1"/>
  <c r="B41" i="117"/>
  <c r="B42" i="117" s="1"/>
  <c r="B43" i="117" s="1"/>
  <c r="B44" i="117" s="1"/>
  <c r="B45" i="117" s="1"/>
  <c r="B46" i="117" s="1"/>
  <c r="B47" i="117" s="1"/>
  <c r="B48" i="117" s="1"/>
  <c r="B49" i="117" s="1"/>
  <c r="B50" i="117" s="1"/>
  <c r="B51" i="117" s="1"/>
  <c r="B52" i="117" s="1"/>
  <c r="B53" i="117" s="1"/>
  <c r="B54" i="117" s="1"/>
  <c r="B55" i="117" s="1"/>
  <c r="B56" i="117" s="1"/>
  <c r="B15" i="117"/>
  <c r="B16" i="117" s="1"/>
  <c r="B17" i="117" s="1"/>
  <c r="B18" i="117" s="1"/>
  <c r="B19" i="117" s="1"/>
  <c r="B20" i="117" s="1"/>
  <c r="B21" i="117" s="1"/>
  <c r="B22" i="117" s="1"/>
  <c r="B23" i="117" s="1"/>
  <c r="B24" i="117" s="1"/>
  <c r="B25" i="117" s="1"/>
  <c r="B26" i="117" s="1"/>
  <c r="B27" i="117" s="1"/>
  <c r="B28" i="117" s="1"/>
  <c r="B29" i="117" s="1"/>
  <c r="B30" i="117" s="1"/>
  <c r="B10" i="57"/>
  <c r="B11" i="57" s="1"/>
  <c r="B12" i="57" s="1"/>
  <c r="B13" i="57" s="1"/>
  <c r="B14" i="57" s="1"/>
  <c r="B15" i="57" s="1"/>
  <c r="B16" i="57" s="1"/>
  <c r="B17" i="57" s="1"/>
  <c r="B18" i="57" s="1"/>
  <c r="B19" i="57" s="1"/>
  <c r="B20" i="57" s="1"/>
  <c r="B21" i="57" s="1"/>
  <c r="B22" i="57" s="1"/>
  <c r="B23" i="57" s="1"/>
  <c r="B24" i="57" s="1"/>
  <c r="B25" i="57" s="1"/>
  <c r="B26" i="57" s="1"/>
  <c r="B27" i="57" s="1"/>
  <c r="B28" i="57" s="1"/>
  <c r="B29" i="57" s="1"/>
  <c r="B30" i="57" s="1"/>
  <c r="B31" i="57" s="1"/>
  <c r="B32" i="57" s="1"/>
  <c r="B33" i="57" s="1"/>
  <c r="B34" i="57" s="1"/>
  <c r="B35" i="57" s="1"/>
  <c r="B36" i="57" s="1"/>
  <c r="B37" i="57" s="1"/>
  <c r="B38" i="57" s="1"/>
  <c r="B39" i="57" s="1"/>
  <c r="B40" i="57" s="1"/>
  <c r="B41" i="57" s="1"/>
  <c r="B43" i="57" s="1"/>
  <c r="B44" i="57" s="1"/>
  <c r="B45" i="57" s="1"/>
  <c r="B46" i="57" s="1"/>
  <c r="B47" i="57" s="1"/>
  <c r="B48" i="57" s="1"/>
  <c r="B49" i="57" s="1"/>
  <c r="B50" i="57" s="1"/>
  <c r="B51" i="57" s="1"/>
  <c r="B52" i="57" s="1"/>
  <c r="B53" i="57" s="1"/>
  <c r="B54" i="57" s="1"/>
  <c r="B55" i="57" s="1"/>
  <c r="B56" i="57" s="1"/>
  <c r="G148" i="117" l="1"/>
  <c r="G154" i="117"/>
  <c r="G158" i="117"/>
  <c r="G160" i="117"/>
  <c r="G127" i="117"/>
  <c r="L131" i="117"/>
  <c r="G152" i="117"/>
  <c r="G164" i="117"/>
  <c r="G124" i="117"/>
  <c r="G125" i="117"/>
  <c r="L123" i="117"/>
  <c r="G156" i="117"/>
  <c r="G162" i="117"/>
  <c r="V57" i="117"/>
  <c r="L128" i="117"/>
  <c r="L136" i="117"/>
  <c r="G128" i="117"/>
  <c r="G136" i="117"/>
  <c r="L125" i="117"/>
  <c r="L133" i="117"/>
  <c r="G151" i="117"/>
  <c r="G161" i="117"/>
  <c r="G126" i="117"/>
  <c r="G129" i="117"/>
  <c r="L129" i="117"/>
  <c r="L137" i="117"/>
  <c r="G123" i="117"/>
  <c r="G131" i="117"/>
  <c r="L138" i="117"/>
  <c r="G137" i="117"/>
  <c r="L127" i="117"/>
  <c r="L135" i="117"/>
  <c r="G159" i="117"/>
  <c r="G134" i="117"/>
  <c r="G85" i="117"/>
  <c r="G138" i="117"/>
  <c r="L126" i="117"/>
  <c r="G112" i="117"/>
  <c r="L132" i="117"/>
  <c r="L57" i="117"/>
  <c r="G122" i="117"/>
  <c r="G153" i="117"/>
  <c r="G155" i="117"/>
  <c r="G157" i="117"/>
  <c r="G163" i="117"/>
  <c r="L112" i="117"/>
  <c r="G133" i="117"/>
  <c r="L122" i="117"/>
  <c r="L130" i="117"/>
  <c r="Q112" i="117"/>
  <c r="G149" i="117"/>
  <c r="G130" i="117"/>
  <c r="G57" i="117"/>
  <c r="G31" i="117"/>
  <c r="L134" i="117"/>
  <c r="L85" i="117"/>
  <c r="Q57" i="117"/>
  <c r="L124" i="117"/>
  <c r="G132" i="117"/>
  <c r="L31" i="117"/>
  <c r="G150" i="117"/>
  <c r="G135" i="117"/>
  <c r="V112" i="117"/>
  <c r="C2" i="115"/>
  <c r="B2" i="113"/>
  <c r="G2" i="112"/>
  <c r="H3" i="111"/>
  <c r="H2" i="110"/>
  <c r="C2" i="109"/>
  <c r="E2" i="108"/>
  <c r="P5" i="107"/>
  <c r="AA87" i="107"/>
  <c r="V87" i="107"/>
  <c r="Q87" i="107"/>
  <c r="L87" i="107"/>
  <c r="G87" i="107"/>
  <c r="D86" i="107"/>
  <c r="B71" i="107"/>
  <c r="B72" i="107" s="1"/>
  <c r="B73" i="107" s="1"/>
  <c r="B74" i="107" s="1"/>
  <c r="B75" i="107" s="1"/>
  <c r="B76" i="107" s="1"/>
  <c r="B77" i="107" s="1"/>
  <c r="B78" i="107" s="1"/>
  <c r="B79" i="107" s="1"/>
  <c r="B80" i="107" s="1"/>
  <c r="B81" i="107" s="1"/>
  <c r="B82" i="107" s="1"/>
  <c r="B83" i="107" s="1"/>
  <c r="B84" i="107" s="1"/>
  <c r="B85" i="107" s="1"/>
  <c r="B86" i="107" s="1"/>
  <c r="V61" i="107"/>
  <c r="Q61" i="107"/>
  <c r="L61" i="107"/>
  <c r="G61" i="107"/>
  <c r="F60" i="107"/>
  <c r="F58" i="107"/>
  <c r="F57" i="107"/>
  <c r="F56" i="107"/>
  <c r="F55" i="107"/>
  <c r="F54" i="107"/>
  <c r="F53" i="107"/>
  <c r="F52" i="107"/>
  <c r="F51" i="107"/>
  <c r="F50" i="107"/>
  <c r="F49" i="107"/>
  <c r="F48" i="107"/>
  <c r="F47" i="107"/>
  <c r="F46" i="107"/>
  <c r="F45" i="107"/>
  <c r="B45" i="107"/>
  <c r="B46" i="107" s="1"/>
  <c r="B47" i="107" s="1"/>
  <c r="B48" i="107" s="1"/>
  <c r="B49" i="107" s="1"/>
  <c r="B50" i="107" s="1"/>
  <c r="B51" i="107" s="1"/>
  <c r="B52" i="107" s="1"/>
  <c r="B53" i="107" s="1"/>
  <c r="B54" i="107" s="1"/>
  <c r="B55" i="107" s="1"/>
  <c r="B56" i="107" s="1"/>
  <c r="B57" i="107" s="1"/>
  <c r="B58" i="107" s="1"/>
  <c r="B59" i="107" s="1"/>
  <c r="B60" i="107" s="1"/>
  <c r="F44" i="107"/>
  <c r="AA33" i="107"/>
  <c r="V33" i="107"/>
  <c r="Q33" i="107"/>
  <c r="L33" i="107"/>
  <c r="B17" i="107"/>
  <c r="B18" i="107" s="1"/>
  <c r="B19" i="107" s="1"/>
  <c r="B20" i="107" s="1"/>
  <c r="B21" i="107" s="1"/>
  <c r="B22" i="107" s="1"/>
  <c r="B23" i="107" s="1"/>
  <c r="B24" i="107" s="1"/>
  <c r="B25" i="107" s="1"/>
  <c r="B26" i="107" s="1"/>
  <c r="B27" i="107" s="1"/>
  <c r="B28" i="107" s="1"/>
  <c r="B29" i="107" s="1"/>
  <c r="B30" i="107" s="1"/>
  <c r="B31" i="107" s="1"/>
  <c r="B32" i="107" s="1"/>
  <c r="B4" i="106"/>
  <c r="B2" i="106"/>
  <c r="B5" i="105"/>
  <c r="B2" i="105"/>
  <c r="B9" i="106"/>
  <c r="B10" i="106" s="1"/>
  <c r="B11" i="106" s="1"/>
  <c r="B12" i="106" s="1"/>
  <c r="B13" i="106" s="1"/>
  <c r="B14" i="106" s="1"/>
  <c r="B15" i="106" s="1"/>
  <c r="B16" i="106" s="1"/>
  <c r="B17" i="106" s="1"/>
  <c r="B18" i="106" s="1"/>
  <c r="B19" i="106" s="1"/>
  <c r="B20" i="106" s="1"/>
  <c r="B15" i="105"/>
  <c r="B64" i="55"/>
  <c r="B65" i="55" s="1"/>
  <c r="B55" i="55"/>
  <c r="B56" i="55" s="1"/>
  <c r="B57" i="55" s="1"/>
  <c r="B58" i="55" s="1"/>
  <c r="G165" i="117" l="1"/>
  <c r="G139" i="117"/>
  <c r="L139" i="117"/>
  <c r="E20" i="61" l="1"/>
  <c r="F30" i="117" l="1"/>
  <c r="F29" i="117"/>
  <c r="F28" i="117"/>
  <c r="F27" i="117"/>
  <c r="F26" i="117"/>
  <c r="F25" i="117"/>
  <c r="F24" i="117"/>
  <c r="F23" i="117"/>
  <c r="F22" i="117"/>
  <c r="F21" i="117"/>
  <c r="F20" i="117"/>
  <c r="F19" i="117"/>
  <c r="F18" i="117"/>
  <c r="F17" i="117"/>
  <c r="F16" i="117"/>
  <c r="F15" i="117"/>
  <c r="F14" i="117"/>
  <c r="E30" i="117"/>
  <c r="E29" i="117"/>
  <c r="E28" i="117"/>
  <c r="E27" i="117"/>
  <c r="E26" i="117"/>
  <c r="E25" i="117"/>
  <c r="E24" i="117"/>
  <c r="E23" i="117"/>
  <c r="E22" i="117"/>
  <c r="E21" i="117"/>
  <c r="E20" i="117"/>
  <c r="E19" i="117"/>
  <c r="E18" i="117"/>
  <c r="E17" i="117"/>
  <c r="E16" i="117"/>
  <c r="E15" i="117"/>
  <c r="E14" i="117"/>
  <c r="E31" i="117" l="1"/>
  <c r="D23" i="69" s="1"/>
  <c r="F31" i="117"/>
  <c r="F11" i="59" l="1"/>
  <c r="E11" i="59" s="1"/>
  <c r="F41" i="59" l="1"/>
  <c r="E64" i="59"/>
  <c r="E63" i="59"/>
  <c r="F39" i="59"/>
  <c r="E33" i="59"/>
  <c r="E24" i="60" l="1"/>
  <c r="E33" i="70" l="1"/>
  <c r="E34" i="70" s="1"/>
  <c r="E32" i="117" l="1"/>
  <c r="E42" i="81"/>
  <c r="E45" i="81" s="1"/>
  <c r="B11" i="66" l="1"/>
  <c r="B12" i="66" s="1"/>
  <c r="B13" i="66" s="1"/>
  <c r="B14" i="66" s="1"/>
  <c r="B15" i="66" s="1"/>
  <c r="B16" i="66" s="1"/>
  <c r="M49" i="74"/>
  <c r="I49" i="74"/>
  <c r="H49" i="74"/>
  <c r="F49" i="74"/>
  <c r="E49" i="74"/>
  <c r="M40" i="74"/>
  <c r="I40" i="74"/>
  <c r="H40" i="74"/>
  <c r="F40" i="74"/>
  <c r="E40" i="74"/>
  <c r="M31" i="74"/>
  <c r="I31" i="74"/>
  <c r="H31" i="74"/>
  <c r="F31" i="74"/>
  <c r="E31" i="74"/>
  <c r="M22" i="74"/>
  <c r="I22" i="74"/>
  <c r="H22" i="74"/>
  <c r="F22" i="74"/>
  <c r="E22" i="74"/>
  <c r="M11" i="74"/>
  <c r="I11" i="74"/>
  <c r="H11" i="74"/>
  <c r="F11" i="74"/>
  <c r="Q28" i="91"/>
  <c r="Q26" i="91"/>
  <c r="Q25" i="91"/>
  <c r="Q24" i="91"/>
  <c r="L11" i="72" l="1"/>
  <c r="E30" i="58" l="1"/>
  <c r="E22" i="58"/>
  <c r="B19" i="61"/>
  <c r="B20" i="61" s="1"/>
  <c r="B21" i="61" s="1"/>
  <c r="B22" i="61" s="1"/>
  <c r="B23" i="61" s="1"/>
  <c r="B24" i="61" s="1"/>
  <c r="B25" i="61" s="1"/>
  <c r="B26" i="61" s="1"/>
  <c r="B27" i="61" s="1"/>
  <c r="B28" i="61" s="1"/>
  <c r="B29" i="61" s="1"/>
  <c r="B30" i="61" s="1"/>
  <c r="B32" i="61" s="1"/>
  <c r="M51" i="74"/>
  <c r="M42" i="74"/>
  <c r="M33" i="74"/>
  <c r="N55" i="73"/>
  <c r="M56" i="73"/>
  <c r="N45" i="73" l="1"/>
  <c r="M46" i="73"/>
  <c r="Q29" i="91"/>
  <c r="E11" i="72" s="1"/>
  <c r="Q17" i="91"/>
  <c r="B14" i="91"/>
  <c r="B15" i="91" s="1"/>
  <c r="B16" i="91" s="1"/>
  <c r="B17" i="91" s="1"/>
  <c r="B18" i="91" s="1"/>
  <c r="B19" i="91" s="1"/>
  <c r="B20" i="91" s="1"/>
  <c r="B21" i="91" s="1"/>
  <c r="B22" i="91" s="1"/>
  <c r="B23" i="91" s="1"/>
  <c r="B24" i="91" s="1"/>
  <c r="B25" i="91" s="1"/>
  <c r="B26" i="91" s="1"/>
  <c r="B27" i="91" s="1"/>
  <c r="B28" i="91" s="1"/>
  <c r="B30" i="91" s="1"/>
  <c r="B31" i="91" s="1"/>
  <c r="B9" i="91"/>
  <c r="B10" i="91" s="1"/>
  <c r="B11" i="91" s="1"/>
  <c r="B12" i="91" s="1"/>
  <c r="F10" i="61"/>
  <c r="E10" i="61"/>
  <c r="B33" i="61"/>
  <c r="B34" i="61" s="1"/>
  <c r="B35" i="61" s="1"/>
  <c r="F56" i="81"/>
  <c r="F40" i="81"/>
  <c r="F39" i="81"/>
  <c r="G40" i="81"/>
  <c r="G39" i="81"/>
  <c r="I46" i="100"/>
  <c r="E35" i="59"/>
  <c r="E34" i="59"/>
  <c r="H31" i="59"/>
  <c r="E28" i="59"/>
  <c r="B27" i="59"/>
  <c r="B28" i="59" s="1"/>
  <c r="E111" i="60"/>
  <c r="E110" i="60"/>
  <c r="E96" i="60"/>
  <c r="E95" i="60"/>
  <c r="H40" i="81" l="1"/>
  <c r="E36" i="59"/>
  <c r="E37" i="59" s="1"/>
  <c r="H39" i="81"/>
  <c r="F38" i="81"/>
  <c r="G37" i="81"/>
  <c r="F37" i="81"/>
  <c r="F41" i="81" l="1"/>
  <c r="N65" i="59" l="1"/>
  <c r="N111" i="59" s="1"/>
  <c r="M65" i="59"/>
  <c r="M111" i="59" s="1"/>
  <c r="L65" i="59"/>
  <c r="L111" i="59" s="1"/>
  <c r="K65" i="59"/>
  <c r="K111" i="59" s="1"/>
  <c r="J65" i="59"/>
  <c r="J111" i="59" s="1"/>
  <c r="K131" i="59" l="1"/>
  <c r="L131" i="59"/>
  <c r="M131" i="59"/>
  <c r="N131" i="59"/>
  <c r="K137" i="59"/>
  <c r="L137" i="59"/>
  <c r="M137" i="59"/>
  <c r="N137" i="59"/>
  <c r="J137" i="59"/>
  <c r="J131" i="59"/>
  <c r="K80" i="59"/>
  <c r="K123" i="59" s="1"/>
  <c r="L80" i="59"/>
  <c r="L123" i="59" s="1"/>
  <c r="M80" i="59"/>
  <c r="M123" i="59" s="1"/>
  <c r="N80" i="59"/>
  <c r="N123" i="59" s="1"/>
  <c r="J80" i="59"/>
  <c r="J123" i="59" s="1"/>
  <c r="K60" i="81"/>
  <c r="L60" i="81"/>
  <c r="M60" i="81"/>
  <c r="N60" i="81"/>
  <c r="K61" i="81"/>
  <c r="L61" i="81"/>
  <c r="M61" i="81"/>
  <c r="N61" i="81"/>
  <c r="J61" i="81"/>
  <c r="J60" i="81"/>
  <c r="K56" i="81"/>
  <c r="L56" i="81"/>
  <c r="M56" i="81"/>
  <c r="N56" i="81"/>
  <c r="J56" i="81"/>
  <c r="K52" i="81"/>
  <c r="L52" i="81"/>
  <c r="M52" i="81"/>
  <c r="N52" i="81"/>
  <c r="J52" i="81"/>
  <c r="K31" i="81"/>
  <c r="L31" i="81"/>
  <c r="M31" i="81"/>
  <c r="N31" i="81"/>
  <c r="J31" i="81"/>
  <c r="K25" i="81"/>
  <c r="L25" i="81"/>
  <c r="M25" i="81"/>
  <c r="N25" i="81"/>
  <c r="J25" i="81"/>
  <c r="O51" i="71" l="1"/>
  <c r="O43" i="71"/>
  <c r="O35" i="71"/>
  <c r="D12" i="55"/>
  <c r="V167" i="70"/>
  <c r="U167" i="70"/>
  <c r="T167" i="70"/>
  <c r="Q167" i="70"/>
  <c r="P167" i="70"/>
  <c r="O167" i="70"/>
  <c r="L167" i="70"/>
  <c r="K167" i="70"/>
  <c r="J167" i="70"/>
  <c r="V114" i="70"/>
  <c r="V113" i="117" s="1"/>
  <c r="Q114" i="70"/>
  <c r="Q113" i="117" s="1"/>
  <c r="L114" i="70"/>
  <c r="L113" i="117" s="1"/>
  <c r="G150" i="70"/>
  <c r="G151" i="70"/>
  <c r="G152" i="70"/>
  <c r="G153" i="70"/>
  <c r="G154" i="70"/>
  <c r="G155" i="70"/>
  <c r="G156" i="70"/>
  <c r="G157" i="70"/>
  <c r="G158" i="70"/>
  <c r="G159" i="70"/>
  <c r="G160" i="70"/>
  <c r="G161" i="70"/>
  <c r="G162" i="70"/>
  <c r="G163" i="70"/>
  <c r="G164" i="70"/>
  <c r="G165" i="70"/>
  <c r="G166" i="70"/>
  <c r="V59" i="70"/>
  <c r="V58" i="117" s="1"/>
  <c r="Q59" i="70"/>
  <c r="Q58" i="117" s="1"/>
  <c r="L59" i="70"/>
  <c r="L58" i="117" s="1"/>
  <c r="L33" i="70"/>
  <c r="L32" i="117" s="1"/>
  <c r="G59" i="70"/>
  <c r="G58" i="117" s="1"/>
  <c r="L87" i="70"/>
  <c r="L86" i="117" s="1"/>
  <c r="G114" i="70"/>
  <c r="G113" i="117" s="1"/>
  <c r="D17" i="54" l="1"/>
  <c r="G167" i="70"/>
  <c r="H14" i="58"/>
  <c r="E13" i="58" l="1"/>
  <c r="F150" i="59" l="1"/>
  <c r="H150" i="59" s="1"/>
  <c r="F149" i="59"/>
  <c r="H149" i="59" s="1"/>
  <c r="F148" i="59"/>
  <c r="H148" i="59" s="1"/>
  <c r="F147" i="59"/>
  <c r="H147" i="59" s="1"/>
  <c r="F146" i="59"/>
  <c r="H146" i="59" s="1"/>
  <c r="F145" i="59"/>
  <c r="H145" i="59" s="1"/>
  <c r="F144" i="59"/>
  <c r="H144" i="59" s="1"/>
  <c r="F143" i="59"/>
  <c r="H143" i="59" s="1"/>
  <c r="F142" i="59"/>
  <c r="H142" i="59" s="1"/>
  <c r="H137" i="59"/>
  <c r="G137" i="59"/>
  <c r="F136" i="59"/>
  <c r="F135" i="59"/>
  <c r="F134" i="59"/>
  <c r="G131" i="59"/>
  <c r="F130" i="59"/>
  <c r="H130" i="59" s="1"/>
  <c r="F129" i="59"/>
  <c r="H129" i="59" s="1"/>
  <c r="F128" i="59"/>
  <c r="H30" i="59"/>
  <c r="H22" i="59"/>
  <c r="F131" i="59" l="1"/>
  <c r="H128" i="59"/>
  <c r="F137" i="59"/>
  <c r="F151" i="59"/>
  <c r="H151" i="59" s="1"/>
  <c r="H131" i="59"/>
  <c r="F152" i="59"/>
  <c r="H152" i="59" s="1"/>
  <c r="B29" i="78" l="1"/>
  <c r="B30" i="78" s="1"/>
  <c r="L140" i="70" l="1"/>
  <c r="L139" i="70"/>
  <c r="L138" i="70"/>
  <c r="L137" i="70"/>
  <c r="L136" i="70"/>
  <c r="G140" i="70"/>
  <c r="G139" i="70"/>
  <c r="G138" i="70"/>
  <c r="G137" i="70"/>
  <c r="G136" i="70"/>
  <c r="G87" i="70"/>
  <c r="G86" i="117" s="1"/>
  <c r="G33" i="70" l="1"/>
  <c r="G32" i="117" s="1"/>
  <c r="B116" i="60" l="1"/>
  <c r="B117" i="60" s="1"/>
  <c r="B118" i="60" s="1"/>
  <c r="B119" i="60" s="1"/>
  <c r="B120" i="60" s="1"/>
  <c r="B121" i="60" s="1"/>
  <c r="B122" i="60" s="1"/>
  <c r="B123" i="60" s="1"/>
  <c r="B124" i="60" s="1"/>
  <c r="B129" i="60"/>
  <c r="B130" i="60" s="1"/>
  <c r="B131" i="60" s="1"/>
  <c r="B132" i="60" s="1"/>
  <c r="B133" i="60" s="1"/>
  <c r="B134" i="60" s="1"/>
  <c r="B135" i="60" s="1"/>
  <c r="B136" i="60" s="1"/>
  <c r="B137" i="60" s="1"/>
  <c r="B44" i="60"/>
  <c r="B45" i="60" s="1"/>
  <c r="B46" i="60" s="1"/>
  <c r="B47" i="60" s="1"/>
  <c r="B48" i="60" s="1"/>
  <c r="B49" i="60" s="1"/>
  <c r="B50" i="60" s="1"/>
  <c r="B51" i="60" s="1"/>
  <c r="B52" i="60" s="1"/>
  <c r="B53" i="60" s="1"/>
  <c r="K109" i="54" l="1"/>
  <c r="H109" i="54"/>
  <c r="K107" i="54"/>
  <c r="H107" i="54"/>
  <c r="K99" i="54"/>
  <c r="H99" i="54"/>
  <c r="K97" i="54"/>
  <c r="H97" i="54"/>
  <c r="K89" i="54"/>
  <c r="H89" i="54"/>
  <c r="K87" i="54"/>
  <c r="H87" i="54"/>
  <c r="K79" i="54"/>
  <c r="H79" i="54"/>
  <c r="K77" i="54"/>
  <c r="H77" i="54"/>
  <c r="K69" i="54"/>
  <c r="H69" i="54"/>
  <c r="K67" i="54"/>
  <c r="H67" i="54"/>
  <c r="G111" i="60" l="1"/>
  <c r="G110" i="60"/>
  <c r="G96" i="60"/>
  <c r="G95" i="60"/>
  <c r="G25" i="60"/>
  <c r="B36" i="67" l="1"/>
  <c r="B37" i="67" s="1"/>
  <c r="B38" i="67" s="1"/>
  <c r="B39" i="67" s="1"/>
  <c r="B40" i="67" s="1"/>
  <c r="H123" i="54" l="1"/>
  <c r="H126" i="54" s="1"/>
  <c r="H128" i="54" s="1"/>
  <c r="H119" i="54"/>
  <c r="H118" i="54"/>
  <c r="H117" i="54"/>
  <c r="B103" i="54" l="1"/>
  <c r="B104" i="54" s="1"/>
  <c r="B105" i="54" s="1"/>
  <c r="B106" i="54" s="1"/>
  <c r="B107" i="54" s="1"/>
  <c r="B108" i="54" s="1"/>
  <c r="B109" i="54" s="1"/>
  <c r="B110" i="54" s="1"/>
  <c r="B93" i="54"/>
  <c r="B94" i="54" s="1"/>
  <c r="B95" i="54" s="1"/>
  <c r="B96" i="54" s="1"/>
  <c r="B97" i="54" s="1"/>
  <c r="B98" i="54" s="1"/>
  <c r="B99" i="54" s="1"/>
  <c r="B100" i="54" s="1"/>
  <c r="B83" i="54"/>
  <c r="B84" i="54" s="1"/>
  <c r="B85" i="54" s="1"/>
  <c r="B86" i="54" s="1"/>
  <c r="B87" i="54" s="1"/>
  <c r="B88" i="54" s="1"/>
  <c r="B89" i="54" s="1"/>
  <c r="B90" i="54" s="1"/>
  <c r="B73" i="54"/>
  <c r="B74" i="54" s="1"/>
  <c r="B75" i="54" s="1"/>
  <c r="B76" i="54" s="1"/>
  <c r="B77" i="54" s="1"/>
  <c r="B78" i="54" s="1"/>
  <c r="B79" i="54" s="1"/>
  <c r="B80" i="54" s="1"/>
  <c r="B63" i="54"/>
  <c r="B64" i="54" s="1"/>
  <c r="B65" i="54" s="1"/>
  <c r="B66" i="54" s="1"/>
  <c r="B67" i="54" s="1"/>
  <c r="B68" i="54" s="1"/>
  <c r="B69" i="54" s="1"/>
  <c r="B70" i="54" s="1"/>
  <c r="B53" i="54"/>
  <c r="B54" i="54" s="1"/>
  <c r="B55" i="54" s="1"/>
  <c r="B56" i="54" s="1"/>
  <c r="B57" i="54" s="1"/>
  <c r="B58" i="54" s="1"/>
  <c r="B59" i="54" s="1"/>
  <c r="B60" i="54" s="1"/>
  <c r="K4" i="70" l="1"/>
  <c r="K5" i="70"/>
  <c r="L135" i="70" l="1"/>
  <c r="L134" i="70"/>
  <c r="L133" i="70"/>
  <c r="L132" i="70"/>
  <c r="L131" i="70"/>
  <c r="L130" i="70"/>
  <c r="L129" i="70"/>
  <c r="L128" i="70"/>
  <c r="L127" i="70"/>
  <c r="L126" i="70"/>
  <c r="L125" i="70"/>
  <c r="B151" i="70"/>
  <c r="B152" i="70" s="1"/>
  <c r="B153" i="70" s="1"/>
  <c r="B154" i="70" s="1"/>
  <c r="B155" i="70" s="1"/>
  <c r="B156" i="70" s="1"/>
  <c r="B157" i="70" s="1"/>
  <c r="B158" i="70" s="1"/>
  <c r="B159" i="70" s="1"/>
  <c r="B160" i="70" s="1"/>
  <c r="B161" i="70" s="1"/>
  <c r="B162" i="70" s="1"/>
  <c r="B163" i="70" s="1"/>
  <c r="B164" i="70" s="1"/>
  <c r="B165" i="70" s="1"/>
  <c r="B166" i="70" s="1"/>
  <c r="L124" i="70"/>
  <c r="G135" i="70"/>
  <c r="G134" i="70"/>
  <c r="G133" i="70"/>
  <c r="G132" i="70"/>
  <c r="G131" i="70"/>
  <c r="G130" i="70"/>
  <c r="G129" i="70"/>
  <c r="G128" i="70"/>
  <c r="G127" i="70"/>
  <c r="G126" i="70"/>
  <c r="G125" i="70"/>
  <c r="B125" i="70"/>
  <c r="B126" i="70" s="1"/>
  <c r="B127" i="70" s="1"/>
  <c r="B128" i="70" s="1"/>
  <c r="B129" i="70" s="1"/>
  <c r="B130" i="70" s="1"/>
  <c r="B131" i="70" s="1"/>
  <c r="B132" i="70" s="1"/>
  <c r="B133" i="70" s="1"/>
  <c r="B134" i="70" s="1"/>
  <c r="B135" i="70" s="1"/>
  <c r="B136" i="70" s="1"/>
  <c r="B137" i="70" s="1"/>
  <c r="B138" i="70" s="1"/>
  <c r="B139" i="70" s="1"/>
  <c r="B140" i="70" s="1"/>
  <c r="G124" i="70"/>
  <c r="B98" i="70"/>
  <c r="B99" i="70" s="1"/>
  <c r="B100" i="70" s="1"/>
  <c r="B101" i="70" s="1"/>
  <c r="B102" i="70" s="1"/>
  <c r="B103" i="70" s="1"/>
  <c r="B104" i="70" s="1"/>
  <c r="B105" i="70" s="1"/>
  <c r="B106" i="70" s="1"/>
  <c r="B107" i="70" s="1"/>
  <c r="B108" i="70" s="1"/>
  <c r="B109" i="70" s="1"/>
  <c r="B110" i="70" s="1"/>
  <c r="B111" i="70" s="1"/>
  <c r="B112" i="70" s="1"/>
  <c r="B113" i="70" s="1"/>
  <c r="B71" i="70"/>
  <c r="B72" i="70" s="1"/>
  <c r="B73" i="70" s="1"/>
  <c r="B74" i="70" s="1"/>
  <c r="B75" i="70" s="1"/>
  <c r="B76" i="70" s="1"/>
  <c r="B77" i="70" s="1"/>
  <c r="B78" i="70" s="1"/>
  <c r="B79" i="70" s="1"/>
  <c r="B80" i="70" s="1"/>
  <c r="B81" i="70" s="1"/>
  <c r="B82" i="70" s="1"/>
  <c r="B83" i="70" s="1"/>
  <c r="B84" i="70" s="1"/>
  <c r="B85" i="70" s="1"/>
  <c r="B86" i="70" s="1"/>
  <c r="B43" i="70"/>
  <c r="B44" i="70" s="1"/>
  <c r="B45" i="70" s="1"/>
  <c r="B46" i="70" s="1"/>
  <c r="B47" i="70" s="1"/>
  <c r="B48" i="70" s="1"/>
  <c r="B49" i="70" s="1"/>
  <c r="B50" i="70" s="1"/>
  <c r="B51" i="70" s="1"/>
  <c r="B52" i="70" s="1"/>
  <c r="B53" i="70" s="1"/>
  <c r="B54" i="70" s="1"/>
  <c r="B55" i="70" s="1"/>
  <c r="B56" i="70" s="1"/>
  <c r="B57" i="70" s="1"/>
  <c r="B58" i="70" s="1"/>
  <c r="B17" i="70"/>
  <c r="B18" i="70" s="1"/>
  <c r="B19" i="70" s="1"/>
  <c r="B20" i="70" s="1"/>
  <c r="B21" i="70" s="1"/>
  <c r="B22" i="70" s="1"/>
  <c r="B23" i="70" s="1"/>
  <c r="B24" i="70" s="1"/>
  <c r="B25" i="70" s="1"/>
  <c r="B26" i="70" s="1"/>
  <c r="B27" i="70" s="1"/>
  <c r="B28" i="70" s="1"/>
  <c r="B29" i="70" s="1"/>
  <c r="B30" i="70" s="1"/>
  <c r="B31" i="70" s="1"/>
  <c r="B32" i="70" s="1"/>
  <c r="L141" i="70" l="1"/>
  <c r="G141" i="70"/>
  <c r="D18" i="55" l="1"/>
  <c r="D19" i="55" l="1"/>
  <c r="O10" i="71" l="1"/>
  <c r="O19" i="71"/>
  <c r="O27" i="71"/>
  <c r="N112" i="60" l="1"/>
  <c r="N97" i="60"/>
  <c r="N40" i="60"/>
  <c r="B12" i="60"/>
  <c r="B13" i="60" s="1"/>
  <c r="B14" i="60" s="1"/>
  <c r="B15" i="60" s="1"/>
  <c r="B16" i="60" s="1"/>
  <c r="B17" i="60" s="1"/>
  <c r="B18" i="60" s="1"/>
  <c r="B19" i="60" s="1"/>
  <c r="B20" i="60" s="1"/>
  <c r="B21" i="60" s="1"/>
  <c r="B22" i="60" s="1"/>
  <c r="B23" i="60" s="1"/>
  <c r="B24" i="60" s="1"/>
  <c r="B25" i="60" s="1"/>
  <c r="B26" i="60" s="1"/>
  <c r="B2" i="78"/>
  <c r="B3" i="78"/>
  <c r="B2" i="75"/>
  <c r="B3" i="75"/>
  <c r="E2" i="77"/>
  <c r="E3" i="77"/>
  <c r="B2" i="74"/>
  <c r="B3" i="74"/>
  <c r="B2" i="73"/>
  <c r="B3" i="73"/>
  <c r="F2" i="91"/>
  <c r="F3" i="91"/>
  <c r="B2" i="72"/>
  <c r="B3" i="72"/>
  <c r="B3" i="71"/>
  <c r="B2" i="71"/>
  <c r="B2" i="55"/>
  <c r="B3" i="55"/>
  <c r="C3" i="54"/>
  <c r="C2" i="54"/>
  <c r="B2" i="69"/>
  <c r="B3" i="69"/>
  <c r="B2" i="68"/>
  <c r="B3" i="68"/>
  <c r="B2" i="67"/>
  <c r="B3" i="67"/>
  <c r="B1" i="66"/>
  <c r="B2" i="66"/>
  <c r="B2" i="65"/>
  <c r="B3" i="65"/>
  <c r="B2" i="64"/>
  <c r="B3" i="64"/>
  <c r="B2" i="63"/>
  <c r="B3" i="63"/>
  <c r="B2" i="79"/>
  <c r="B3" i="79"/>
  <c r="B2" i="62"/>
  <c r="B3" i="62"/>
  <c r="B2" i="61"/>
  <c r="B3" i="60"/>
  <c r="B2" i="60"/>
  <c r="B3" i="61"/>
  <c r="F14" i="54" l="1"/>
  <c r="F13" i="54"/>
  <c r="N35" i="73" l="1"/>
  <c r="N24" i="73"/>
  <c r="N13" i="73" l="1"/>
  <c r="E18" i="55"/>
  <c r="B3" i="59" l="1"/>
  <c r="B2" i="59"/>
  <c r="B3" i="81"/>
  <c r="B2" i="81"/>
  <c r="A3" i="80"/>
  <c r="A2" i="80"/>
  <c r="B2" i="58"/>
  <c r="B3" i="58"/>
  <c r="F13" i="93" l="1"/>
  <c r="F67" i="66"/>
  <c r="F66" i="66"/>
  <c r="F65" i="66"/>
  <c r="F64" i="66"/>
  <c r="F18" i="55" l="1"/>
  <c r="F17" i="55"/>
  <c r="F11" i="55"/>
  <c r="F20" i="54"/>
  <c r="D19" i="54" l="1"/>
  <c r="B35" i="55"/>
  <c r="B32" i="55"/>
  <c r="D21" i="54" l="1"/>
  <c r="D14" i="55"/>
  <c r="D20" i="55"/>
  <c r="B20" i="55"/>
  <c r="B21" i="55" s="1"/>
  <c r="B11" i="55"/>
  <c r="B12" i="55" s="1"/>
  <c r="B13" i="55" s="1"/>
  <c r="B14" i="55" s="1"/>
  <c r="D21" i="55" l="1"/>
  <c r="E27" i="58"/>
  <c r="D25" i="54"/>
  <c r="E18" i="58" s="1"/>
  <c r="B12" i="93" l="1"/>
  <c r="B13" i="93" s="1"/>
  <c r="B116" i="54" l="1"/>
  <c r="B117" i="54" s="1"/>
  <c r="B118" i="54" s="1"/>
  <c r="B119" i="54" s="1"/>
  <c r="B120" i="54" s="1"/>
  <c r="B121" i="54" s="1"/>
  <c r="B122" i="54" s="1"/>
  <c r="B123" i="54" s="1"/>
  <c r="B43" i="54" l="1"/>
  <c r="B44" i="54" s="1"/>
  <c r="B45" i="54" s="1"/>
  <c r="B46" i="54" s="1"/>
  <c r="B47" i="54" s="1"/>
  <c r="B48" i="54" s="1"/>
  <c r="B49" i="54" s="1"/>
  <c r="B50" i="54" s="1"/>
  <c r="B34" i="54"/>
  <c r="B35" i="54" s="1"/>
  <c r="B36" i="54" s="1"/>
  <c r="B37" i="54" s="1"/>
  <c r="B38" i="54" s="1"/>
  <c r="B39" i="54" s="1"/>
  <c r="B40" i="54" s="1"/>
  <c r="B14" i="54"/>
  <c r="B15" i="54" s="1"/>
  <c r="B16" i="54" s="1"/>
  <c r="B17" i="54" s="1"/>
  <c r="B18" i="54" s="1"/>
  <c r="B19" i="54" s="1"/>
  <c r="B20" i="54" s="1"/>
  <c r="B72" i="61" l="1"/>
  <c r="B73" i="61" s="1"/>
  <c r="B74" i="61" s="1"/>
  <c r="B59" i="61"/>
  <c r="B60" i="61" s="1"/>
  <c r="B61" i="61" s="1"/>
  <c r="B62" i="61" s="1"/>
  <c r="B63" i="61" s="1"/>
  <c r="B64" i="61" s="1"/>
  <c r="B65" i="61" s="1"/>
  <c r="B66" i="61" s="1"/>
  <c r="B67" i="61" s="1"/>
  <c r="B68" i="61" s="1"/>
  <c r="B69" i="61" s="1"/>
  <c r="B11" i="59"/>
  <c r="B12" i="59" s="1"/>
  <c r="B60" i="81"/>
  <c r="B61" i="81" s="1"/>
  <c r="B56" i="81"/>
  <c r="B57" i="81" s="1"/>
  <c r="B52" i="81"/>
  <c r="B53" i="81" s="1"/>
  <c r="B34" i="81"/>
  <c r="B30" i="81"/>
  <c r="B25" i="81"/>
  <c r="B15" i="81"/>
  <c r="B11" i="79"/>
  <c r="B12" i="79" s="1"/>
  <c r="B13" i="79" s="1"/>
  <c r="B16" i="79" s="1"/>
  <c r="B17" i="79" s="1"/>
  <c r="B18" i="79" s="1"/>
  <c r="B11" i="75" l="1"/>
  <c r="B12" i="75" s="1"/>
  <c r="B13" i="75" s="1"/>
  <c r="B14" i="75" s="1"/>
  <c r="B15" i="75" s="1"/>
  <c r="B16" i="75" s="1"/>
  <c r="B17" i="75" s="1"/>
  <c r="B11" i="65"/>
  <c r="B15" i="65" s="1"/>
  <c r="B29" i="67"/>
  <c r="B30" i="67" s="1"/>
  <c r="B31" i="67" s="1"/>
  <c r="B32" i="67" s="1"/>
  <c r="B57" i="67"/>
  <c r="B58" i="67" s="1"/>
  <c r="B59" i="67" s="1"/>
  <c r="B60" i="67" s="1"/>
  <c r="B63" i="67"/>
  <c r="B64" i="67" s="1"/>
  <c r="B65" i="67" s="1"/>
  <c r="B66" i="67" s="1"/>
  <c r="B69" i="67"/>
  <c r="B70" i="67" s="1"/>
  <c r="B71" i="67" s="1"/>
  <c r="B72" i="67" s="1"/>
  <c r="B75" i="67"/>
  <c r="B76" i="67" s="1"/>
  <c r="B77" i="67" s="1"/>
  <c r="B78" i="67" s="1"/>
  <c r="B18" i="75" l="1"/>
  <c r="B19" i="75" s="1"/>
  <c r="B20" i="75" s="1"/>
  <c r="B21" i="75" s="1"/>
  <c r="B22" i="75" s="1"/>
  <c r="B23" i="75" s="1"/>
  <c r="B24" i="75" s="1"/>
  <c r="B25" i="75" s="1"/>
  <c r="B26" i="75" s="1"/>
  <c r="M14" i="73" l="1"/>
  <c r="E115" i="70" l="1"/>
  <c r="J115" i="70" s="1"/>
  <c r="O115" i="70" s="1"/>
  <c r="T115" i="70" s="1"/>
  <c r="J62" i="107"/>
  <c r="O62" i="107" s="1"/>
  <c r="T62" i="107" s="1"/>
  <c r="Y62" i="107" s="1"/>
  <c r="E11" i="58" l="1"/>
  <c r="C11" i="80"/>
  <c r="E37" i="55" l="1"/>
  <c r="M25" i="73" l="1"/>
  <c r="M13" i="74"/>
  <c r="M36" i="73" l="1"/>
  <c r="M24" i="74"/>
  <c r="H15" i="81" l="1"/>
  <c r="D3" i="100"/>
  <c r="F141" i="59" l="1"/>
  <c r="H141" i="59" s="1"/>
  <c r="G153" i="59" l="1"/>
  <c r="F140" i="59"/>
  <c r="F153" i="59" s="1"/>
  <c r="H140" i="59" l="1"/>
  <c r="H153" i="59" s="1"/>
  <c r="M42" i="78" l="1"/>
  <c r="H25" i="81" l="1"/>
  <c r="F52" i="81"/>
  <c r="F60" i="81"/>
  <c r="F28" i="59" l="1"/>
  <c r="G11" i="81"/>
  <c r="F11" i="81"/>
  <c r="E11" i="81" s="1"/>
  <c r="J11" i="81" l="1"/>
  <c r="K11" i="81" s="1"/>
  <c r="L11" i="81" s="1"/>
  <c r="M11" i="81" s="1"/>
  <c r="N11" i="81" s="1"/>
  <c r="H11" i="81"/>
  <c r="H11" i="59"/>
  <c r="L13" i="72" l="1"/>
  <c r="F33" i="70" l="1"/>
  <c r="F32" i="117" l="1"/>
  <c r="F12" i="93"/>
  <c r="F16" i="93" s="1"/>
  <c r="D9" i="71" l="1"/>
  <c r="D11" i="71" s="1"/>
  <c r="E9" i="71"/>
  <c r="E11" i="71" s="1"/>
  <c r="F9" i="71"/>
  <c r="F11" i="71" s="1"/>
  <c r="G9" i="71"/>
  <c r="G11" i="71" s="1"/>
  <c r="H9" i="71"/>
  <c r="H11" i="71" s="1"/>
  <c r="I9" i="71"/>
  <c r="I11" i="71" s="1"/>
  <c r="J9" i="71"/>
  <c r="J11" i="71" s="1"/>
  <c r="K9" i="71"/>
  <c r="K11" i="71" s="1"/>
  <c r="L9" i="71"/>
  <c r="L11" i="71" s="1"/>
  <c r="M9" i="71"/>
  <c r="M11" i="71" s="1"/>
  <c r="N9" i="71"/>
  <c r="N11" i="71" s="1"/>
  <c r="Q16" i="91" l="1"/>
  <c r="G11" i="72" s="1"/>
  <c r="G13" i="72" s="1"/>
  <c r="C9" i="71"/>
  <c r="C11" i="71" l="1"/>
  <c r="O9" i="71"/>
  <c r="O11" i="71" s="1"/>
  <c r="O20" i="91" l="1"/>
  <c r="P20" i="91"/>
  <c r="O18" i="91"/>
  <c r="P18" i="91"/>
  <c r="P27" i="91" l="1"/>
  <c r="P30" i="91" s="1"/>
  <c r="P31" i="91" s="1"/>
  <c r="O27" i="91"/>
  <c r="O30" i="91" s="1"/>
  <c r="O31" i="91" s="1"/>
  <c r="Q22" i="91"/>
  <c r="Q15" i="91"/>
  <c r="Q21" i="91"/>
  <c r="Q23" i="91"/>
  <c r="M11" i="72" l="1"/>
  <c r="M13" i="72" s="1"/>
  <c r="Q20" i="91"/>
  <c r="F11" i="72" s="1"/>
  <c r="C11" i="72"/>
  <c r="J11" i="72" s="1"/>
  <c r="Q27" i="91"/>
  <c r="Q30" i="91" s="1"/>
  <c r="K11" i="72"/>
  <c r="K13" i="72" s="1"/>
  <c r="Q18" i="91"/>
  <c r="D11" i="72" s="1"/>
  <c r="J13" i="72" l="1"/>
  <c r="N11" i="72"/>
  <c r="N13" i="72" s="1"/>
  <c r="Q31" i="91"/>
  <c r="D28" i="78" l="1"/>
  <c r="D30" i="78" s="1"/>
  <c r="E28" i="78"/>
  <c r="E30" i="78" s="1"/>
  <c r="R30" i="91"/>
  <c r="E137" i="60" l="1"/>
  <c r="G137" i="60" s="1"/>
  <c r="E136" i="60"/>
  <c r="G136" i="60" s="1"/>
  <c r="E135" i="60"/>
  <c r="G135" i="60" s="1"/>
  <c r="E134" i="60"/>
  <c r="G134" i="60" s="1"/>
  <c r="E133" i="60"/>
  <c r="G133" i="60" s="1"/>
  <c r="E132" i="60"/>
  <c r="G132" i="60" s="1"/>
  <c r="E131" i="60"/>
  <c r="G131" i="60" s="1"/>
  <c r="E130" i="60"/>
  <c r="G130" i="60" s="1"/>
  <c r="E129" i="60"/>
  <c r="G129" i="60" s="1"/>
  <c r="E124" i="60"/>
  <c r="G124" i="60" s="1"/>
  <c r="E123" i="60"/>
  <c r="G123" i="60" s="1"/>
  <c r="E122" i="60"/>
  <c r="G122" i="60" s="1"/>
  <c r="E121" i="60"/>
  <c r="G121" i="60" s="1"/>
  <c r="E120" i="60"/>
  <c r="G120" i="60" s="1"/>
  <c r="E119" i="60"/>
  <c r="G119" i="60" s="1"/>
  <c r="E118" i="60"/>
  <c r="G118" i="60" s="1"/>
  <c r="E117" i="60"/>
  <c r="G117" i="60" s="1"/>
  <c r="E116" i="60"/>
  <c r="G116" i="60" s="1"/>
  <c r="E94" i="60"/>
  <c r="G94" i="60" s="1"/>
  <c r="E93" i="60"/>
  <c r="G93" i="60" s="1"/>
  <c r="E92" i="60"/>
  <c r="G92" i="60" s="1"/>
  <c r="E91" i="60"/>
  <c r="G91" i="60" s="1"/>
  <c r="E90" i="60"/>
  <c r="G90" i="60" s="1"/>
  <c r="E89" i="60"/>
  <c r="G89" i="60" s="1"/>
  <c r="E88" i="60"/>
  <c r="G88" i="60" s="1"/>
  <c r="E87" i="60"/>
  <c r="G87" i="60" s="1"/>
  <c r="E86" i="60"/>
  <c r="G86" i="60" s="1"/>
  <c r="E109" i="60"/>
  <c r="G109" i="60" s="1"/>
  <c r="E108" i="60"/>
  <c r="G108" i="60" s="1"/>
  <c r="E107" i="60"/>
  <c r="G107" i="60" s="1"/>
  <c r="E106" i="60"/>
  <c r="G106" i="60" s="1"/>
  <c r="E105" i="60"/>
  <c r="G105" i="60" s="1"/>
  <c r="E104" i="60"/>
  <c r="G104" i="60" s="1"/>
  <c r="E103" i="60"/>
  <c r="G103" i="60" s="1"/>
  <c r="E102" i="60"/>
  <c r="G102" i="60" s="1"/>
  <c r="E101" i="60"/>
  <c r="G101" i="60" s="1"/>
  <c r="E53" i="60"/>
  <c r="E52" i="60"/>
  <c r="G52" i="60" s="1"/>
  <c r="E51" i="60"/>
  <c r="G51" i="60" s="1"/>
  <c r="E50" i="60"/>
  <c r="G50" i="60" s="1"/>
  <c r="E49" i="60"/>
  <c r="G49" i="60" s="1"/>
  <c r="E48" i="60"/>
  <c r="G48" i="60" s="1"/>
  <c r="E47" i="60"/>
  <c r="G47" i="60" s="1"/>
  <c r="E46" i="60"/>
  <c r="G46" i="60" s="1"/>
  <c r="E45" i="60"/>
  <c r="G45" i="60" s="1"/>
  <c r="E44" i="60"/>
  <c r="G44" i="60" s="1"/>
  <c r="E39" i="60"/>
  <c r="G39" i="60" s="1"/>
  <c r="E38" i="60"/>
  <c r="G38" i="60" s="1"/>
  <c r="E37" i="60"/>
  <c r="G37" i="60" s="1"/>
  <c r="E36" i="60"/>
  <c r="G36" i="60" s="1"/>
  <c r="E35" i="60"/>
  <c r="G35" i="60" s="1"/>
  <c r="E34" i="60"/>
  <c r="G34" i="60" s="1"/>
  <c r="E33" i="60"/>
  <c r="G33" i="60" s="1"/>
  <c r="E32" i="60"/>
  <c r="G32" i="60" s="1"/>
  <c r="E31" i="60"/>
  <c r="G31" i="60" s="1"/>
  <c r="E30" i="60"/>
  <c r="G30" i="60" s="1"/>
  <c r="E21" i="60"/>
  <c r="G21" i="60" s="1"/>
  <c r="E20" i="60"/>
  <c r="G20" i="60" s="1"/>
  <c r="E19" i="60"/>
  <c r="G19" i="60" s="1"/>
  <c r="E18" i="60"/>
  <c r="G18" i="60" s="1"/>
  <c r="E17" i="60"/>
  <c r="G17" i="60" s="1"/>
  <c r="E16" i="60"/>
  <c r="G16" i="60" s="1"/>
  <c r="E15" i="60"/>
  <c r="G15" i="60" s="1"/>
  <c r="E14" i="60"/>
  <c r="G14" i="60" s="1"/>
  <c r="E13" i="60"/>
  <c r="G13" i="60" s="1"/>
  <c r="E12" i="60"/>
  <c r="F66" i="59"/>
  <c r="H66" i="59" s="1"/>
  <c r="F65" i="59"/>
  <c r="H65" i="59" s="1"/>
  <c r="F64" i="59"/>
  <c r="H64" i="59" s="1"/>
  <c r="F63" i="59"/>
  <c r="H63" i="59" s="1"/>
  <c r="F59" i="59"/>
  <c r="H59" i="59" s="1"/>
  <c r="G12" i="60" l="1"/>
  <c r="G84" i="59"/>
  <c r="F40" i="60"/>
  <c r="G74" i="59" s="1"/>
  <c r="G117" i="59" s="1"/>
  <c r="E29" i="60"/>
  <c r="E40" i="60" s="1"/>
  <c r="F74" i="59" s="1"/>
  <c r="E85" i="60"/>
  <c r="E97" i="60" s="1"/>
  <c r="F79" i="59" s="1"/>
  <c r="F97" i="60"/>
  <c r="G79" i="59" s="1"/>
  <c r="E128" i="60"/>
  <c r="E138" i="60" s="1"/>
  <c r="F81" i="59" s="1"/>
  <c r="F138" i="60"/>
  <c r="G81" i="59" s="1"/>
  <c r="G124" i="59" s="1"/>
  <c r="E119" i="54"/>
  <c r="E87" i="54"/>
  <c r="G35" i="59"/>
  <c r="G33" i="59"/>
  <c r="F30" i="81"/>
  <c r="F23" i="59"/>
  <c r="G34" i="59"/>
  <c r="G89" i="59"/>
  <c r="E123" i="54"/>
  <c r="F60" i="59"/>
  <c r="H60" i="59" s="1"/>
  <c r="E11" i="60"/>
  <c r="E23" i="60" s="1"/>
  <c r="F54" i="60"/>
  <c r="G75" i="59" s="1"/>
  <c r="G118" i="59" s="1"/>
  <c r="E43" i="60"/>
  <c r="E54" i="60" s="1"/>
  <c r="F75" i="59" s="1"/>
  <c r="E47" i="54"/>
  <c r="G43" i="54" s="1"/>
  <c r="E77" i="54"/>
  <c r="F21" i="59"/>
  <c r="H21" i="59" s="1"/>
  <c r="G26" i="81"/>
  <c r="G86" i="59"/>
  <c r="G92" i="59"/>
  <c r="G112" i="59"/>
  <c r="E100" i="60"/>
  <c r="E112" i="60" s="1"/>
  <c r="F78" i="59" s="1"/>
  <c r="F112" i="60"/>
  <c r="G78" i="59" s="1"/>
  <c r="F125" i="60"/>
  <c r="G80" i="59" s="1"/>
  <c r="G123" i="59" s="1"/>
  <c r="E115" i="60"/>
  <c r="E67" i="54"/>
  <c r="E107" i="54"/>
  <c r="F24" i="60"/>
  <c r="G61" i="81"/>
  <c r="G85" i="59"/>
  <c r="G91" i="59"/>
  <c r="G111" i="59"/>
  <c r="E116" i="54"/>
  <c r="E37" i="54"/>
  <c r="G32" i="59"/>
  <c r="H29" i="59"/>
  <c r="H32" i="59" s="1"/>
  <c r="H42" i="59"/>
  <c r="G57" i="81"/>
  <c r="E117" i="54"/>
  <c r="E97" i="54"/>
  <c r="D6" i="100"/>
  <c r="F48" i="59"/>
  <c r="G90" i="59"/>
  <c r="E118" i="54"/>
  <c r="E57" i="54"/>
  <c r="G53" i="54" s="1"/>
  <c r="G57" i="54" l="1"/>
  <c r="H53" i="54" s="1"/>
  <c r="G47" i="54"/>
  <c r="H43" i="54" s="1"/>
  <c r="E38" i="54"/>
  <c r="G33" i="54"/>
  <c r="E26" i="60"/>
  <c r="H26" i="81"/>
  <c r="F87" i="59"/>
  <c r="H87" i="59" s="1"/>
  <c r="H57" i="81"/>
  <c r="F58" i="59"/>
  <c r="G121" i="59"/>
  <c r="G122" i="59"/>
  <c r="H61" i="81"/>
  <c r="G24" i="60"/>
  <c r="F26" i="60"/>
  <c r="G29" i="60"/>
  <c r="G40" i="60" s="1"/>
  <c r="H74" i="59"/>
  <c r="E108" i="54"/>
  <c r="G85" i="60"/>
  <c r="G97" i="60" s="1"/>
  <c r="E98" i="54"/>
  <c r="G43" i="60"/>
  <c r="G54" i="60" s="1"/>
  <c r="H78" i="59"/>
  <c r="G11" i="60"/>
  <c r="H81" i="59"/>
  <c r="H48" i="59"/>
  <c r="G100" i="60"/>
  <c r="G112" i="60" s="1"/>
  <c r="E126" i="54"/>
  <c r="E128" i="54" s="1"/>
  <c r="E120" i="54"/>
  <c r="E121" i="54" s="1"/>
  <c r="E48" i="54"/>
  <c r="F89" i="59"/>
  <c r="F99" i="59" s="1"/>
  <c r="F35" i="59"/>
  <c r="H35" i="59" s="1"/>
  <c r="F34" i="59"/>
  <c r="H34" i="59" s="1"/>
  <c r="F33" i="59"/>
  <c r="H33" i="59" s="1"/>
  <c r="F113" i="59"/>
  <c r="F90" i="59"/>
  <c r="F100" i="59" s="1"/>
  <c r="G44" i="81"/>
  <c r="H46" i="100"/>
  <c r="G43" i="81"/>
  <c r="G42" i="81"/>
  <c r="F91" i="59"/>
  <c r="F101" i="59" s="1"/>
  <c r="G115" i="60"/>
  <c r="G125" i="60" s="1"/>
  <c r="E125" i="60"/>
  <c r="F80" i="59" s="1"/>
  <c r="H80" i="59" s="1"/>
  <c r="F92" i="59"/>
  <c r="F102" i="59" s="1"/>
  <c r="G36" i="59"/>
  <c r="G41" i="81"/>
  <c r="H38" i="81"/>
  <c r="G30" i="58"/>
  <c r="E78" i="54"/>
  <c r="G23" i="60"/>
  <c r="E88" i="54"/>
  <c r="H79" i="59"/>
  <c r="G113" i="59"/>
  <c r="E68" i="54"/>
  <c r="H75" i="59"/>
  <c r="G128" i="60"/>
  <c r="G138" i="60" s="1"/>
  <c r="E58" i="54"/>
  <c r="H23" i="59"/>
  <c r="G116" i="54" l="1"/>
  <c r="G37" i="54"/>
  <c r="G38" i="54" s="1"/>
  <c r="E122" i="54"/>
  <c r="E22" i="54" s="1"/>
  <c r="H47" i="54"/>
  <c r="I43" i="54" s="1"/>
  <c r="G48" i="54"/>
  <c r="H57" i="54"/>
  <c r="I53" i="54" s="1"/>
  <c r="G58" i="54"/>
  <c r="F73" i="59"/>
  <c r="F68" i="59"/>
  <c r="H68" i="59" s="1"/>
  <c r="H58" i="59"/>
  <c r="G26" i="60"/>
  <c r="H41" i="81"/>
  <c r="G73" i="59"/>
  <c r="G116" i="59" s="1"/>
  <c r="G37" i="59"/>
  <c r="G38" i="59"/>
  <c r="F38" i="59" s="1"/>
  <c r="H38" i="59" s="1"/>
  <c r="E99" i="54"/>
  <c r="E109" i="54"/>
  <c r="H90" i="59"/>
  <c r="H89" i="59"/>
  <c r="H92" i="59"/>
  <c r="H36" i="59"/>
  <c r="H37" i="59" s="1"/>
  <c r="K46" i="100"/>
  <c r="F36" i="59"/>
  <c r="F37" i="59" s="1"/>
  <c r="E89" i="54"/>
  <c r="F43" i="81"/>
  <c r="H43" i="81" s="1"/>
  <c r="F44" i="81"/>
  <c r="H44" i="81" s="1"/>
  <c r="F42" i="81"/>
  <c r="E79" i="54"/>
  <c r="E69" i="54"/>
  <c r="H91" i="59"/>
  <c r="H30" i="81"/>
  <c r="H40" i="59"/>
  <c r="G53" i="81"/>
  <c r="H53" i="81" s="1"/>
  <c r="F111" i="59"/>
  <c r="H111" i="59" s="1"/>
  <c r="F123" i="59"/>
  <c r="H123" i="59" s="1"/>
  <c r="H101" i="59"/>
  <c r="G45" i="81"/>
  <c r="F121" i="59"/>
  <c r="F109" i="59"/>
  <c r="H109" i="59" s="1"/>
  <c r="H99" i="59"/>
  <c r="F112" i="59"/>
  <c r="H112" i="59" s="1"/>
  <c r="F124" i="59"/>
  <c r="H124" i="59" s="1"/>
  <c r="H102" i="59"/>
  <c r="F122" i="59"/>
  <c r="F110" i="59"/>
  <c r="H110" i="59" s="1"/>
  <c r="H100" i="59"/>
  <c r="F30" i="58"/>
  <c r="H73" i="59" l="1"/>
  <c r="H48" i="54"/>
  <c r="G122" i="54"/>
  <c r="G22" i="54" s="1"/>
  <c r="I47" i="54"/>
  <c r="J43" i="54" s="1"/>
  <c r="I57" i="54"/>
  <c r="J53" i="54" s="1"/>
  <c r="H33" i="54"/>
  <c r="G120" i="54"/>
  <c r="G121" i="54" s="1"/>
  <c r="H58" i="54"/>
  <c r="D22" i="78"/>
  <c r="E22" i="78"/>
  <c r="H122" i="59"/>
  <c r="G49" i="81"/>
  <c r="H49" i="81" s="1"/>
  <c r="G48" i="81"/>
  <c r="F22" i="61"/>
  <c r="F29" i="61"/>
  <c r="F106" i="59"/>
  <c r="H106" i="59" s="1"/>
  <c r="F104" i="59"/>
  <c r="F105" i="59"/>
  <c r="F107" i="59"/>
  <c r="H107" i="59" s="1"/>
  <c r="H121" i="59"/>
  <c r="H42" i="81"/>
  <c r="F45" i="81"/>
  <c r="F48" i="81" s="1"/>
  <c r="G125" i="59"/>
  <c r="G155" i="59" s="1"/>
  <c r="H30" i="58"/>
  <c r="I58" i="54" l="1"/>
  <c r="J57" i="54"/>
  <c r="K53" i="54" s="1"/>
  <c r="I48" i="54"/>
  <c r="H37" i="54"/>
  <c r="H38" i="54" s="1"/>
  <c r="H116" i="54"/>
  <c r="J47" i="54"/>
  <c r="K43" i="54" s="1"/>
  <c r="G157" i="59"/>
  <c r="G159" i="59"/>
  <c r="G160" i="59" s="1"/>
  <c r="G161" i="59" s="1"/>
  <c r="F96" i="59"/>
  <c r="F86" i="59" s="1"/>
  <c r="F94" i="59"/>
  <c r="F84" i="59" s="1"/>
  <c r="F22" i="54"/>
  <c r="H104" i="59"/>
  <c r="F95" i="59"/>
  <c r="H105" i="59"/>
  <c r="G11" i="58"/>
  <c r="H48" i="81"/>
  <c r="H45" i="81"/>
  <c r="H122" i="54" l="1"/>
  <c r="H22" i="54" s="1"/>
  <c r="E10" i="78"/>
  <c r="J58" i="54"/>
  <c r="J48" i="54"/>
  <c r="K47" i="54"/>
  <c r="K48" i="54" s="1"/>
  <c r="I33" i="54"/>
  <c r="H120" i="54"/>
  <c r="H121" i="54" s="1"/>
  <c r="K57" i="54"/>
  <c r="K58" i="54" s="1"/>
  <c r="H86" i="59"/>
  <c r="F118" i="59"/>
  <c r="H118" i="59" s="1"/>
  <c r="H96" i="59"/>
  <c r="E11" i="80"/>
  <c r="H113" i="59"/>
  <c r="F117" i="59"/>
  <c r="F85" i="59"/>
  <c r="H85" i="59" s="1"/>
  <c r="H95" i="59"/>
  <c r="H84" i="59"/>
  <c r="F116" i="59"/>
  <c r="H94" i="59"/>
  <c r="I37" i="54" l="1"/>
  <c r="I38" i="54" s="1"/>
  <c r="I116" i="54"/>
  <c r="H70" i="59"/>
  <c r="H117" i="59"/>
  <c r="F125" i="59"/>
  <c r="F155" i="59" s="1"/>
  <c r="F159" i="59" s="1"/>
  <c r="F160" i="59" s="1"/>
  <c r="F20" i="61"/>
  <c r="F19" i="61"/>
  <c r="H116" i="59"/>
  <c r="I122" i="54" l="1"/>
  <c r="I22" i="54" s="1"/>
  <c r="H125" i="59"/>
  <c r="H155" i="59" s="1"/>
  <c r="H159" i="59" s="1"/>
  <c r="J33" i="54"/>
  <c r="I120" i="54"/>
  <c r="I121" i="54" s="1"/>
  <c r="F11" i="58"/>
  <c r="F157" i="59"/>
  <c r="D11" i="80" s="1"/>
  <c r="F161" i="59" l="1"/>
  <c r="D10" i="78"/>
  <c r="J37" i="54"/>
  <c r="J38" i="54" s="1"/>
  <c r="J116" i="54"/>
  <c r="H11" i="58"/>
  <c r="H157" i="59"/>
  <c r="L46" i="100"/>
  <c r="M46" i="100" s="1"/>
  <c r="N46" i="100" s="1"/>
  <c r="J122" i="54" l="1"/>
  <c r="J22" i="54" s="1"/>
  <c r="K33" i="54"/>
  <c r="J120" i="54"/>
  <c r="J121" i="54" s="1"/>
  <c r="F16" i="59"/>
  <c r="F13" i="61" s="1"/>
  <c r="G19" i="81"/>
  <c r="F19" i="59"/>
  <c r="F16" i="61" s="1"/>
  <c r="G22" i="81"/>
  <c r="F15" i="59"/>
  <c r="F12" i="61" s="1"/>
  <c r="G18" i="81"/>
  <c r="F18" i="59"/>
  <c r="F15" i="61" s="1"/>
  <c r="G21" i="81"/>
  <c r="K37" i="54" l="1"/>
  <c r="K120" i="54" s="1"/>
  <c r="K116" i="54"/>
  <c r="K38" i="54"/>
  <c r="H21" i="81"/>
  <c r="D15" i="100"/>
  <c r="H18" i="81"/>
  <c r="D13" i="100"/>
  <c r="H19" i="81"/>
  <c r="D14" i="100"/>
  <c r="H22" i="81"/>
  <c r="D16" i="100"/>
  <c r="H19" i="59"/>
  <c r="H16" i="59"/>
  <c r="H15" i="59"/>
  <c r="H18" i="59"/>
  <c r="K122" i="54" l="1"/>
  <c r="K22" i="54" s="1"/>
  <c r="K121" i="54"/>
  <c r="G13" i="65"/>
  <c r="F56" i="59" l="1"/>
  <c r="H56" i="59" s="1"/>
  <c r="F55" i="59"/>
  <c r="H55" i="59" s="1"/>
  <c r="F54" i="59" l="1"/>
  <c r="H54" i="59" s="1"/>
  <c r="F53" i="59"/>
  <c r="H53" i="59" s="1"/>
  <c r="F23" i="77" l="1"/>
  <c r="F22" i="77"/>
  <c r="F21" i="77"/>
  <c r="F26" i="77"/>
  <c r="F13" i="77"/>
  <c r="F12" i="77"/>
  <c r="G22" i="58" l="1"/>
  <c r="F11" i="77"/>
  <c r="F27" i="77" s="1"/>
  <c r="F22" i="58" l="1"/>
  <c r="E17" i="78" l="1"/>
  <c r="H22" i="58"/>
  <c r="D17" i="78"/>
  <c r="G16" i="81" l="1"/>
  <c r="F13" i="59"/>
  <c r="F16" i="81" l="1"/>
  <c r="H16" i="81" s="1"/>
  <c r="H13" i="59"/>
  <c r="D4" i="100"/>
  <c r="N15" i="81" l="1"/>
  <c r="E53" i="117" l="1"/>
  <c r="O55" i="117"/>
  <c r="O47" i="117"/>
  <c r="J49" i="117"/>
  <c r="J41" i="117"/>
  <c r="J46" i="117" l="1"/>
  <c r="J54" i="117"/>
  <c r="O44" i="117"/>
  <c r="E42" i="117"/>
  <c r="E50" i="117"/>
  <c r="J48" i="117"/>
  <c r="J56" i="117"/>
  <c r="O46" i="117"/>
  <c r="O54" i="117"/>
  <c r="E44" i="117"/>
  <c r="E52" i="117"/>
  <c r="J44" i="117"/>
  <c r="J52" i="117"/>
  <c r="O42" i="117"/>
  <c r="O50" i="117"/>
  <c r="E48" i="117"/>
  <c r="E56" i="117"/>
  <c r="E55" i="117"/>
  <c r="J43" i="117"/>
  <c r="J51" i="117"/>
  <c r="O41" i="117"/>
  <c r="O49" i="117"/>
  <c r="E47" i="117"/>
  <c r="E43" i="117"/>
  <c r="J47" i="117"/>
  <c r="E51" i="117"/>
  <c r="J55" i="117"/>
  <c r="O45" i="117"/>
  <c r="O53" i="117"/>
  <c r="J42" i="117"/>
  <c r="J50" i="117"/>
  <c r="O48" i="117"/>
  <c r="O56" i="117"/>
  <c r="E46" i="117"/>
  <c r="E54" i="117"/>
  <c r="O52" i="117"/>
  <c r="J53" i="117"/>
  <c r="O43" i="117"/>
  <c r="O51" i="117"/>
  <c r="E41" i="117"/>
  <c r="E49" i="117"/>
  <c r="J40" i="117"/>
  <c r="J59" i="70"/>
  <c r="E59" i="70"/>
  <c r="E40" i="117"/>
  <c r="O59" i="70"/>
  <c r="O40" i="117"/>
  <c r="T33" i="107"/>
  <c r="O57" i="117" l="1"/>
  <c r="O58" i="117" s="1"/>
  <c r="J30" i="117"/>
  <c r="J29" i="117"/>
  <c r="J28" i="117"/>
  <c r="J27" i="117"/>
  <c r="J26" i="117"/>
  <c r="J25" i="117"/>
  <c r="J24" i="117"/>
  <c r="J23" i="117"/>
  <c r="J22" i="117"/>
  <c r="J21" i="117"/>
  <c r="J20" i="117"/>
  <c r="J18" i="117"/>
  <c r="J17" i="117"/>
  <c r="J16" i="117"/>
  <c r="J15" i="117"/>
  <c r="J14" i="117" l="1"/>
  <c r="J33" i="70"/>
  <c r="J17" i="93"/>
  <c r="N35" i="81"/>
  <c r="M35" i="81"/>
  <c r="L35" i="81"/>
  <c r="K35" i="81"/>
  <c r="J35" i="81"/>
  <c r="L28" i="59" l="1"/>
  <c r="L34" i="81"/>
  <c r="L37" i="81" s="1"/>
  <c r="N28" i="59"/>
  <c r="N34" i="81"/>
  <c r="N37" i="81" s="1"/>
  <c r="K28" i="59"/>
  <c r="K34" i="81"/>
  <c r="K37" i="81" s="1"/>
  <c r="M28" i="59"/>
  <c r="M34" i="81"/>
  <c r="M37" i="81" s="1"/>
  <c r="J34" i="81" l="1"/>
  <c r="J37" i="81" s="1"/>
  <c r="L15" i="81"/>
  <c r="J15" i="81"/>
  <c r="K15" i="81"/>
  <c r="M15" i="81"/>
  <c r="K33" i="70" l="1"/>
  <c r="K59" i="70"/>
  <c r="F59" i="70"/>
  <c r="P59" i="70"/>
  <c r="T59" i="70"/>
  <c r="U59" i="70"/>
  <c r="T56" i="117"/>
  <c r="T55" i="117"/>
  <c r="T54" i="117"/>
  <c r="T53" i="117"/>
  <c r="T52" i="117"/>
  <c r="T51" i="117"/>
  <c r="T50" i="117"/>
  <c r="T49" i="117"/>
  <c r="T48" i="117"/>
  <c r="T47" i="117"/>
  <c r="T46" i="117"/>
  <c r="T45" i="117"/>
  <c r="T44" i="117"/>
  <c r="T43" i="117"/>
  <c r="T42" i="117"/>
  <c r="T41" i="117"/>
  <c r="U56" i="117"/>
  <c r="U55" i="117"/>
  <c r="U54" i="117"/>
  <c r="U53" i="117"/>
  <c r="U52" i="117"/>
  <c r="U51" i="117"/>
  <c r="U50" i="117"/>
  <c r="U49" i="117"/>
  <c r="U48" i="117"/>
  <c r="U47" i="117"/>
  <c r="U46" i="117"/>
  <c r="U45" i="117"/>
  <c r="U44" i="117"/>
  <c r="U43" i="117"/>
  <c r="U42" i="117"/>
  <c r="U41" i="117"/>
  <c r="U40" i="117"/>
  <c r="P56" i="117"/>
  <c r="P55" i="117"/>
  <c r="P54" i="117"/>
  <c r="P53" i="117"/>
  <c r="P52" i="117"/>
  <c r="P51" i="117"/>
  <c r="P50" i="117"/>
  <c r="P49" i="117"/>
  <c r="P48" i="117"/>
  <c r="P47" i="117"/>
  <c r="P46" i="117"/>
  <c r="P45" i="117"/>
  <c r="P44" i="117"/>
  <c r="P43" i="117"/>
  <c r="P42" i="117"/>
  <c r="P41" i="117"/>
  <c r="K56" i="117"/>
  <c r="K55" i="117"/>
  <c r="K54" i="117"/>
  <c r="K53" i="117"/>
  <c r="K52" i="117"/>
  <c r="K51" i="117"/>
  <c r="K50" i="117"/>
  <c r="K49" i="117"/>
  <c r="K48" i="117"/>
  <c r="K47" i="117"/>
  <c r="K46" i="117"/>
  <c r="K45" i="117"/>
  <c r="K44" i="117"/>
  <c r="K43" i="117"/>
  <c r="K42" i="117"/>
  <c r="K41" i="117"/>
  <c r="F56" i="117"/>
  <c r="F55" i="117"/>
  <c r="F54" i="117"/>
  <c r="F53" i="117"/>
  <c r="F52" i="117"/>
  <c r="F51" i="117"/>
  <c r="F50" i="117"/>
  <c r="F49" i="117"/>
  <c r="F48" i="117"/>
  <c r="F47" i="117"/>
  <c r="F46" i="117"/>
  <c r="F45" i="117"/>
  <c r="F44" i="117"/>
  <c r="F43" i="117"/>
  <c r="F42" i="117"/>
  <c r="F41" i="117"/>
  <c r="U57" i="117" l="1"/>
  <c r="P33" i="107"/>
  <c r="K40" i="117"/>
  <c r="K57" i="117" s="1"/>
  <c r="K58" i="117" s="1"/>
  <c r="F73" i="107"/>
  <c r="K17" i="117"/>
  <c r="F81" i="107"/>
  <c r="K25" i="117"/>
  <c r="D70" i="107"/>
  <c r="H16" i="107"/>
  <c r="D78" i="107"/>
  <c r="H24" i="107"/>
  <c r="I24" i="107" s="1"/>
  <c r="F74" i="107"/>
  <c r="K18" i="117"/>
  <c r="F82" i="107"/>
  <c r="K26" i="117"/>
  <c r="D71" i="107"/>
  <c r="H17" i="107"/>
  <c r="I17" i="107" s="1"/>
  <c r="D79" i="107"/>
  <c r="H25" i="107"/>
  <c r="I25" i="107" s="1"/>
  <c r="U33" i="107"/>
  <c r="P40" i="117"/>
  <c r="P57" i="117" s="1"/>
  <c r="F75" i="107"/>
  <c r="K19" i="117"/>
  <c r="F83" i="107"/>
  <c r="K27" i="117"/>
  <c r="D72" i="107"/>
  <c r="H18" i="107"/>
  <c r="I18" i="107" s="1"/>
  <c r="D80" i="107"/>
  <c r="H26" i="107"/>
  <c r="I26" i="107" s="1"/>
  <c r="Z33" i="107"/>
  <c r="F76" i="107"/>
  <c r="K20" i="117"/>
  <c r="F84" i="107"/>
  <c r="K28" i="117"/>
  <c r="D73" i="107"/>
  <c r="H19" i="107"/>
  <c r="I19" i="107" s="1"/>
  <c r="D81" i="107"/>
  <c r="H27" i="107"/>
  <c r="I27" i="107" s="1"/>
  <c r="Y33" i="107"/>
  <c r="T40" i="117"/>
  <c r="T57" i="117" s="1"/>
  <c r="F77" i="107"/>
  <c r="K21" i="117"/>
  <c r="K29" i="117"/>
  <c r="D74" i="107"/>
  <c r="H20" i="107"/>
  <c r="I20" i="107" s="1"/>
  <c r="D82" i="107"/>
  <c r="H28" i="107"/>
  <c r="I28" i="107" s="1"/>
  <c r="F70" i="107"/>
  <c r="K14" i="117"/>
  <c r="F78" i="107"/>
  <c r="K22" i="117"/>
  <c r="F86" i="107"/>
  <c r="H32" i="107"/>
  <c r="I32" i="107" s="1"/>
  <c r="K30" i="117"/>
  <c r="D75" i="107"/>
  <c r="D83" i="107"/>
  <c r="H29" i="107"/>
  <c r="I29" i="107" s="1"/>
  <c r="F71" i="107"/>
  <c r="K15" i="117"/>
  <c r="F79" i="107"/>
  <c r="K23" i="117"/>
  <c r="D76" i="107"/>
  <c r="H22" i="107"/>
  <c r="I22" i="107" s="1"/>
  <c r="D84" i="107"/>
  <c r="H30" i="107"/>
  <c r="I30" i="107" s="1"/>
  <c r="K33" i="107"/>
  <c r="F40" i="117"/>
  <c r="F57" i="117" s="1"/>
  <c r="F58" i="117" s="1"/>
  <c r="F72" i="107"/>
  <c r="K16" i="117"/>
  <c r="F80" i="107"/>
  <c r="K24" i="117"/>
  <c r="D77" i="107"/>
  <c r="H23" i="107"/>
  <c r="I23" i="107" s="1"/>
  <c r="P58" i="117" l="1"/>
  <c r="U58" i="117"/>
  <c r="T58" i="117"/>
  <c r="M30" i="107"/>
  <c r="N30" i="107" s="1"/>
  <c r="M29" i="107"/>
  <c r="N29" i="107" s="1"/>
  <c r="M32" i="107"/>
  <c r="N32" i="107" s="1"/>
  <c r="K31" i="117"/>
  <c r="K32" i="117" s="1"/>
  <c r="M26" i="107"/>
  <c r="N26" i="107" s="1"/>
  <c r="M22" i="107"/>
  <c r="N22" i="107" s="1"/>
  <c r="M28" i="107"/>
  <c r="N28" i="107" s="1"/>
  <c r="M27" i="107"/>
  <c r="N27" i="107" s="1"/>
  <c r="I16" i="107"/>
  <c r="M17" i="107"/>
  <c r="N17" i="107" s="1"/>
  <c r="M20" i="107"/>
  <c r="N20" i="107" s="1"/>
  <c r="M19" i="107"/>
  <c r="N19" i="107" s="1"/>
  <c r="M18" i="107"/>
  <c r="N18" i="107" s="1"/>
  <c r="M24" i="107"/>
  <c r="N24" i="107" s="1"/>
  <c r="M23" i="107"/>
  <c r="N23" i="107" s="1"/>
  <c r="M25" i="107"/>
  <c r="N25" i="107" s="1"/>
  <c r="R28" i="107" l="1"/>
  <c r="S28" i="107" s="1"/>
  <c r="R22" i="107"/>
  <c r="S22" i="107" s="1"/>
  <c r="R24" i="107"/>
  <c r="S24" i="107" s="1"/>
  <c r="R17" i="107"/>
  <c r="S17" i="107" s="1"/>
  <c r="K17" i="93"/>
  <c r="R32" i="107"/>
  <c r="S32" i="107" s="1"/>
  <c r="R30" i="107"/>
  <c r="S30" i="107" s="1"/>
  <c r="R25" i="107"/>
  <c r="S25" i="107" s="1"/>
  <c r="R23" i="107"/>
  <c r="S23" i="107" s="1"/>
  <c r="R18" i="107"/>
  <c r="S18" i="107" s="1"/>
  <c r="R27" i="107"/>
  <c r="S27" i="107" s="1"/>
  <c r="R26" i="107"/>
  <c r="S26" i="107" s="1"/>
  <c r="R29" i="107"/>
  <c r="S29" i="107" s="1"/>
  <c r="M16" i="107"/>
  <c r="R19" i="107"/>
  <c r="S19" i="107" s="1"/>
  <c r="R20" i="107"/>
  <c r="S20" i="107" s="1"/>
  <c r="W20" i="107" l="1"/>
  <c r="X20" i="107" s="1"/>
  <c r="W29" i="107"/>
  <c r="X29" i="107" s="1"/>
  <c r="W27" i="107"/>
  <c r="X27" i="107" s="1"/>
  <c r="W17" i="107"/>
  <c r="X17" i="107" s="1"/>
  <c r="W24" i="107"/>
  <c r="X24" i="107" s="1"/>
  <c r="W19" i="107"/>
  <c r="X19" i="107" s="1"/>
  <c r="W26" i="107"/>
  <c r="X26" i="107" s="1"/>
  <c r="W23" i="107"/>
  <c r="X23" i="107" s="1"/>
  <c r="W25" i="107"/>
  <c r="X25" i="107" s="1"/>
  <c r="W22" i="107"/>
  <c r="X22" i="107" s="1"/>
  <c r="W18" i="107"/>
  <c r="X18" i="107" s="1"/>
  <c r="W30" i="107"/>
  <c r="X30" i="107" s="1"/>
  <c r="W28" i="107"/>
  <c r="X28" i="107" s="1"/>
  <c r="N16" i="107"/>
  <c r="L62" i="59"/>
  <c r="W32" i="107"/>
  <c r="X32" i="107" s="1"/>
  <c r="L77" i="59"/>
  <c r="M77" i="59"/>
  <c r="J77" i="59"/>
  <c r="K77" i="59"/>
  <c r="N77" i="59"/>
  <c r="N120" i="59" l="1"/>
  <c r="K120" i="59"/>
  <c r="J120" i="59"/>
  <c r="AB18" i="107"/>
  <c r="AB22" i="107"/>
  <c r="AB23" i="107"/>
  <c r="AB24" i="107"/>
  <c r="M62" i="59"/>
  <c r="AB32" i="107"/>
  <c r="AB30" i="107"/>
  <c r="R16" i="107"/>
  <c r="AB20" i="107"/>
  <c r="J62" i="59"/>
  <c r="AB26" i="107"/>
  <c r="AB19" i="107"/>
  <c r="N62" i="59"/>
  <c r="AB17" i="107"/>
  <c r="AB29" i="107"/>
  <c r="M120" i="59"/>
  <c r="AB28" i="107"/>
  <c r="L120" i="59"/>
  <c r="AB25" i="107"/>
  <c r="K62" i="59"/>
  <c r="AB27" i="107"/>
  <c r="S16" i="107" l="1"/>
  <c r="W16" i="107" l="1"/>
  <c r="X16" i="107" l="1"/>
  <c r="AB16" i="107" l="1"/>
  <c r="E82" i="61" l="1"/>
  <c r="G23" i="65" l="1"/>
  <c r="G24" i="65" s="1"/>
  <c r="F82" i="61"/>
  <c r="I14" i="58"/>
  <c r="E81" i="61"/>
  <c r="J14" i="58" l="1"/>
  <c r="F81" i="61"/>
  <c r="H23" i="65"/>
  <c r="H24" i="65" s="1"/>
  <c r="G82" i="61"/>
  <c r="N39" i="81"/>
  <c r="M39" i="81"/>
  <c r="L39" i="81"/>
  <c r="K39" i="81"/>
  <c r="J32" i="59" l="1"/>
  <c r="K38" i="81"/>
  <c r="M32" i="59"/>
  <c r="M53" i="81"/>
  <c r="H168" i="59"/>
  <c r="M57" i="81"/>
  <c r="L38" i="81"/>
  <c r="N32" i="59"/>
  <c r="L53" i="81"/>
  <c r="G168" i="59"/>
  <c r="L57" i="81"/>
  <c r="J38" i="81"/>
  <c r="J41" i="81" s="1"/>
  <c r="K32" i="59"/>
  <c r="M38" i="81"/>
  <c r="J57" i="81"/>
  <c r="K53" i="81"/>
  <c r="F168" i="59"/>
  <c r="K57" i="81"/>
  <c r="K14" i="58"/>
  <c r="G81" i="61"/>
  <c r="L32" i="59"/>
  <c r="N38" i="81"/>
  <c r="N53" i="81"/>
  <c r="I168" i="59"/>
  <c r="N57" i="81"/>
  <c r="I23" i="65"/>
  <c r="I24" i="65" s="1"/>
  <c r="H82" i="61"/>
  <c r="H81" i="61" l="1"/>
  <c r="L14" i="58"/>
  <c r="I82" i="61"/>
  <c r="M14" i="58" l="1"/>
  <c r="I81" i="61"/>
  <c r="E47" i="107" l="1"/>
  <c r="E46" i="107"/>
  <c r="E48" i="107"/>
  <c r="E55" i="107"/>
  <c r="E52" i="107"/>
  <c r="E51" i="107"/>
  <c r="E53" i="107"/>
  <c r="E57" i="107"/>
  <c r="E50" i="107"/>
  <c r="E54" i="107"/>
  <c r="E58" i="107"/>
  <c r="E56" i="107"/>
  <c r="E60" i="107"/>
  <c r="H53" i="107" l="1"/>
  <c r="I53" i="107" s="1"/>
  <c r="E79" i="107"/>
  <c r="H79" i="107" s="1"/>
  <c r="H55" i="107"/>
  <c r="I55" i="107" s="1"/>
  <c r="E81" i="107"/>
  <c r="H81" i="107" s="1"/>
  <c r="H48" i="107"/>
  <c r="I48" i="107" s="1"/>
  <c r="E74" i="107"/>
  <c r="H74" i="107" s="1"/>
  <c r="E70" i="107"/>
  <c r="H44" i="107"/>
  <c r="H47" i="107"/>
  <c r="I47" i="107" s="1"/>
  <c r="E73" i="107"/>
  <c r="H73" i="107" s="1"/>
  <c r="H54" i="107"/>
  <c r="I54" i="107" s="1"/>
  <c r="E80" i="107"/>
  <c r="H80" i="107" s="1"/>
  <c r="H51" i="107"/>
  <c r="I51" i="107" s="1"/>
  <c r="E77" i="107"/>
  <c r="H77" i="107" s="1"/>
  <c r="H60" i="107"/>
  <c r="I60" i="107" s="1"/>
  <c r="E86" i="107"/>
  <c r="H86" i="107" s="1"/>
  <c r="H58" i="107"/>
  <c r="I58" i="107" s="1"/>
  <c r="E84" i="107"/>
  <c r="H84" i="107" s="1"/>
  <c r="H57" i="107"/>
  <c r="I57" i="107" s="1"/>
  <c r="E83" i="107"/>
  <c r="H83" i="107" s="1"/>
  <c r="H46" i="107"/>
  <c r="I46" i="107" s="1"/>
  <c r="E72" i="107"/>
  <c r="H72" i="107" s="1"/>
  <c r="H52" i="107"/>
  <c r="I52" i="107" s="1"/>
  <c r="E78" i="107"/>
  <c r="H78" i="107" s="1"/>
  <c r="H45" i="107"/>
  <c r="I45" i="107" s="1"/>
  <c r="E71" i="107"/>
  <c r="H71" i="107" s="1"/>
  <c r="H50" i="107"/>
  <c r="I50" i="107" s="1"/>
  <c r="E76" i="107"/>
  <c r="H76" i="107" s="1"/>
  <c r="H56" i="107"/>
  <c r="I56" i="107" s="1"/>
  <c r="E82" i="107"/>
  <c r="H82" i="107" s="1"/>
  <c r="G64" i="55"/>
  <c r="K54" i="107" l="1"/>
  <c r="K80" i="107" s="1"/>
  <c r="J54" i="107"/>
  <c r="I80" i="107"/>
  <c r="H70" i="107"/>
  <c r="K56" i="107"/>
  <c r="K82" i="107" s="1"/>
  <c r="J56" i="107"/>
  <c r="I82" i="107"/>
  <c r="K45" i="107"/>
  <c r="K71" i="107" s="1"/>
  <c r="J45" i="107"/>
  <c r="I71" i="107"/>
  <c r="K57" i="107"/>
  <c r="K83" i="107" s="1"/>
  <c r="J57" i="107"/>
  <c r="I83" i="107"/>
  <c r="K47" i="107"/>
  <c r="K73" i="107" s="1"/>
  <c r="J47" i="107"/>
  <c r="I73" i="107"/>
  <c r="K52" i="107"/>
  <c r="K78" i="107" s="1"/>
  <c r="J52" i="107"/>
  <c r="I78" i="107"/>
  <c r="K58" i="107"/>
  <c r="K84" i="107" s="1"/>
  <c r="J58" i="107"/>
  <c r="I84" i="107"/>
  <c r="K48" i="107"/>
  <c r="K74" i="107" s="1"/>
  <c r="J48" i="107"/>
  <c r="I74" i="107"/>
  <c r="K50" i="107"/>
  <c r="K76" i="107" s="1"/>
  <c r="J50" i="107"/>
  <c r="I76" i="107"/>
  <c r="K51" i="107"/>
  <c r="K77" i="107" s="1"/>
  <c r="J51" i="107"/>
  <c r="I77" i="107"/>
  <c r="K55" i="107"/>
  <c r="K81" i="107" s="1"/>
  <c r="J55" i="107"/>
  <c r="I81" i="107"/>
  <c r="K46" i="107"/>
  <c r="K72" i="107" s="1"/>
  <c r="J46" i="107"/>
  <c r="I72" i="107"/>
  <c r="K60" i="107"/>
  <c r="K86" i="107" s="1"/>
  <c r="J60" i="107"/>
  <c r="I86" i="107"/>
  <c r="K53" i="107"/>
  <c r="K79" i="107" s="1"/>
  <c r="J53" i="107"/>
  <c r="I79" i="107"/>
  <c r="I44" i="107"/>
  <c r="M51" i="107" l="1"/>
  <c r="N51" i="107" s="1"/>
  <c r="J77" i="107"/>
  <c r="M77" i="107" s="1"/>
  <c r="M56" i="107"/>
  <c r="N56" i="107" s="1"/>
  <c r="J82" i="107"/>
  <c r="M82" i="107" s="1"/>
  <c r="I70" i="107"/>
  <c r="K44" i="107"/>
  <c r="J44" i="107"/>
  <c r="M60" i="107"/>
  <c r="N60" i="107" s="1"/>
  <c r="J86" i="107"/>
  <c r="M86" i="107" s="1"/>
  <c r="M47" i="107"/>
  <c r="N47" i="107" s="1"/>
  <c r="J73" i="107"/>
  <c r="M73" i="107" s="1"/>
  <c r="M54" i="107"/>
  <c r="N54" i="107" s="1"/>
  <c r="J80" i="107"/>
  <c r="M80" i="107" s="1"/>
  <c r="M55" i="107"/>
  <c r="N55" i="107" s="1"/>
  <c r="J81" i="107"/>
  <c r="M81" i="107" s="1"/>
  <c r="M57" i="107"/>
  <c r="N57" i="107" s="1"/>
  <c r="J83" i="107"/>
  <c r="M83" i="107" s="1"/>
  <c r="M50" i="107"/>
  <c r="N50" i="107" s="1"/>
  <c r="J76" i="107"/>
  <c r="M76" i="107" s="1"/>
  <c r="M53" i="107"/>
  <c r="N53" i="107" s="1"/>
  <c r="J79" i="107"/>
  <c r="M79" i="107" s="1"/>
  <c r="M46" i="107"/>
  <c r="N46" i="107" s="1"/>
  <c r="J72" i="107"/>
  <c r="M72" i="107" s="1"/>
  <c r="M48" i="107"/>
  <c r="N48" i="107" s="1"/>
  <c r="J74" i="107"/>
  <c r="M74" i="107" s="1"/>
  <c r="M58" i="107"/>
  <c r="N58" i="107" s="1"/>
  <c r="J84" i="107"/>
  <c r="M84" i="107" s="1"/>
  <c r="M52" i="107"/>
  <c r="N52" i="107" s="1"/>
  <c r="J78" i="107"/>
  <c r="M78" i="107" s="1"/>
  <c r="M45" i="107"/>
  <c r="N45" i="107" s="1"/>
  <c r="J71" i="107"/>
  <c r="M71" i="107" s="1"/>
  <c r="M44" i="107" l="1"/>
  <c r="N44" i="107" s="1"/>
  <c r="P45" i="107"/>
  <c r="P71" i="107" s="1"/>
  <c r="O45" i="107"/>
  <c r="N71" i="107"/>
  <c r="P58" i="107"/>
  <c r="P84" i="107" s="1"/>
  <c r="O58" i="107"/>
  <c r="N84" i="107"/>
  <c r="P48" i="107"/>
  <c r="P74" i="107" s="1"/>
  <c r="O48" i="107"/>
  <c r="N74" i="107"/>
  <c r="P46" i="107"/>
  <c r="P72" i="107" s="1"/>
  <c r="O46" i="107"/>
  <c r="N72" i="107"/>
  <c r="P47" i="107"/>
  <c r="P73" i="107" s="1"/>
  <c r="O47" i="107"/>
  <c r="N73" i="107"/>
  <c r="K70" i="107"/>
  <c r="P56" i="107"/>
  <c r="P82" i="107" s="1"/>
  <c r="O56" i="107"/>
  <c r="N82" i="107"/>
  <c r="P50" i="107"/>
  <c r="P76" i="107" s="1"/>
  <c r="O50" i="107"/>
  <c r="N76" i="107"/>
  <c r="P60" i="107"/>
  <c r="P86" i="107" s="1"/>
  <c r="O60" i="107"/>
  <c r="N86" i="107"/>
  <c r="P52" i="107"/>
  <c r="P78" i="107" s="1"/>
  <c r="O52" i="107"/>
  <c r="N78" i="107"/>
  <c r="P55" i="107"/>
  <c r="P81" i="107" s="1"/>
  <c r="O55" i="107"/>
  <c r="N81" i="107"/>
  <c r="P54" i="107"/>
  <c r="P80" i="107" s="1"/>
  <c r="O54" i="107"/>
  <c r="N80" i="107"/>
  <c r="P53" i="107"/>
  <c r="P79" i="107" s="1"/>
  <c r="O53" i="107"/>
  <c r="N79" i="107"/>
  <c r="P57" i="107"/>
  <c r="P83" i="107" s="1"/>
  <c r="O57" i="107"/>
  <c r="N83" i="107"/>
  <c r="J70" i="107"/>
  <c r="P51" i="107"/>
  <c r="P77" i="107" s="1"/>
  <c r="O51" i="107"/>
  <c r="N77" i="107"/>
  <c r="R52" i="107" l="1"/>
  <c r="S52" i="107" s="1"/>
  <c r="O78" i="107"/>
  <c r="R78" i="107" s="1"/>
  <c r="R60" i="107"/>
  <c r="S60" i="107" s="1"/>
  <c r="O86" i="107"/>
  <c r="R86" i="107" s="1"/>
  <c r="R47" i="107"/>
  <c r="S47" i="107" s="1"/>
  <c r="O73" i="107"/>
  <c r="R73" i="107" s="1"/>
  <c r="F59" i="107"/>
  <c r="R53" i="107"/>
  <c r="S53" i="107" s="1"/>
  <c r="O79" i="107"/>
  <c r="R79" i="107" s="1"/>
  <c r="M70" i="107"/>
  <c r="R48" i="107"/>
  <c r="S48" i="107" s="1"/>
  <c r="O74" i="107"/>
  <c r="R74" i="107" s="1"/>
  <c r="P44" i="107"/>
  <c r="O44" i="107"/>
  <c r="N70" i="107"/>
  <c r="R56" i="107"/>
  <c r="S56" i="107" s="1"/>
  <c r="O82" i="107"/>
  <c r="R82" i="107" s="1"/>
  <c r="R55" i="107"/>
  <c r="S55" i="107" s="1"/>
  <c r="O81" i="107"/>
  <c r="R81" i="107" s="1"/>
  <c r="R57" i="107"/>
  <c r="S57" i="107" s="1"/>
  <c r="O83" i="107"/>
  <c r="R83" i="107" s="1"/>
  <c r="R54" i="107"/>
  <c r="S54" i="107" s="1"/>
  <c r="O80" i="107"/>
  <c r="R80" i="107" s="1"/>
  <c r="R45" i="107"/>
  <c r="S45" i="107" s="1"/>
  <c r="O71" i="107"/>
  <c r="R71" i="107" s="1"/>
  <c r="R51" i="107"/>
  <c r="S51" i="107" s="1"/>
  <c r="O77" i="107"/>
  <c r="R77" i="107" s="1"/>
  <c r="R50" i="107"/>
  <c r="S50" i="107" s="1"/>
  <c r="O76" i="107"/>
  <c r="R76" i="107" s="1"/>
  <c r="R46" i="107"/>
  <c r="S46" i="107" s="1"/>
  <c r="O72" i="107"/>
  <c r="R72" i="107" s="1"/>
  <c r="R58" i="107"/>
  <c r="S58" i="107" s="1"/>
  <c r="O84" i="107"/>
  <c r="R84" i="107" s="1"/>
  <c r="R44" i="107" l="1"/>
  <c r="S44" i="107" s="1"/>
  <c r="U57" i="107"/>
  <c r="U83" i="107" s="1"/>
  <c r="T57" i="107"/>
  <c r="S83" i="107"/>
  <c r="O70" i="107"/>
  <c r="U54" i="107"/>
  <c r="U80" i="107" s="1"/>
  <c r="T54" i="107"/>
  <c r="S80" i="107"/>
  <c r="U55" i="107"/>
  <c r="U81" i="107" s="1"/>
  <c r="T55" i="107"/>
  <c r="S81" i="107"/>
  <c r="U48" i="107"/>
  <c r="U74" i="107" s="1"/>
  <c r="T48" i="107"/>
  <c r="S74" i="107"/>
  <c r="U51" i="107"/>
  <c r="U77" i="107" s="1"/>
  <c r="T51" i="107"/>
  <c r="S77" i="107"/>
  <c r="U56" i="107"/>
  <c r="U82" i="107" s="1"/>
  <c r="T56" i="107"/>
  <c r="S82" i="107"/>
  <c r="P70" i="107"/>
  <c r="U52" i="107"/>
  <c r="U78" i="107" s="1"/>
  <c r="T52" i="107"/>
  <c r="S78" i="107"/>
  <c r="U46" i="107"/>
  <c r="U72" i="107" s="1"/>
  <c r="T46" i="107"/>
  <c r="S72" i="107"/>
  <c r="U45" i="107"/>
  <c r="U71" i="107" s="1"/>
  <c r="T45" i="107"/>
  <c r="S71" i="107"/>
  <c r="U47" i="107"/>
  <c r="U73" i="107" s="1"/>
  <c r="T47" i="107"/>
  <c r="S73" i="107"/>
  <c r="U50" i="107"/>
  <c r="U76" i="107" s="1"/>
  <c r="T50" i="107"/>
  <c r="S76" i="107"/>
  <c r="U60" i="107"/>
  <c r="U86" i="107" s="1"/>
  <c r="T60" i="107"/>
  <c r="S86" i="107"/>
  <c r="F61" i="107"/>
  <c r="F85" i="107"/>
  <c r="F87" i="107" s="1"/>
  <c r="U58" i="107"/>
  <c r="U84" i="107" s="1"/>
  <c r="T58" i="107"/>
  <c r="S84" i="107"/>
  <c r="U53" i="107"/>
  <c r="U79" i="107" s="1"/>
  <c r="T53" i="107"/>
  <c r="S79" i="107"/>
  <c r="R70" i="107" l="1"/>
  <c r="W51" i="107"/>
  <c r="X51" i="107" s="1"/>
  <c r="T77" i="107"/>
  <c r="W77" i="107" s="1"/>
  <c r="W58" i="107"/>
  <c r="X58" i="107" s="1"/>
  <c r="T84" i="107"/>
  <c r="W84" i="107" s="1"/>
  <c r="W52" i="107"/>
  <c r="X52" i="107" s="1"/>
  <c r="T78" i="107"/>
  <c r="W78" i="107" s="1"/>
  <c r="W47" i="107"/>
  <c r="X47" i="107" s="1"/>
  <c r="T73" i="107"/>
  <c r="W73" i="107" s="1"/>
  <c r="W46" i="107"/>
  <c r="X46" i="107" s="1"/>
  <c r="T72" i="107"/>
  <c r="W72" i="107" s="1"/>
  <c r="W54" i="107"/>
  <c r="X54" i="107" s="1"/>
  <c r="T80" i="107"/>
  <c r="W80" i="107" s="1"/>
  <c r="S70" i="107"/>
  <c r="U44" i="107"/>
  <c r="T44" i="107"/>
  <c r="W53" i="107"/>
  <c r="X53" i="107" s="1"/>
  <c r="T79" i="107"/>
  <c r="W79" i="107" s="1"/>
  <c r="W50" i="107"/>
  <c r="X50" i="107" s="1"/>
  <c r="T76" i="107"/>
  <c r="W76" i="107" s="1"/>
  <c r="W45" i="107"/>
  <c r="X45" i="107" s="1"/>
  <c r="T71" i="107"/>
  <c r="W71" i="107" s="1"/>
  <c r="W56" i="107"/>
  <c r="X56" i="107" s="1"/>
  <c r="T82" i="107"/>
  <c r="W82" i="107" s="1"/>
  <c r="W48" i="107"/>
  <c r="X48" i="107" s="1"/>
  <c r="T74" i="107"/>
  <c r="W74" i="107" s="1"/>
  <c r="W55" i="107"/>
  <c r="X55" i="107" s="1"/>
  <c r="T81" i="107"/>
  <c r="W81" i="107" s="1"/>
  <c r="W60" i="107"/>
  <c r="X60" i="107" s="1"/>
  <c r="T86" i="107"/>
  <c r="W86" i="107" s="1"/>
  <c r="W57" i="107"/>
  <c r="X57" i="107" s="1"/>
  <c r="T83" i="107"/>
  <c r="W83" i="107" s="1"/>
  <c r="Z45" i="107" l="1"/>
  <c r="Z71" i="107" s="1"/>
  <c r="Y45" i="107"/>
  <c r="Y71" i="107" s="1"/>
  <c r="X71" i="107"/>
  <c r="U70" i="107"/>
  <c r="Z52" i="107"/>
  <c r="Z78" i="107" s="1"/>
  <c r="Y52" i="107"/>
  <c r="Y78" i="107" s="1"/>
  <c r="X78" i="107"/>
  <c r="Z60" i="107"/>
  <c r="Z86" i="107" s="1"/>
  <c r="Y60" i="107"/>
  <c r="Y86" i="107" s="1"/>
  <c r="X86" i="107"/>
  <c r="Z50" i="107"/>
  <c r="Z76" i="107" s="1"/>
  <c r="Y50" i="107"/>
  <c r="Y76" i="107" s="1"/>
  <c r="X76" i="107"/>
  <c r="Z53" i="107"/>
  <c r="Z79" i="107" s="1"/>
  <c r="Y53" i="107"/>
  <c r="Y79" i="107" s="1"/>
  <c r="X79" i="107"/>
  <c r="Z51" i="107"/>
  <c r="Z77" i="107" s="1"/>
  <c r="Y51" i="107"/>
  <c r="Y77" i="107" s="1"/>
  <c r="X77" i="107"/>
  <c r="Z48" i="107"/>
  <c r="Z74" i="107" s="1"/>
  <c r="Y48" i="107"/>
  <c r="Y74" i="107" s="1"/>
  <c r="X74" i="107"/>
  <c r="Z56" i="107"/>
  <c r="Z82" i="107" s="1"/>
  <c r="Y56" i="107"/>
  <c r="Y82" i="107" s="1"/>
  <c r="X82" i="107"/>
  <c r="Z46" i="107"/>
  <c r="Z72" i="107" s="1"/>
  <c r="Y46" i="107"/>
  <c r="Y72" i="107" s="1"/>
  <c r="X72" i="107"/>
  <c r="Z58" i="107"/>
  <c r="Z84" i="107" s="1"/>
  <c r="Y58" i="107"/>
  <c r="Y84" i="107" s="1"/>
  <c r="X84" i="107"/>
  <c r="Z55" i="107"/>
  <c r="Z81" i="107" s="1"/>
  <c r="Y55" i="107"/>
  <c r="Y81" i="107" s="1"/>
  <c r="X81" i="107"/>
  <c r="T70" i="107"/>
  <c r="Z54" i="107"/>
  <c r="Z80" i="107" s="1"/>
  <c r="Y54" i="107"/>
  <c r="Y80" i="107" s="1"/>
  <c r="X80" i="107"/>
  <c r="Z57" i="107"/>
  <c r="Z83" i="107" s="1"/>
  <c r="Y57" i="107"/>
  <c r="Y83" i="107" s="1"/>
  <c r="X83" i="107"/>
  <c r="W44" i="107"/>
  <c r="Z47" i="107"/>
  <c r="Z73" i="107" s="1"/>
  <c r="Y47" i="107"/>
  <c r="Y73" i="107" s="1"/>
  <c r="X73" i="107"/>
  <c r="AB56" i="107" l="1"/>
  <c r="AB50" i="107"/>
  <c r="AB53" i="107"/>
  <c r="AB55" i="107"/>
  <c r="AB48" i="107"/>
  <c r="AB45" i="107"/>
  <c r="AB57" i="107"/>
  <c r="AB58" i="107"/>
  <c r="AB51" i="107"/>
  <c r="AB54" i="107"/>
  <c r="AB46" i="107"/>
  <c r="AB52" i="107"/>
  <c r="AB60" i="107"/>
  <c r="AB47" i="107"/>
  <c r="AB84" i="107"/>
  <c r="AB79" i="107"/>
  <c r="AB72" i="107"/>
  <c r="AB83" i="107"/>
  <c r="AB82" i="107"/>
  <c r="AB77" i="107"/>
  <c r="X44" i="107"/>
  <c r="AB80" i="107"/>
  <c r="AB81" i="107"/>
  <c r="W70" i="107"/>
  <c r="AB78" i="107"/>
  <c r="AB76" i="107"/>
  <c r="AB73" i="107"/>
  <c r="AB74" i="107"/>
  <c r="AB86" i="107"/>
  <c r="AB71" i="107"/>
  <c r="Z44" i="107" l="1"/>
  <c r="Y44" i="107"/>
  <c r="X70" i="107"/>
  <c r="Z70" i="107" l="1"/>
  <c r="Y70" i="107"/>
  <c r="AB44" i="107"/>
  <c r="AB70" i="107" l="1"/>
  <c r="I22" i="58"/>
  <c r="E65" i="61" l="1"/>
  <c r="F65" i="61"/>
  <c r="J30" i="58"/>
  <c r="I30" i="58"/>
  <c r="J81" i="59"/>
  <c r="J22" i="58"/>
  <c r="G65" i="61" l="1"/>
  <c r="K81" i="59"/>
  <c r="K124" i="59" s="1"/>
  <c r="J66" i="59"/>
  <c r="K66" i="59"/>
  <c r="K112" i="59" s="1"/>
  <c r="L81" i="59"/>
  <c r="L124" i="59" s="1"/>
  <c r="K22" i="58"/>
  <c r="K30" i="58" l="1"/>
  <c r="H65" i="61"/>
  <c r="L30" i="58"/>
  <c r="M30" i="58"/>
  <c r="L66" i="59"/>
  <c r="L112" i="59" s="1"/>
  <c r="M22" i="58"/>
  <c r="L22" i="58"/>
  <c r="I65" i="61" l="1"/>
  <c r="J65" i="61"/>
  <c r="M66" i="59"/>
  <c r="M112" i="59" s="1"/>
  <c r="M81" i="59"/>
  <c r="M124" i="59" s="1"/>
  <c r="N66" i="59" l="1"/>
  <c r="N112" i="59" s="1"/>
  <c r="N81" i="59"/>
  <c r="N124" i="59" s="1"/>
  <c r="J124" i="59" l="1"/>
  <c r="J112" i="59"/>
  <c r="M153" i="59" l="1"/>
  <c r="N153" i="59" l="1"/>
  <c r="F84" i="61" l="1"/>
  <c r="G84" i="61"/>
  <c r="H84" i="61"/>
  <c r="I84" i="61"/>
  <c r="E84" i="61"/>
  <c r="D85" i="107" l="1"/>
  <c r="D87" i="107" s="1"/>
  <c r="H31" i="107"/>
  <c r="E59" i="107"/>
  <c r="I31" i="107" l="1"/>
  <c r="H59" i="107"/>
  <c r="E85" i="107"/>
  <c r="I59" i="107" l="1"/>
  <c r="M31" i="107"/>
  <c r="H85" i="107"/>
  <c r="K59" i="107" l="1"/>
  <c r="J59" i="107"/>
  <c r="N31" i="107"/>
  <c r="I85" i="107"/>
  <c r="M59" i="107" l="1"/>
  <c r="J85" i="107"/>
  <c r="K85" i="107"/>
  <c r="R31" i="107"/>
  <c r="S31" i="107" l="1"/>
  <c r="M85" i="107"/>
  <c r="N59" i="107"/>
  <c r="W31" i="107" l="1"/>
  <c r="P59" i="107"/>
  <c r="O59" i="107"/>
  <c r="N85" i="107"/>
  <c r="R59" i="107" l="1"/>
  <c r="O85" i="107"/>
  <c r="P85" i="107"/>
  <c r="X31" i="107"/>
  <c r="R85" i="107" l="1"/>
  <c r="S59" i="107"/>
  <c r="AB31" i="107"/>
  <c r="U59" i="107" l="1"/>
  <c r="T59" i="107"/>
  <c r="S85" i="107"/>
  <c r="W59" i="107" l="1"/>
  <c r="T85" i="107"/>
  <c r="U85" i="107"/>
  <c r="W85" i="107" l="1"/>
  <c r="X59" i="107"/>
  <c r="Z59" i="107" l="1"/>
  <c r="Y59" i="107"/>
  <c r="X85" i="107"/>
  <c r="AB59" i="107" l="1"/>
  <c r="Y85" i="107"/>
  <c r="Z85" i="107"/>
  <c r="AB85" i="107" l="1"/>
  <c r="L153" i="59" l="1"/>
  <c r="K153" i="59"/>
  <c r="J153" i="59"/>
  <c r="N76" i="59" l="1"/>
  <c r="L76" i="59"/>
  <c r="L61" i="59"/>
  <c r="N61" i="59"/>
  <c r="M61" i="59"/>
  <c r="M76" i="59"/>
  <c r="L119" i="59" l="1"/>
  <c r="M119" i="59"/>
  <c r="N119" i="59"/>
  <c r="J61" i="59" l="1"/>
  <c r="K76" i="59" l="1"/>
  <c r="K119" i="59" s="1"/>
  <c r="J76" i="59" l="1"/>
  <c r="J119" i="59" s="1"/>
  <c r="K60" i="59" l="1"/>
  <c r="L60" i="59" l="1"/>
  <c r="M60" i="59" l="1"/>
  <c r="N60" i="59" l="1"/>
  <c r="J121" i="59" l="1"/>
  <c r="K79" i="59"/>
  <c r="K122" i="59" s="1"/>
  <c r="K64" i="59"/>
  <c r="K110" i="59" s="1"/>
  <c r="L79" i="59" l="1"/>
  <c r="L122" i="59" s="1"/>
  <c r="L64" i="59"/>
  <c r="L110" i="59" s="1"/>
  <c r="M79" i="59" l="1"/>
  <c r="M122" i="59" s="1"/>
  <c r="M64" i="59"/>
  <c r="M110" i="59" s="1"/>
  <c r="N64" i="59" l="1"/>
  <c r="N110" i="59" s="1"/>
  <c r="N79" i="59"/>
  <c r="N122" i="59" s="1"/>
  <c r="J122" i="59" l="1"/>
  <c r="J110" i="59"/>
  <c r="F68" i="61" l="1"/>
  <c r="F61" i="61"/>
  <c r="J75" i="59"/>
  <c r="J118" i="59" s="1"/>
  <c r="J117" i="59" l="1"/>
  <c r="K75" i="59"/>
  <c r="K118" i="59" s="1"/>
  <c r="K117" i="59" l="1"/>
  <c r="L75" i="59"/>
  <c r="L118" i="59" s="1"/>
  <c r="L117" i="59" l="1"/>
  <c r="M75" i="59"/>
  <c r="M118" i="59" s="1"/>
  <c r="M117" i="59" l="1"/>
  <c r="N117" i="59"/>
  <c r="N75" i="59"/>
  <c r="N118" i="59" s="1"/>
  <c r="E30" i="61" l="1"/>
  <c r="E20" i="58" s="1"/>
  <c r="C9" i="80" l="1"/>
  <c r="E26" i="58"/>
  <c r="E31" i="58" s="1"/>
  <c r="R83" i="70" l="1"/>
  <c r="Q83" i="70"/>
  <c r="R84" i="70"/>
  <c r="Q84" i="70"/>
  <c r="R76" i="70"/>
  <c r="Q76" i="70"/>
  <c r="R81" i="70"/>
  <c r="Q81" i="70"/>
  <c r="Q79" i="70"/>
  <c r="R79" i="70"/>
  <c r="Q80" i="70"/>
  <c r="R80" i="70"/>
  <c r="Q78" i="70"/>
  <c r="R78" i="70"/>
  <c r="Q74" i="70"/>
  <c r="R74" i="70"/>
  <c r="R77" i="70"/>
  <c r="Q77" i="70"/>
  <c r="R75" i="70"/>
  <c r="Q75" i="70"/>
  <c r="Q86" i="70"/>
  <c r="R86" i="70"/>
  <c r="Q82" i="70"/>
  <c r="R82" i="70"/>
  <c r="R72" i="70"/>
  <c r="Q72" i="70"/>
  <c r="R85" i="70"/>
  <c r="Q85" i="70"/>
  <c r="R73" i="70"/>
  <c r="Q73" i="70"/>
  <c r="R71" i="70"/>
  <c r="Q71" i="70"/>
  <c r="F17" i="65"/>
  <c r="F13" i="58" s="1"/>
  <c r="D11" i="78" l="1"/>
  <c r="F26" i="61" l="1"/>
  <c r="D79" i="117" l="1"/>
  <c r="D73" i="117"/>
  <c r="F75" i="70"/>
  <c r="D69" i="117"/>
  <c r="D78" i="117"/>
  <c r="F80" i="70"/>
  <c r="F85" i="70"/>
  <c r="D83" i="117"/>
  <c r="F76" i="70"/>
  <c r="D74" i="117"/>
  <c r="D80" i="117"/>
  <c r="F82" i="70"/>
  <c r="F83" i="70"/>
  <c r="D81" i="117"/>
  <c r="D87" i="70"/>
  <c r="F70" i="70"/>
  <c r="D68" i="117"/>
  <c r="D71" i="117"/>
  <c r="D75" i="117"/>
  <c r="F77" i="70"/>
  <c r="D72" i="117"/>
  <c r="F74" i="70"/>
  <c r="D77" i="117"/>
  <c r="D82" i="117"/>
  <c r="H18" i="70"/>
  <c r="I18" i="70" s="1"/>
  <c r="D126" i="70"/>
  <c r="D16" i="117"/>
  <c r="D70" i="117"/>
  <c r="F72" i="70"/>
  <c r="D76" i="117"/>
  <c r="F78" i="70"/>
  <c r="D84" i="117"/>
  <c r="F86" i="70"/>
  <c r="F73" i="70"/>
  <c r="H72" i="70" l="1"/>
  <c r="F71" i="117"/>
  <c r="F125" i="117" s="1"/>
  <c r="F127" i="70"/>
  <c r="E129" i="70"/>
  <c r="E73" i="117"/>
  <c r="E127" i="117" s="1"/>
  <c r="H75" i="70"/>
  <c r="E128" i="70"/>
  <c r="E72" i="117"/>
  <c r="E126" i="117" s="1"/>
  <c r="H74" i="70"/>
  <c r="E78" i="117"/>
  <c r="E132" i="117" s="1"/>
  <c r="E134" i="70"/>
  <c r="H80" i="70"/>
  <c r="E74" i="117"/>
  <c r="E128" i="117" s="1"/>
  <c r="E130" i="70"/>
  <c r="H76" i="70"/>
  <c r="E139" i="70"/>
  <c r="E83" i="117"/>
  <c r="E137" i="117" s="1"/>
  <c r="H85" i="70"/>
  <c r="E68" i="117"/>
  <c r="H70" i="70"/>
  <c r="I70" i="70" s="1"/>
  <c r="H24" i="70"/>
  <c r="I24" i="70" s="1"/>
  <c r="D132" i="70"/>
  <c r="D22" i="117"/>
  <c r="F84" i="70"/>
  <c r="D28" i="117"/>
  <c r="D138" i="70"/>
  <c r="H30" i="70"/>
  <c r="I30" i="70" s="1"/>
  <c r="F132" i="70"/>
  <c r="F76" i="117"/>
  <c r="F130" i="117" s="1"/>
  <c r="E127" i="70"/>
  <c r="E71" i="117"/>
  <c r="E125" i="117" s="1"/>
  <c r="H28" i="70"/>
  <c r="I28" i="70" s="1"/>
  <c r="D136" i="70"/>
  <c r="D26" i="117"/>
  <c r="H29" i="70"/>
  <c r="I29" i="70" s="1"/>
  <c r="D27" i="117"/>
  <c r="D137" i="70"/>
  <c r="D15" i="117"/>
  <c r="H17" i="70"/>
  <c r="I17" i="70" s="1"/>
  <c r="D125" i="70"/>
  <c r="D30" i="117"/>
  <c r="H32" i="70"/>
  <c r="I32" i="70" s="1"/>
  <c r="D140" i="70"/>
  <c r="H19" i="70"/>
  <c r="I19" i="70" s="1"/>
  <c r="D127" i="70"/>
  <c r="D17" i="117"/>
  <c r="D19" i="117"/>
  <c r="D129" i="70"/>
  <c r="H21" i="70"/>
  <c r="I21" i="70" s="1"/>
  <c r="F81" i="117"/>
  <c r="F135" i="117" s="1"/>
  <c r="F137" i="70"/>
  <c r="F74" i="117"/>
  <c r="F128" i="117" s="1"/>
  <c r="F130" i="70"/>
  <c r="F73" i="117"/>
  <c r="F127" i="117" s="1"/>
  <c r="F129" i="70"/>
  <c r="D128" i="70"/>
  <c r="H20" i="70"/>
  <c r="I20" i="70" s="1"/>
  <c r="D18" i="117"/>
  <c r="D24" i="117"/>
  <c r="D134" i="70"/>
  <c r="H26" i="70"/>
  <c r="I26" i="70" s="1"/>
  <c r="F126" i="70"/>
  <c r="F70" i="117"/>
  <c r="F124" i="117" s="1"/>
  <c r="H27" i="70"/>
  <c r="I27" i="70" s="1"/>
  <c r="D25" i="117"/>
  <c r="D135" i="70"/>
  <c r="F128" i="70"/>
  <c r="F72" i="117"/>
  <c r="F126" i="117" s="1"/>
  <c r="E19" i="55"/>
  <c r="E40" i="55"/>
  <c r="F10" i="55"/>
  <c r="H22" i="70"/>
  <c r="I22" i="70" s="1"/>
  <c r="D20" i="117"/>
  <c r="D130" i="70"/>
  <c r="F131" i="70"/>
  <c r="F75" i="117"/>
  <c r="F129" i="117" s="1"/>
  <c r="D85" i="117"/>
  <c r="D86" i="117" s="1"/>
  <c r="D29" i="117"/>
  <c r="D139" i="70"/>
  <c r="H31" i="70"/>
  <c r="I31" i="70" s="1"/>
  <c r="D133" i="70"/>
  <c r="H25" i="70"/>
  <c r="I25" i="70" s="1"/>
  <c r="D23" i="117"/>
  <c r="F140" i="70"/>
  <c r="F84" i="117"/>
  <c r="F138" i="117" s="1"/>
  <c r="E70" i="117"/>
  <c r="E124" i="117" s="1"/>
  <c r="E126" i="70"/>
  <c r="F79" i="70"/>
  <c r="F124" i="70"/>
  <c r="F68" i="117"/>
  <c r="F136" i="70"/>
  <c r="F80" i="117"/>
  <c r="F134" i="117" s="1"/>
  <c r="F71" i="70"/>
  <c r="F81" i="70"/>
  <c r="F78" i="117"/>
  <c r="F132" i="117" s="1"/>
  <c r="F134" i="70"/>
  <c r="D21" i="117"/>
  <c r="H23" i="70"/>
  <c r="I23" i="70" s="1"/>
  <c r="D131" i="70"/>
  <c r="H16" i="70"/>
  <c r="I16" i="70" s="1"/>
  <c r="D14" i="117"/>
  <c r="D33" i="70"/>
  <c r="D124" i="70"/>
  <c r="D124" i="117"/>
  <c r="H16" i="117"/>
  <c r="H73" i="70"/>
  <c r="F83" i="117"/>
  <c r="F137" i="117" s="1"/>
  <c r="F139" i="70"/>
  <c r="E16" i="54" l="1"/>
  <c r="E13" i="55"/>
  <c r="J70" i="70"/>
  <c r="H127" i="70"/>
  <c r="H72" i="117"/>
  <c r="I74" i="70"/>
  <c r="H74" i="117"/>
  <c r="I76" i="70"/>
  <c r="I124" i="70"/>
  <c r="I85" i="70"/>
  <c r="I80" i="70"/>
  <c r="I75" i="70"/>
  <c r="I73" i="70"/>
  <c r="I72" i="70"/>
  <c r="E87" i="70"/>
  <c r="H126" i="70"/>
  <c r="H68" i="117"/>
  <c r="F69" i="117"/>
  <c r="F123" i="117" s="1"/>
  <c r="F125" i="70"/>
  <c r="D128" i="117"/>
  <c r="H128" i="117" s="1"/>
  <c r="H20" i="117"/>
  <c r="H24" i="117"/>
  <c r="D132" i="117"/>
  <c r="H132" i="117" s="1"/>
  <c r="E137" i="70"/>
  <c r="H137" i="70" s="1"/>
  <c r="E81" i="117"/>
  <c r="H83" i="70"/>
  <c r="H22" i="117"/>
  <c r="D130" i="117"/>
  <c r="H83" i="117"/>
  <c r="D133" i="117"/>
  <c r="H25" i="117"/>
  <c r="D126" i="117"/>
  <c r="H126" i="117" s="1"/>
  <c r="H18" i="117"/>
  <c r="M18" i="70"/>
  <c r="D44" i="70" s="1"/>
  <c r="I16" i="117"/>
  <c r="M16" i="117" s="1"/>
  <c r="D42" i="117" s="1"/>
  <c r="H15" i="117"/>
  <c r="D123" i="117"/>
  <c r="H139" i="70"/>
  <c r="H33" i="70"/>
  <c r="H124" i="117"/>
  <c r="H21" i="117"/>
  <c r="D129" i="117"/>
  <c r="H29" i="117"/>
  <c r="D137" i="117"/>
  <c r="H137" i="117" s="1"/>
  <c r="H128" i="70"/>
  <c r="D127" i="117"/>
  <c r="H127" i="117" s="1"/>
  <c r="H19" i="117"/>
  <c r="H78" i="70"/>
  <c r="E132" i="70"/>
  <c r="H132" i="70" s="1"/>
  <c r="E76" i="117"/>
  <c r="D135" i="117"/>
  <c r="H27" i="117"/>
  <c r="H130" i="70"/>
  <c r="E131" i="70"/>
  <c r="H131" i="70" s="1"/>
  <c r="E75" i="117"/>
  <c r="H77" i="70"/>
  <c r="F87" i="70"/>
  <c r="F19" i="55"/>
  <c r="D125" i="117"/>
  <c r="H125" i="117" s="1"/>
  <c r="H17" i="117"/>
  <c r="F77" i="117"/>
  <c r="F131" i="117" s="1"/>
  <c r="F133" i="70"/>
  <c r="H124" i="70"/>
  <c r="D141" i="70"/>
  <c r="F122" i="117"/>
  <c r="D131" i="117"/>
  <c r="H23" i="117"/>
  <c r="H70" i="117"/>
  <c r="H71" i="117"/>
  <c r="E82" i="117"/>
  <c r="E138" i="70"/>
  <c r="H84" i="70"/>
  <c r="D134" i="117"/>
  <c r="H26" i="117"/>
  <c r="E122" i="117"/>
  <c r="H129" i="70"/>
  <c r="E136" i="70"/>
  <c r="H136" i="70" s="1"/>
  <c r="E80" i="117"/>
  <c r="H82" i="70"/>
  <c r="E135" i="70"/>
  <c r="E79" i="117"/>
  <c r="H81" i="70"/>
  <c r="E84" i="117"/>
  <c r="E140" i="70"/>
  <c r="H140" i="70" s="1"/>
  <c r="H86" i="70"/>
  <c r="H73" i="117"/>
  <c r="H30" i="117"/>
  <c r="D138" i="117"/>
  <c r="H28" i="117"/>
  <c r="D136" i="117"/>
  <c r="H134" i="70"/>
  <c r="E133" i="70"/>
  <c r="E77" i="117"/>
  <c r="H79" i="70"/>
  <c r="H14" i="117"/>
  <c r="D31" i="117"/>
  <c r="D32" i="117" s="1"/>
  <c r="D122" i="117"/>
  <c r="F79" i="117"/>
  <c r="F133" i="117" s="1"/>
  <c r="F135" i="70"/>
  <c r="E125" i="70"/>
  <c r="E69" i="117"/>
  <c r="H69" i="117" s="1"/>
  <c r="H71" i="70"/>
  <c r="H78" i="117"/>
  <c r="F82" i="117"/>
  <c r="F136" i="117" s="1"/>
  <c r="F138" i="70"/>
  <c r="E41" i="55" l="1"/>
  <c r="E20" i="55"/>
  <c r="F13" i="55"/>
  <c r="I77" i="70"/>
  <c r="I71" i="70"/>
  <c r="I78" i="70"/>
  <c r="I81" i="70"/>
  <c r="I83" i="70"/>
  <c r="I84" i="70"/>
  <c r="I79" i="70"/>
  <c r="I86" i="70"/>
  <c r="I82" i="70"/>
  <c r="F88" i="70"/>
  <c r="H125" i="70"/>
  <c r="F85" i="117"/>
  <c r="F86" i="117" s="1"/>
  <c r="H135" i="70"/>
  <c r="H133" i="70"/>
  <c r="H87" i="70"/>
  <c r="F27" i="61"/>
  <c r="D24" i="69"/>
  <c r="H42" i="117"/>
  <c r="I42" i="117" s="1"/>
  <c r="M42" i="117" s="1"/>
  <c r="N42" i="117" s="1"/>
  <c r="R42" i="117" s="1"/>
  <c r="S42" i="117" s="1"/>
  <c r="W42" i="117" s="1"/>
  <c r="F16" i="54"/>
  <c r="F15" i="54"/>
  <c r="H31" i="117"/>
  <c r="H32" i="117" s="1"/>
  <c r="H44" i="70"/>
  <c r="I44" i="70" s="1"/>
  <c r="M44" i="70" s="1"/>
  <c r="N44" i="70" s="1"/>
  <c r="R44" i="70" s="1"/>
  <c r="S44" i="70" s="1"/>
  <c r="W44" i="70" s="1"/>
  <c r="I24" i="117"/>
  <c r="M26" i="70"/>
  <c r="D52" i="70" s="1"/>
  <c r="H138" i="70"/>
  <c r="E130" i="117"/>
  <c r="H130" i="117" s="1"/>
  <c r="H76" i="117"/>
  <c r="F141" i="70"/>
  <c r="E123" i="117"/>
  <c r="H123" i="117" s="1"/>
  <c r="E136" i="117"/>
  <c r="H136" i="117" s="1"/>
  <c r="H82" i="117"/>
  <c r="D139" i="117"/>
  <c r="H122" i="117"/>
  <c r="E85" i="117"/>
  <c r="E86" i="117" s="1"/>
  <c r="M29" i="70"/>
  <c r="D55" i="70" s="1"/>
  <c r="I27" i="117"/>
  <c r="E135" i="117"/>
  <c r="H135" i="117" s="1"/>
  <c r="H81" i="117"/>
  <c r="E131" i="117"/>
  <c r="H131" i="117" s="1"/>
  <c r="H77" i="117"/>
  <c r="E138" i="117"/>
  <c r="H138" i="117" s="1"/>
  <c r="H84" i="117"/>
  <c r="E134" i="117"/>
  <c r="H134" i="117" s="1"/>
  <c r="H80" i="117"/>
  <c r="F139" i="117"/>
  <c r="E129" i="117"/>
  <c r="H129" i="117" s="1"/>
  <c r="H75" i="117"/>
  <c r="E133" i="117"/>
  <c r="H133" i="117" s="1"/>
  <c r="H79" i="117"/>
  <c r="E141" i="70"/>
  <c r="I25" i="117"/>
  <c r="M27" i="70"/>
  <c r="D53" i="70" s="1"/>
  <c r="G16" i="58" l="1"/>
  <c r="H141" i="70"/>
  <c r="K74" i="70"/>
  <c r="J75" i="70"/>
  <c r="I73" i="117"/>
  <c r="K75" i="70"/>
  <c r="H52" i="70"/>
  <c r="I52" i="70" s="1"/>
  <c r="M52" i="70" s="1"/>
  <c r="N52" i="70" s="1"/>
  <c r="R52" i="70" s="1"/>
  <c r="S52" i="70" s="1"/>
  <c r="W52" i="70" s="1"/>
  <c r="M22" i="70"/>
  <c r="D48" i="70" s="1"/>
  <c r="I20" i="117"/>
  <c r="H53" i="70"/>
  <c r="I53" i="70" s="1"/>
  <c r="M53" i="70" s="1"/>
  <c r="N53" i="70" s="1"/>
  <c r="R53" i="70" s="1"/>
  <c r="S53" i="70" s="1"/>
  <c r="W53" i="70" s="1"/>
  <c r="E139" i="117"/>
  <c r="M24" i="117"/>
  <c r="D50" i="117" s="1"/>
  <c r="M23" i="70"/>
  <c r="D49" i="70" s="1"/>
  <c r="I21" i="117"/>
  <c r="M21" i="117" s="1"/>
  <c r="D47" i="117" s="1"/>
  <c r="M27" i="117"/>
  <c r="D53" i="117" s="1"/>
  <c r="M20" i="70"/>
  <c r="D46" i="70" s="1"/>
  <c r="I18" i="117"/>
  <c r="I125" i="70"/>
  <c r="I17" i="117"/>
  <c r="M19" i="70"/>
  <c r="D45" i="70" s="1"/>
  <c r="M25" i="117"/>
  <c r="D51" i="117" s="1"/>
  <c r="H55" i="70"/>
  <c r="I55" i="70" s="1"/>
  <c r="M55" i="70" s="1"/>
  <c r="N55" i="70" s="1"/>
  <c r="R55" i="70" s="1"/>
  <c r="S55" i="70" s="1"/>
  <c r="W55" i="70" s="1"/>
  <c r="I126" i="70"/>
  <c r="K72" i="70"/>
  <c r="I70" i="117"/>
  <c r="J72" i="70"/>
  <c r="I19" i="117"/>
  <c r="M21" i="70"/>
  <c r="D47" i="70" s="1"/>
  <c r="I129" i="70"/>
  <c r="M31" i="70"/>
  <c r="D57" i="70" s="1"/>
  <c r="I29" i="117"/>
  <c r="I139" i="70"/>
  <c r="I30" i="117"/>
  <c r="M32" i="70"/>
  <c r="D58" i="70" s="1"/>
  <c r="M25" i="70"/>
  <c r="D51" i="70" s="1"/>
  <c r="I23" i="117"/>
  <c r="M28" i="70"/>
  <c r="D54" i="70" s="1"/>
  <c r="I26" i="117"/>
  <c r="M17" i="70"/>
  <c r="D43" i="70" s="1"/>
  <c r="I15" i="117"/>
  <c r="I22" i="117"/>
  <c r="M24" i="70"/>
  <c r="D50" i="70" s="1"/>
  <c r="H139" i="117"/>
  <c r="H85" i="117"/>
  <c r="H86" i="117" s="1"/>
  <c r="I28" i="117"/>
  <c r="M30" i="70"/>
  <c r="D56" i="70" s="1"/>
  <c r="F16" i="58" l="1"/>
  <c r="M72" i="70"/>
  <c r="D99" i="70" s="1"/>
  <c r="F99" i="70" s="1"/>
  <c r="I133" i="70"/>
  <c r="M75" i="70"/>
  <c r="D102" i="70" s="1"/>
  <c r="F102" i="70" s="1"/>
  <c r="I128" i="70"/>
  <c r="I72" i="117"/>
  <c r="I126" i="117" s="1"/>
  <c r="J74" i="70"/>
  <c r="M74" i="70" s="1"/>
  <c r="D101" i="70" s="1"/>
  <c r="E101" i="70" s="1"/>
  <c r="H58" i="70"/>
  <c r="I58" i="70" s="1"/>
  <c r="M58" i="70" s="1"/>
  <c r="N58" i="70" s="1"/>
  <c r="R58" i="70" s="1"/>
  <c r="S58" i="70" s="1"/>
  <c r="W58" i="70" s="1"/>
  <c r="M28" i="117"/>
  <c r="D54" i="117" s="1"/>
  <c r="H50" i="70"/>
  <c r="I50" i="70" s="1"/>
  <c r="M50" i="70" s="1"/>
  <c r="N50" i="70" s="1"/>
  <c r="R50" i="70" s="1"/>
  <c r="S50" i="70" s="1"/>
  <c r="W50" i="70" s="1"/>
  <c r="J76" i="70"/>
  <c r="K76" i="70"/>
  <c r="I74" i="117"/>
  <c r="I128" i="117" s="1"/>
  <c r="M30" i="117"/>
  <c r="D56" i="117" s="1"/>
  <c r="H51" i="117"/>
  <c r="I51" i="117" s="1"/>
  <c r="M51" i="117" s="1"/>
  <c r="N51" i="117" s="1"/>
  <c r="R51" i="117" s="1"/>
  <c r="S51" i="117" s="1"/>
  <c r="W51" i="117" s="1"/>
  <c r="H53" i="117"/>
  <c r="I53" i="117" s="1"/>
  <c r="M53" i="117" s="1"/>
  <c r="N53" i="117" s="1"/>
  <c r="R53" i="117" s="1"/>
  <c r="S53" i="117" s="1"/>
  <c r="W53" i="117" s="1"/>
  <c r="K73" i="117"/>
  <c r="K127" i="117" s="1"/>
  <c r="K129" i="70"/>
  <c r="M22" i="117"/>
  <c r="D48" i="117" s="1"/>
  <c r="M26" i="117"/>
  <c r="D52" i="117" s="1"/>
  <c r="M29" i="117"/>
  <c r="D55" i="117" s="1"/>
  <c r="H55" i="117" s="1"/>
  <c r="I55" i="117" s="1"/>
  <c r="M55" i="117" s="1"/>
  <c r="N55" i="117" s="1"/>
  <c r="R55" i="117" s="1"/>
  <c r="S55" i="117" s="1"/>
  <c r="W55" i="117" s="1"/>
  <c r="I127" i="117"/>
  <c r="H45" i="70"/>
  <c r="I45" i="70" s="1"/>
  <c r="M45" i="70" s="1"/>
  <c r="N45" i="70" s="1"/>
  <c r="R45" i="70" s="1"/>
  <c r="S45" i="70" s="1"/>
  <c r="W45" i="70" s="1"/>
  <c r="I69" i="117"/>
  <c r="I123" i="117" s="1"/>
  <c r="J71" i="70"/>
  <c r="K71" i="70"/>
  <c r="H46" i="70"/>
  <c r="I46" i="70" s="1"/>
  <c r="M46" i="70" s="1"/>
  <c r="N46" i="70" s="1"/>
  <c r="R46" i="70" s="1"/>
  <c r="S46" i="70" s="1"/>
  <c r="W46" i="70" s="1"/>
  <c r="K85" i="70"/>
  <c r="I83" i="117"/>
  <c r="I137" i="117" s="1"/>
  <c r="J85" i="70"/>
  <c r="I130" i="70"/>
  <c r="J129" i="70"/>
  <c r="H47" i="70"/>
  <c r="I47" i="70" s="1"/>
  <c r="M47" i="70" s="1"/>
  <c r="N47" i="70" s="1"/>
  <c r="R47" i="70" s="1"/>
  <c r="S47" i="70" s="1"/>
  <c r="W47" i="70" s="1"/>
  <c r="H54" i="70"/>
  <c r="I54" i="70" s="1"/>
  <c r="M54" i="70" s="1"/>
  <c r="N54" i="70" s="1"/>
  <c r="R54" i="70" s="1"/>
  <c r="S54" i="70" s="1"/>
  <c r="W54" i="70" s="1"/>
  <c r="H57" i="70"/>
  <c r="I57" i="70" s="1"/>
  <c r="M57" i="70" s="1"/>
  <c r="N57" i="70" s="1"/>
  <c r="R57" i="70" s="1"/>
  <c r="S57" i="70" s="1"/>
  <c r="W57" i="70" s="1"/>
  <c r="M17" i="117"/>
  <c r="D43" i="117" s="1"/>
  <c r="H43" i="117" s="1"/>
  <c r="I43" i="117" s="1"/>
  <c r="M43" i="117" s="1"/>
  <c r="N43" i="117" s="1"/>
  <c r="R43" i="117" s="1"/>
  <c r="S43" i="117" s="1"/>
  <c r="W43" i="117" s="1"/>
  <c r="H47" i="117"/>
  <c r="I47" i="117" s="1"/>
  <c r="M47" i="117" s="1"/>
  <c r="N47" i="117" s="1"/>
  <c r="R47" i="117" s="1"/>
  <c r="S47" i="117" s="1"/>
  <c r="W47" i="117" s="1"/>
  <c r="M20" i="117"/>
  <c r="D46" i="117" s="1"/>
  <c r="J79" i="70"/>
  <c r="K79" i="70"/>
  <c r="I77" i="117"/>
  <c r="I131" i="117" s="1"/>
  <c r="M23" i="117"/>
  <c r="D49" i="117" s="1"/>
  <c r="H49" i="70"/>
  <c r="I49" i="70" s="1"/>
  <c r="M49" i="70" s="1"/>
  <c r="N49" i="70" s="1"/>
  <c r="R49" i="70" s="1"/>
  <c r="S49" i="70" s="1"/>
  <c r="W49" i="70" s="1"/>
  <c r="H48" i="70"/>
  <c r="I48" i="70" s="1"/>
  <c r="M48" i="70" s="1"/>
  <c r="N48" i="70" s="1"/>
  <c r="R48" i="70" s="1"/>
  <c r="S48" i="70" s="1"/>
  <c r="W48" i="70" s="1"/>
  <c r="M18" i="117"/>
  <c r="D44" i="117" s="1"/>
  <c r="H51" i="70"/>
  <c r="I51" i="70" s="1"/>
  <c r="M51" i="70" s="1"/>
  <c r="N51" i="70" s="1"/>
  <c r="R51" i="70" s="1"/>
  <c r="S51" i="70" s="1"/>
  <c r="W51" i="70" s="1"/>
  <c r="J126" i="70"/>
  <c r="J70" i="117"/>
  <c r="J124" i="117" s="1"/>
  <c r="H50" i="117"/>
  <c r="I50" i="117" s="1"/>
  <c r="M50" i="117" s="1"/>
  <c r="N50" i="117" s="1"/>
  <c r="R50" i="117" s="1"/>
  <c r="S50" i="117" s="1"/>
  <c r="W50" i="117" s="1"/>
  <c r="H56" i="70"/>
  <c r="I56" i="70" s="1"/>
  <c r="M56" i="70" s="1"/>
  <c r="N56" i="70" s="1"/>
  <c r="R56" i="70" s="1"/>
  <c r="S56" i="70" s="1"/>
  <c r="W56" i="70" s="1"/>
  <c r="H43" i="70"/>
  <c r="I43" i="70" s="1"/>
  <c r="M43" i="70" s="1"/>
  <c r="N43" i="70" s="1"/>
  <c r="R43" i="70" s="1"/>
  <c r="S43" i="70" s="1"/>
  <c r="W43" i="70" s="1"/>
  <c r="K70" i="117"/>
  <c r="K124" i="117" s="1"/>
  <c r="K126" i="70"/>
  <c r="M15" i="117"/>
  <c r="D41" i="117" s="1"/>
  <c r="I124" i="117"/>
  <c r="K128" i="70"/>
  <c r="K72" i="117"/>
  <c r="K126" i="117" s="1"/>
  <c r="E14" i="78" l="1"/>
  <c r="E99" i="70"/>
  <c r="H99" i="70" s="1"/>
  <c r="I99" i="70" s="1"/>
  <c r="K99" i="70" s="1"/>
  <c r="K97" i="117" s="1"/>
  <c r="H16" i="58"/>
  <c r="M85" i="70"/>
  <c r="D112" i="70" s="1"/>
  <c r="D165" i="70" s="1"/>
  <c r="D152" i="70"/>
  <c r="J128" i="70"/>
  <c r="M128" i="70" s="1"/>
  <c r="J72" i="117"/>
  <c r="J126" i="117" s="1"/>
  <c r="M126" i="117" s="1"/>
  <c r="D155" i="70"/>
  <c r="D154" i="70"/>
  <c r="E102" i="70"/>
  <c r="F101" i="70"/>
  <c r="F99" i="117" s="1"/>
  <c r="F152" i="117" s="1"/>
  <c r="I131" i="70"/>
  <c r="M76" i="70"/>
  <c r="D103" i="70" s="1"/>
  <c r="F103" i="70" s="1"/>
  <c r="K82" i="70"/>
  <c r="J82" i="70"/>
  <c r="I80" i="117"/>
  <c r="I136" i="70"/>
  <c r="E99" i="117"/>
  <c r="E152" i="117" s="1"/>
  <c r="E154" i="70"/>
  <c r="K77" i="117"/>
  <c r="K131" i="117" s="1"/>
  <c r="K133" i="70"/>
  <c r="J139" i="70"/>
  <c r="J83" i="117"/>
  <c r="J137" i="117" s="1"/>
  <c r="M71" i="70"/>
  <c r="D98" i="70" s="1"/>
  <c r="J69" i="117"/>
  <c r="J123" i="117" s="1"/>
  <c r="J125" i="70"/>
  <c r="I76" i="117"/>
  <c r="K78" i="70"/>
  <c r="J78" i="70"/>
  <c r="I132" i="70"/>
  <c r="M70" i="117"/>
  <c r="D97" i="117" s="1"/>
  <c r="J133" i="70"/>
  <c r="J77" i="117"/>
  <c r="J131" i="117" s="1"/>
  <c r="H52" i="117"/>
  <c r="I52" i="117" s="1"/>
  <c r="M52" i="117" s="1"/>
  <c r="N52" i="117" s="1"/>
  <c r="R52" i="117" s="1"/>
  <c r="S52" i="117" s="1"/>
  <c r="W52" i="117" s="1"/>
  <c r="K81" i="70"/>
  <c r="I79" i="117"/>
  <c r="J81" i="70"/>
  <c r="I135" i="70"/>
  <c r="H56" i="117"/>
  <c r="I56" i="117" s="1"/>
  <c r="M56" i="117" s="1"/>
  <c r="N56" i="117" s="1"/>
  <c r="R56" i="117" s="1"/>
  <c r="S56" i="117" s="1"/>
  <c r="W56" i="117" s="1"/>
  <c r="H41" i="117"/>
  <c r="I41" i="117" s="1"/>
  <c r="M41" i="117" s="1"/>
  <c r="N41" i="117" s="1"/>
  <c r="R41" i="117" s="1"/>
  <c r="S41" i="117" s="1"/>
  <c r="W41" i="117" s="1"/>
  <c r="H49" i="117"/>
  <c r="I49" i="117" s="1"/>
  <c r="M49" i="117" s="1"/>
  <c r="N49" i="117" s="1"/>
  <c r="R49" i="117" s="1"/>
  <c r="S49" i="117" s="1"/>
  <c r="W49" i="117" s="1"/>
  <c r="K83" i="117"/>
  <c r="K137" i="117" s="1"/>
  <c r="K139" i="70"/>
  <c r="M129" i="70"/>
  <c r="J130" i="70"/>
  <c r="J74" i="117"/>
  <c r="J128" i="117" s="1"/>
  <c r="K73" i="70"/>
  <c r="J73" i="70"/>
  <c r="I71" i="117"/>
  <c r="I127" i="70"/>
  <c r="K125" i="70"/>
  <c r="K69" i="117"/>
  <c r="K123" i="117" s="1"/>
  <c r="I81" i="117"/>
  <c r="K83" i="70"/>
  <c r="J83" i="70"/>
  <c r="I137" i="70"/>
  <c r="H44" i="117"/>
  <c r="I44" i="117" s="1"/>
  <c r="M44" i="117" s="1"/>
  <c r="N44" i="117" s="1"/>
  <c r="R44" i="117" s="1"/>
  <c r="S44" i="117" s="1"/>
  <c r="W44" i="117" s="1"/>
  <c r="H54" i="117"/>
  <c r="I54" i="117" s="1"/>
  <c r="M54" i="117" s="1"/>
  <c r="N54" i="117" s="1"/>
  <c r="R54" i="117" s="1"/>
  <c r="S54" i="117" s="1"/>
  <c r="W54" i="117" s="1"/>
  <c r="F155" i="70"/>
  <c r="F152" i="70"/>
  <c r="F97" i="117"/>
  <c r="F150" i="117" s="1"/>
  <c r="M79" i="70"/>
  <c r="D106" i="70" s="1"/>
  <c r="J80" i="70"/>
  <c r="I78" i="117"/>
  <c r="K80" i="70"/>
  <c r="I134" i="70"/>
  <c r="M124" i="117"/>
  <c r="M126" i="70"/>
  <c r="H46" i="117"/>
  <c r="I46" i="117" s="1"/>
  <c r="M46" i="117" s="1"/>
  <c r="N46" i="117" s="1"/>
  <c r="R46" i="117" s="1"/>
  <c r="S46" i="117" s="1"/>
  <c r="W46" i="117" s="1"/>
  <c r="H48" i="117"/>
  <c r="I48" i="117" s="1"/>
  <c r="M48" i="117" s="1"/>
  <c r="N48" i="117" s="1"/>
  <c r="R48" i="117" s="1"/>
  <c r="S48" i="117" s="1"/>
  <c r="W48" i="117" s="1"/>
  <c r="K74" i="117"/>
  <c r="K128" i="117" s="1"/>
  <c r="K130" i="70"/>
  <c r="E152" i="70" l="1"/>
  <c r="H152" i="70" s="1"/>
  <c r="I152" i="70" s="1"/>
  <c r="M152" i="70" s="1"/>
  <c r="N152" i="70" s="1"/>
  <c r="R152" i="70" s="1"/>
  <c r="S152" i="70" s="1"/>
  <c r="W152" i="70" s="1"/>
  <c r="E97" i="117"/>
  <c r="E150" i="117" s="1"/>
  <c r="F112" i="70"/>
  <c r="F165" i="70" s="1"/>
  <c r="E112" i="70"/>
  <c r="E110" i="117" s="1"/>
  <c r="E163" i="117" s="1"/>
  <c r="M72" i="117"/>
  <c r="D99" i="117" s="1"/>
  <c r="H99" i="117" s="1"/>
  <c r="I99" i="117" s="1"/>
  <c r="M78" i="70"/>
  <c r="D105" i="70" s="1"/>
  <c r="E105" i="70" s="1"/>
  <c r="E155" i="70"/>
  <c r="H155" i="70" s="1"/>
  <c r="I155" i="70" s="1"/>
  <c r="M155" i="70" s="1"/>
  <c r="N155" i="70" s="1"/>
  <c r="R155" i="70" s="1"/>
  <c r="S155" i="70" s="1"/>
  <c r="W155" i="70" s="1"/>
  <c r="M125" i="70"/>
  <c r="H102" i="70"/>
  <c r="I102" i="70" s="1"/>
  <c r="J102" i="70" s="1"/>
  <c r="M83" i="117"/>
  <c r="D110" i="117" s="1"/>
  <c r="D163" i="117" s="1"/>
  <c r="M83" i="70"/>
  <c r="D110" i="70" s="1"/>
  <c r="E110" i="70" s="1"/>
  <c r="M128" i="117"/>
  <c r="F154" i="70"/>
  <c r="H154" i="70" s="1"/>
  <c r="I154" i="70" s="1"/>
  <c r="M154" i="70" s="1"/>
  <c r="N154" i="70" s="1"/>
  <c r="R154" i="70" s="1"/>
  <c r="S154" i="70" s="1"/>
  <c r="W154" i="70" s="1"/>
  <c r="H101" i="70"/>
  <c r="I101" i="70" s="1"/>
  <c r="K101" i="70" s="1"/>
  <c r="K99" i="117" s="1"/>
  <c r="J77" i="70"/>
  <c r="J75" i="117" s="1"/>
  <c r="J129" i="117" s="1"/>
  <c r="M80" i="70"/>
  <c r="D107" i="70" s="1"/>
  <c r="F107" i="70" s="1"/>
  <c r="M131" i="117"/>
  <c r="M133" i="70"/>
  <c r="K77" i="70"/>
  <c r="K131" i="70" s="1"/>
  <c r="I75" i="117"/>
  <c r="I129" i="117" s="1"/>
  <c r="D156" i="70"/>
  <c r="E103" i="70"/>
  <c r="E101" i="117" s="1"/>
  <c r="E154" i="117" s="1"/>
  <c r="J99" i="70"/>
  <c r="J97" i="117" s="1"/>
  <c r="M137" i="117"/>
  <c r="M81" i="70"/>
  <c r="D108" i="70" s="1"/>
  <c r="E108" i="70" s="1"/>
  <c r="M130" i="70"/>
  <c r="M69" i="117"/>
  <c r="D96" i="117" s="1"/>
  <c r="D149" i="117" s="1"/>
  <c r="M123" i="117"/>
  <c r="I134" i="117"/>
  <c r="I135" i="117"/>
  <c r="M73" i="70"/>
  <c r="D100" i="70" s="1"/>
  <c r="J127" i="70"/>
  <c r="J71" i="117"/>
  <c r="J125" i="117" s="1"/>
  <c r="K132" i="70"/>
  <c r="K76" i="117"/>
  <c r="K130" i="117" s="1"/>
  <c r="F98" i="70"/>
  <c r="E98" i="70"/>
  <c r="D151" i="70"/>
  <c r="K70" i="70"/>
  <c r="I68" i="117"/>
  <c r="I87" i="70"/>
  <c r="M82" i="70"/>
  <c r="D109" i="70" s="1"/>
  <c r="J136" i="70"/>
  <c r="J80" i="117"/>
  <c r="J134" i="117" s="1"/>
  <c r="K71" i="117"/>
  <c r="K125" i="117" s="1"/>
  <c r="K127" i="70"/>
  <c r="I130" i="117"/>
  <c r="K80" i="117"/>
  <c r="K134" i="117" s="1"/>
  <c r="K136" i="70"/>
  <c r="J76" i="117"/>
  <c r="J130" i="117" s="1"/>
  <c r="J132" i="70"/>
  <c r="J79" i="117"/>
  <c r="J133" i="117" s="1"/>
  <c r="J135" i="70"/>
  <c r="M139" i="70"/>
  <c r="I125" i="117"/>
  <c r="I132" i="117"/>
  <c r="I133" i="117"/>
  <c r="E106" i="70"/>
  <c r="F106" i="70"/>
  <c r="D159" i="70"/>
  <c r="I14" i="117"/>
  <c r="I33" i="70"/>
  <c r="M16" i="70"/>
  <c r="J78" i="117"/>
  <c r="J132" i="117" s="1"/>
  <c r="J134" i="70"/>
  <c r="M74" i="117"/>
  <c r="D101" i="117" s="1"/>
  <c r="K79" i="117"/>
  <c r="K133" i="117" s="1"/>
  <c r="K135" i="70"/>
  <c r="D150" i="117"/>
  <c r="J86" i="70"/>
  <c r="I84" i="117"/>
  <c r="K86" i="70"/>
  <c r="I140" i="70"/>
  <c r="I82" i="117"/>
  <c r="K84" i="70"/>
  <c r="J84" i="70"/>
  <c r="I138" i="70"/>
  <c r="K78" i="117"/>
  <c r="K132" i="117" s="1"/>
  <c r="K134" i="70"/>
  <c r="J81" i="117"/>
  <c r="J135" i="117" s="1"/>
  <c r="J137" i="70"/>
  <c r="K137" i="70"/>
  <c r="K81" i="117"/>
  <c r="K135" i="117" s="1"/>
  <c r="M77" i="117"/>
  <c r="D104" i="117" s="1"/>
  <c r="F156" i="70"/>
  <c r="F101" i="117"/>
  <c r="F154" i="117" s="1"/>
  <c r="H150" i="117" l="1"/>
  <c r="I150" i="117" s="1"/>
  <c r="M150" i="117" s="1"/>
  <c r="N150" i="117" s="1"/>
  <c r="R150" i="117" s="1"/>
  <c r="S150" i="117" s="1"/>
  <c r="W150" i="117" s="1"/>
  <c r="H97" i="117"/>
  <c r="I97" i="117" s="1"/>
  <c r="M97" i="117" s="1"/>
  <c r="N97" i="117" s="1"/>
  <c r="E165" i="70"/>
  <c r="H165" i="70" s="1"/>
  <c r="I165" i="70" s="1"/>
  <c r="M165" i="70" s="1"/>
  <c r="N165" i="70" s="1"/>
  <c r="R165" i="70" s="1"/>
  <c r="S165" i="70" s="1"/>
  <c r="W165" i="70" s="1"/>
  <c r="F110" i="117"/>
  <c r="F163" i="117" s="1"/>
  <c r="H163" i="117" s="1"/>
  <c r="I163" i="117" s="1"/>
  <c r="M163" i="117" s="1"/>
  <c r="N163" i="117" s="1"/>
  <c r="R163" i="117" s="1"/>
  <c r="S163" i="117" s="1"/>
  <c r="W163" i="117" s="1"/>
  <c r="D158" i="70"/>
  <c r="F105" i="70"/>
  <c r="F103" i="117" s="1"/>
  <c r="F156" i="117" s="1"/>
  <c r="H112" i="70"/>
  <c r="I112" i="70" s="1"/>
  <c r="K112" i="70" s="1"/>
  <c r="K110" i="117" s="1"/>
  <c r="D152" i="117"/>
  <c r="H152" i="117" s="1"/>
  <c r="I152" i="117" s="1"/>
  <c r="M152" i="117" s="1"/>
  <c r="N152" i="117" s="1"/>
  <c r="R152" i="117" s="1"/>
  <c r="S152" i="117" s="1"/>
  <c r="W152" i="117" s="1"/>
  <c r="K102" i="70"/>
  <c r="D163" i="70"/>
  <c r="H98" i="70"/>
  <c r="I98" i="70" s="1"/>
  <c r="K98" i="70" s="1"/>
  <c r="K96" i="117" s="1"/>
  <c r="J101" i="70"/>
  <c r="J99" i="117" s="1"/>
  <c r="M99" i="117" s="1"/>
  <c r="N99" i="117" s="1"/>
  <c r="E156" i="70"/>
  <c r="H156" i="70" s="1"/>
  <c r="I156" i="70" s="1"/>
  <c r="M156" i="70" s="1"/>
  <c r="N156" i="70" s="1"/>
  <c r="R156" i="70" s="1"/>
  <c r="S156" i="70" s="1"/>
  <c r="W156" i="70" s="1"/>
  <c r="F110" i="70"/>
  <c r="F163" i="70" s="1"/>
  <c r="D160" i="70"/>
  <c r="E107" i="70"/>
  <c r="H107" i="70" s="1"/>
  <c r="I107" i="70" s="1"/>
  <c r="K107" i="70" s="1"/>
  <c r="K105" i="117" s="1"/>
  <c r="M127" i="70"/>
  <c r="J131" i="70"/>
  <c r="M131" i="70" s="1"/>
  <c r="I122" i="117"/>
  <c r="K75" i="117"/>
  <c r="K129" i="117" s="1"/>
  <c r="M129" i="117" s="1"/>
  <c r="M77" i="70"/>
  <c r="D104" i="70" s="1"/>
  <c r="E104" i="70" s="1"/>
  <c r="H103" i="70"/>
  <c r="I103" i="70" s="1"/>
  <c r="K103" i="70" s="1"/>
  <c r="K101" i="117" s="1"/>
  <c r="M132" i="70"/>
  <c r="M99" i="70"/>
  <c r="N99" i="70" s="1"/>
  <c r="M136" i="70"/>
  <c r="D161" i="70"/>
  <c r="F108" i="70"/>
  <c r="H108" i="70" s="1"/>
  <c r="I108" i="70" s="1"/>
  <c r="M86" i="70"/>
  <c r="D113" i="70" s="1"/>
  <c r="E113" i="70" s="1"/>
  <c r="M81" i="117"/>
  <c r="D108" i="117" s="1"/>
  <c r="D161" i="117" s="1"/>
  <c r="M135" i="70"/>
  <c r="M132" i="117"/>
  <c r="H106" i="70"/>
  <c r="I106" i="70" s="1"/>
  <c r="J106" i="70" s="1"/>
  <c r="J104" i="117" s="1"/>
  <c r="M125" i="117"/>
  <c r="F104" i="117"/>
  <c r="F157" i="117" s="1"/>
  <c r="F159" i="70"/>
  <c r="K124" i="70"/>
  <c r="K87" i="70"/>
  <c r="K68" i="117"/>
  <c r="M134" i="117"/>
  <c r="E159" i="70"/>
  <c r="E104" i="117"/>
  <c r="E157" i="117" s="1"/>
  <c r="M80" i="117"/>
  <c r="D107" i="117" s="1"/>
  <c r="D157" i="117"/>
  <c r="I141" i="70"/>
  <c r="M130" i="117"/>
  <c r="M76" i="117"/>
  <c r="D103" i="117" s="1"/>
  <c r="F100" i="70"/>
  <c r="E100" i="70"/>
  <c r="D153" i="70"/>
  <c r="M84" i="70"/>
  <c r="D111" i="70" s="1"/>
  <c r="J82" i="117"/>
  <c r="J136" i="117" s="1"/>
  <c r="J138" i="70"/>
  <c r="F109" i="70"/>
  <c r="E109" i="70"/>
  <c r="D162" i="70"/>
  <c r="E96" i="117"/>
  <c r="E151" i="70"/>
  <c r="E108" i="117"/>
  <c r="E161" i="117" s="1"/>
  <c r="E163" i="70"/>
  <c r="H101" i="117"/>
  <c r="I101" i="117" s="1"/>
  <c r="D154" i="117"/>
  <c r="H154" i="117" s="1"/>
  <c r="I154" i="117" s="1"/>
  <c r="M154" i="117" s="1"/>
  <c r="N154" i="117" s="1"/>
  <c r="R154" i="117" s="1"/>
  <c r="S154" i="117" s="1"/>
  <c r="W154" i="117" s="1"/>
  <c r="J68" i="117"/>
  <c r="J124" i="70"/>
  <c r="J87" i="70"/>
  <c r="K82" i="117"/>
  <c r="K136" i="117" s="1"/>
  <c r="K138" i="70"/>
  <c r="M78" i="117"/>
  <c r="D105" i="117" s="1"/>
  <c r="M70" i="70"/>
  <c r="F151" i="70"/>
  <c r="F96" i="117"/>
  <c r="F149" i="117" s="1"/>
  <c r="D42" i="70"/>
  <c r="M33" i="70"/>
  <c r="M137" i="70"/>
  <c r="F105" i="117"/>
  <c r="F158" i="117" s="1"/>
  <c r="F160" i="70"/>
  <c r="E161" i="70"/>
  <c r="E106" i="117"/>
  <c r="E159" i="117" s="1"/>
  <c r="K140" i="70"/>
  <c r="K84" i="117"/>
  <c r="K138" i="117" s="1"/>
  <c r="I138" i="117"/>
  <c r="J140" i="70"/>
  <c r="J84" i="117"/>
  <c r="J138" i="117" s="1"/>
  <c r="I136" i="117"/>
  <c r="M14" i="117"/>
  <c r="I31" i="117"/>
  <c r="E23" i="69" s="1"/>
  <c r="M134" i="70"/>
  <c r="M133" i="117"/>
  <c r="M79" i="117"/>
  <c r="D106" i="117" s="1"/>
  <c r="M71" i="117"/>
  <c r="D98" i="117" s="1"/>
  <c r="I85" i="117"/>
  <c r="I86" i="117" s="1"/>
  <c r="M135" i="117"/>
  <c r="E158" i="70"/>
  <c r="E103" i="117"/>
  <c r="E156" i="117" s="1"/>
  <c r="E24" i="69" l="1"/>
  <c r="E66" i="61"/>
  <c r="F66" i="61"/>
  <c r="F158" i="70"/>
  <c r="H158" i="70" s="1"/>
  <c r="I158" i="70" s="1"/>
  <c r="M158" i="70" s="1"/>
  <c r="N158" i="70" s="1"/>
  <c r="R158" i="70" s="1"/>
  <c r="S158" i="70" s="1"/>
  <c r="W158" i="70" s="1"/>
  <c r="H105" i="70"/>
  <c r="I105" i="70" s="1"/>
  <c r="J105" i="70" s="1"/>
  <c r="J103" i="117" s="1"/>
  <c r="H110" i="117"/>
  <c r="I110" i="117" s="1"/>
  <c r="J112" i="70"/>
  <c r="J110" i="117" s="1"/>
  <c r="I32" i="117"/>
  <c r="M102" i="70"/>
  <c r="N102" i="70" s="1"/>
  <c r="O102" i="70" s="1"/>
  <c r="J98" i="70"/>
  <c r="J96" i="117" s="1"/>
  <c r="H110" i="70"/>
  <c r="I110" i="70" s="1"/>
  <c r="K110" i="70" s="1"/>
  <c r="K108" i="117" s="1"/>
  <c r="F108" i="117"/>
  <c r="F161" i="117" s="1"/>
  <c r="H161" i="117" s="1"/>
  <c r="I161" i="117" s="1"/>
  <c r="M161" i="117" s="1"/>
  <c r="N161" i="117" s="1"/>
  <c r="R161" i="117" s="1"/>
  <c r="S161" i="117" s="1"/>
  <c r="W161" i="117" s="1"/>
  <c r="E160" i="70"/>
  <c r="H160" i="70" s="1"/>
  <c r="I160" i="70" s="1"/>
  <c r="M160" i="70" s="1"/>
  <c r="N160" i="70" s="1"/>
  <c r="R160" i="70" s="1"/>
  <c r="S160" i="70" s="1"/>
  <c r="W160" i="70" s="1"/>
  <c r="E105" i="117"/>
  <c r="E158" i="117" s="1"/>
  <c r="M101" i="70"/>
  <c r="N101" i="70" s="1"/>
  <c r="P101" i="70" s="1"/>
  <c r="P99" i="117" s="1"/>
  <c r="M75" i="117"/>
  <c r="D102" i="117" s="1"/>
  <c r="D155" i="117" s="1"/>
  <c r="F104" i="70"/>
  <c r="H104" i="70" s="1"/>
  <c r="I104" i="70" s="1"/>
  <c r="K104" i="70" s="1"/>
  <c r="K102" i="117" s="1"/>
  <c r="D157" i="70"/>
  <c r="J103" i="70"/>
  <c r="J101" i="117" s="1"/>
  <c r="M101" i="117" s="1"/>
  <c r="N101" i="117" s="1"/>
  <c r="P99" i="70"/>
  <c r="P97" i="117" s="1"/>
  <c r="O99" i="70"/>
  <c r="O97" i="117" s="1"/>
  <c r="J107" i="70"/>
  <c r="J105" i="117" s="1"/>
  <c r="M140" i="70"/>
  <c r="F161" i="70"/>
  <c r="H161" i="70" s="1"/>
  <c r="I161" i="70" s="1"/>
  <c r="M161" i="70" s="1"/>
  <c r="N161" i="70" s="1"/>
  <c r="R161" i="70" s="1"/>
  <c r="S161" i="70" s="1"/>
  <c r="W161" i="70" s="1"/>
  <c r="F106" i="117"/>
  <c r="F159" i="117" s="1"/>
  <c r="D166" i="70"/>
  <c r="F113" i="70"/>
  <c r="F166" i="70" s="1"/>
  <c r="J141" i="70"/>
  <c r="H157" i="117"/>
  <c r="I157" i="117" s="1"/>
  <c r="M157" i="117" s="1"/>
  <c r="N157" i="117" s="1"/>
  <c r="R157" i="117" s="1"/>
  <c r="S157" i="117" s="1"/>
  <c r="W157" i="117" s="1"/>
  <c r="H104" i="117"/>
  <c r="I104" i="117" s="1"/>
  <c r="K141" i="70"/>
  <c r="M138" i="70"/>
  <c r="K106" i="70"/>
  <c r="K104" i="117" s="1"/>
  <c r="H159" i="70"/>
  <c r="I159" i="70" s="1"/>
  <c r="M159" i="70" s="1"/>
  <c r="N159" i="70" s="1"/>
  <c r="R159" i="70" s="1"/>
  <c r="S159" i="70" s="1"/>
  <c r="W159" i="70" s="1"/>
  <c r="H151" i="70"/>
  <c r="I151" i="70" s="1"/>
  <c r="M151" i="70" s="1"/>
  <c r="N151" i="70" s="1"/>
  <c r="R151" i="70" s="1"/>
  <c r="S151" i="70" s="1"/>
  <c r="W151" i="70" s="1"/>
  <c r="E166" i="70"/>
  <c r="E111" i="117"/>
  <c r="E164" i="117" s="1"/>
  <c r="E111" i="70"/>
  <c r="F111" i="70"/>
  <c r="D164" i="70"/>
  <c r="M138" i="117"/>
  <c r="H103" i="117"/>
  <c r="I103" i="117" s="1"/>
  <c r="D156" i="117"/>
  <c r="H156" i="117" s="1"/>
  <c r="I156" i="117" s="1"/>
  <c r="M156" i="117" s="1"/>
  <c r="N156" i="117" s="1"/>
  <c r="R156" i="117" s="1"/>
  <c r="S156" i="117" s="1"/>
  <c r="W156" i="117" s="1"/>
  <c r="D160" i="117"/>
  <c r="E157" i="70"/>
  <c r="E102" i="117"/>
  <c r="D40" i="117"/>
  <c r="D59" i="70"/>
  <c r="H42" i="70"/>
  <c r="E149" i="117"/>
  <c r="H149" i="117" s="1"/>
  <c r="I149" i="117" s="1"/>
  <c r="M149" i="117" s="1"/>
  <c r="N149" i="117" s="1"/>
  <c r="R149" i="117" s="1"/>
  <c r="S149" i="117" s="1"/>
  <c r="W149" i="117" s="1"/>
  <c r="H96" i="117"/>
  <c r="I96" i="117" s="1"/>
  <c r="H100" i="70"/>
  <c r="I100" i="70" s="1"/>
  <c r="E153" i="70"/>
  <c r="E98" i="117"/>
  <c r="E151" i="117" s="1"/>
  <c r="I139" i="117"/>
  <c r="D159" i="117"/>
  <c r="H163" i="70"/>
  <c r="I163" i="70" s="1"/>
  <c r="M163" i="70" s="1"/>
  <c r="N163" i="70" s="1"/>
  <c r="R163" i="70" s="1"/>
  <c r="S163" i="70" s="1"/>
  <c r="W163" i="70" s="1"/>
  <c r="F98" i="117"/>
  <c r="F151" i="117" s="1"/>
  <c r="F153" i="70"/>
  <c r="M124" i="70"/>
  <c r="K85" i="117"/>
  <c r="K86" i="117" s="1"/>
  <c r="K122" i="117"/>
  <c r="K139" i="117" s="1"/>
  <c r="J108" i="70"/>
  <c r="J106" i="117" s="1"/>
  <c r="K108" i="70"/>
  <c r="K106" i="117" s="1"/>
  <c r="F107" i="117"/>
  <c r="F160" i="117" s="1"/>
  <c r="F162" i="70"/>
  <c r="M84" i="117"/>
  <c r="D111" i="117" s="1"/>
  <c r="M68" i="117"/>
  <c r="J122" i="117"/>
  <c r="D158" i="117"/>
  <c r="D151" i="117"/>
  <c r="M136" i="117"/>
  <c r="M82" i="117"/>
  <c r="D109" i="117" s="1"/>
  <c r="D97" i="70"/>
  <c r="E97" i="70" s="1"/>
  <c r="M87" i="70"/>
  <c r="H109" i="70"/>
  <c r="I109" i="70" s="1"/>
  <c r="E107" i="117"/>
  <c r="E160" i="117" s="1"/>
  <c r="E162" i="70"/>
  <c r="K105" i="70" l="1"/>
  <c r="K103" i="117" s="1"/>
  <c r="M103" i="117" s="1"/>
  <c r="N103" i="117" s="1"/>
  <c r="M110" i="117"/>
  <c r="N110" i="117" s="1"/>
  <c r="M112" i="70"/>
  <c r="N112" i="70" s="1"/>
  <c r="O112" i="70" s="1"/>
  <c r="O110" i="117" s="1"/>
  <c r="P102" i="70"/>
  <c r="M98" i="70"/>
  <c r="N98" i="70" s="1"/>
  <c r="O98" i="70" s="1"/>
  <c r="O96" i="117" s="1"/>
  <c r="H105" i="117"/>
  <c r="I105" i="117" s="1"/>
  <c r="M105" i="117" s="1"/>
  <c r="N105" i="117" s="1"/>
  <c r="M96" i="117"/>
  <c r="N96" i="117" s="1"/>
  <c r="O101" i="70"/>
  <c r="O99" i="117" s="1"/>
  <c r="R99" i="117" s="1"/>
  <c r="S99" i="117" s="1"/>
  <c r="H158" i="117"/>
  <c r="I158" i="117" s="1"/>
  <c r="M158" i="117" s="1"/>
  <c r="N158" i="117" s="1"/>
  <c r="R158" i="117" s="1"/>
  <c r="S158" i="117" s="1"/>
  <c r="W158" i="117" s="1"/>
  <c r="H108" i="117"/>
  <c r="I108" i="117" s="1"/>
  <c r="J110" i="70"/>
  <c r="J108" i="117" s="1"/>
  <c r="F102" i="117"/>
  <c r="F155" i="117" s="1"/>
  <c r="F157" i="70"/>
  <c r="H157" i="70" s="1"/>
  <c r="I157" i="70" s="1"/>
  <c r="M157" i="70" s="1"/>
  <c r="N157" i="70" s="1"/>
  <c r="R157" i="70" s="1"/>
  <c r="S157" i="70" s="1"/>
  <c r="W157" i="70" s="1"/>
  <c r="M141" i="70"/>
  <c r="M107" i="70"/>
  <c r="N107" i="70" s="1"/>
  <c r="P107" i="70" s="1"/>
  <c r="P105" i="117" s="1"/>
  <c r="R99" i="70"/>
  <c r="S99" i="70" s="1"/>
  <c r="U99" i="70" s="1"/>
  <c r="U97" i="117" s="1"/>
  <c r="M103" i="70"/>
  <c r="N103" i="70" s="1"/>
  <c r="P103" i="70" s="1"/>
  <c r="P101" i="117" s="1"/>
  <c r="R97" i="117"/>
  <c r="S97" i="117" s="1"/>
  <c r="J104" i="70"/>
  <c r="J102" i="117" s="1"/>
  <c r="M106" i="70"/>
  <c r="N106" i="70" s="1"/>
  <c r="P106" i="70" s="1"/>
  <c r="P104" i="117" s="1"/>
  <c r="F111" i="117"/>
  <c r="F164" i="117" s="1"/>
  <c r="M104" i="117"/>
  <c r="N104" i="117" s="1"/>
  <c r="H159" i="117"/>
  <c r="I159" i="117" s="1"/>
  <c r="M159" i="117" s="1"/>
  <c r="N159" i="117" s="1"/>
  <c r="R159" i="117" s="1"/>
  <c r="S159" i="117" s="1"/>
  <c r="W159" i="117" s="1"/>
  <c r="H106" i="117"/>
  <c r="I106" i="117" s="1"/>
  <c r="M106" i="117" s="1"/>
  <c r="N106" i="117" s="1"/>
  <c r="H98" i="117"/>
  <c r="I98" i="117" s="1"/>
  <c r="H113" i="70"/>
  <c r="I113" i="70" s="1"/>
  <c r="K113" i="70" s="1"/>
  <c r="K111" i="117" s="1"/>
  <c r="H162" i="70"/>
  <c r="I162" i="70" s="1"/>
  <c r="M162" i="70" s="1"/>
  <c r="N162" i="70" s="1"/>
  <c r="R162" i="70" s="1"/>
  <c r="S162" i="70" s="1"/>
  <c r="W162" i="70" s="1"/>
  <c r="H160" i="117"/>
  <c r="I160" i="117" s="1"/>
  <c r="M160" i="117" s="1"/>
  <c r="N160" i="117" s="1"/>
  <c r="R160" i="117" s="1"/>
  <c r="S160" i="117" s="1"/>
  <c r="W160" i="117" s="1"/>
  <c r="H107" i="117"/>
  <c r="I107" i="117" s="1"/>
  <c r="E109" i="117"/>
  <c r="E162" i="117" s="1"/>
  <c r="E164" i="70"/>
  <c r="H40" i="117"/>
  <c r="D162" i="117"/>
  <c r="D164" i="117"/>
  <c r="H151" i="117"/>
  <c r="I151" i="117" s="1"/>
  <c r="M151" i="117" s="1"/>
  <c r="N151" i="117" s="1"/>
  <c r="R151" i="117" s="1"/>
  <c r="S151" i="117" s="1"/>
  <c r="W151" i="117" s="1"/>
  <c r="E155" i="117"/>
  <c r="D114" i="70"/>
  <c r="F97" i="70"/>
  <c r="D95" i="117"/>
  <c r="D148" i="117" s="1"/>
  <c r="M122" i="117"/>
  <c r="J109" i="70"/>
  <c r="J107" i="117" s="1"/>
  <c r="K109" i="70"/>
  <c r="K107" i="117" s="1"/>
  <c r="M108" i="70"/>
  <c r="N108" i="70" s="1"/>
  <c r="H153" i="70"/>
  <c r="I153" i="70" s="1"/>
  <c r="M153" i="70" s="1"/>
  <c r="N153" i="70" s="1"/>
  <c r="R153" i="70" s="1"/>
  <c r="S153" i="70" s="1"/>
  <c r="W153" i="70" s="1"/>
  <c r="D150" i="70"/>
  <c r="H111" i="70"/>
  <c r="I111" i="70" s="1"/>
  <c r="H166" i="70"/>
  <c r="I166" i="70" s="1"/>
  <c r="M166" i="70" s="1"/>
  <c r="N166" i="70" s="1"/>
  <c r="R166" i="70" s="1"/>
  <c r="S166" i="70" s="1"/>
  <c r="W166" i="70" s="1"/>
  <c r="K100" i="70"/>
  <c r="K98" i="117" s="1"/>
  <c r="J100" i="70"/>
  <c r="J98" i="117" s="1"/>
  <c r="I42" i="70"/>
  <c r="H59" i="70"/>
  <c r="F164" i="70"/>
  <c r="F109" i="117"/>
  <c r="F162" i="117" s="1"/>
  <c r="M105" i="70" l="1"/>
  <c r="N105" i="70" s="1"/>
  <c r="O105" i="70" s="1"/>
  <c r="O103" i="117" s="1"/>
  <c r="P112" i="70"/>
  <c r="P110" i="117" s="1"/>
  <c r="R110" i="117" s="1"/>
  <c r="S110" i="117" s="1"/>
  <c r="R102" i="70"/>
  <c r="S102" i="70" s="1"/>
  <c r="U102" i="70" s="1"/>
  <c r="P98" i="70"/>
  <c r="P96" i="117" s="1"/>
  <c r="R96" i="117" s="1"/>
  <c r="S96" i="117" s="1"/>
  <c r="R101" i="70"/>
  <c r="S101" i="70" s="1"/>
  <c r="U101" i="70" s="1"/>
  <c r="U99" i="117" s="1"/>
  <c r="H155" i="117"/>
  <c r="I155" i="117" s="1"/>
  <c r="M155" i="117" s="1"/>
  <c r="N155" i="117" s="1"/>
  <c r="R155" i="117" s="1"/>
  <c r="S155" i="117" s="1"/>
  <c r="W155" i="117" s="1"/>
  <c r="M110" i="70"/>
  <c r="N110" i="70" s="1"/>
  <c r="P110" i="70" s="1"/>
  <c r="P108" i="117" s="1"/>
  <c r="O107" i="70"/>
  <c r="O105" i="117" s="1"/>
  <c r="R105" i="117" s="1"/>
  <c r="S105" i="117" s="1"/>
  <c r="M108" i="117"/>
  <c r="N108" i="117" s="1"/>
  <c r="H102" i="117"/>
  <c r="I102" i="117" s="1"/>
  <c r="M102" i="117" s="1"/>
  <c r="N102" i="117" s="1"/>
  <c r="T99" i="70"/>
  <c r="T97" i="117" s="1"/>
  <c r="W97" i="117" s="1"/>
  <c r="H97" i="70"/>
  <c r="I97" i="70" s="1"/>
  <c r="O103" i="70"/>
  <c r="O106" i="70"/>
  <c r="O104" i="117" s="1"/>
  <c r="R104" i="117" s="1"/>
  <c r="S104" i="117" s="1"/>
  <c r="M104" i="70"/>
  <c r="N104" i="70" s="1"/>
  <c r="O104" i="70" s="1"/>
  <c r="O102" i="117" s="1"/>
  <c r="H164" i="117"/>
  <c r="I164" i="117" s="1"/>
  <c r="M164" i="117" s="1"/>
  <c r="N164" i="117" s="1"/>
  <c r="R164" i="117" s="1"/>
  <c r="S164" i="117" s="1"/>
  <c r="W164" i="117" s="1"/>
  <c r="H111" i="117"/>
  <c r="I111" i="117" s="1"/>
  <c r="J113" i="70"/>
  <c r="J111" i="117" s="1"/>
  <c r="M98" i="117"/>
  <c r="N98" i="117" s="1"/>
  <c r="M107" i="117"/>
  <c r="N107" i="117" s="1"/>
  <c r="H164" i="70"/>
  <c r="I164" i="70" s="1"/>
  <c r="M164" i="70" s="1"/>
  <c r="N164" i="70" s="1"/>
  <c r="R164" i="70" s="1"/>
  <c r="S164" i="70" s="1"/>
  <c r="W164" i="70" s="1"/>
  <c r="M109" i="70"/>
  <c r="N109" i="70" s="1"/>
  <c r="O109" i="70" s="1"/>
  <c r="O107" i="117" s="1"/>
  <c r="M100" i="70"/>
  <c r="N100" i="70" s="1"/>
  <c r="P100" i="70" s="1"/>
  <c r="P98" i="117" s="1"/>
  <c r="M42" i="70"/>
  <c r="I59" i="70"/>
  <c r="D167" i="70"/>
  <c r="H162" i="117"/>
  <c r="I162" i="117" s="1"/>
  <c r="M162" i="117" s="1"/>
  <c r="N162" i="117" s="1"/>
  <c r="R162" i="117" s="1"/>
  <c r="S162" i="117" s="1"/>
  <c r="W162" i="117" s="1"/>
  <c r="O108" i="70"/>
  <c r="O106" i="117" s="1"/>
  <c r="P108" i="70"/>
  <c r="P106" i="117" s="1"/>
  <c r="E114" i="70"/>
  <c r="E150" i="70"/>
  <c r="E167" i="70" s="1"/>
  <c r="E95" i="117"/>
  <c r="H109" i="117"/>
  <c r="I109" i="117" s="1"/>
  <c r="K111" i="70"/>
  <c r="K109" i="117" s="1"/>
  <c r="J111" i="70"/>
  <c r="J109" i="117" s="1"/>
  <c r="F150" i="70"/>
  <c r="F167" i="70" s="1"/>
  <c r="F114" i="70"/>
  <c r="F95" i="117"/>
  <c r="I40" i="117"/>
  <c r="P105" i="70" l="1"/>
  <c r="P103" i="117" s="1"/>
  <c r="R103" i="117" s="1"/>
  <c r="S103" i="117" s="1"/>
  <c r="R112" i="70"/>
  <c r="S112" i="70" s="1"/>
  <c r="T102" i="70"/>
  <c r="T101" i="70"/>
  <c r="T99" i="117" s="1"/>
  <c r="W99" i="117" s="1"/>
  <c r="R98" i="70"/>
  <c r="S98" i="70" s="1"/>
  <c r="T98" i="70" s="1"/>
  <c r="T96" i="117" s="1"/>
  <c r="O110" i="70"/>
  <c r="O108" i="117" s="1"/>
  <c r="R108" i="117" s="1"/>
  <c r="S108" i="117" s="1"/>
  <c r="R107" i="70"/>
  <c r="S107" i="70" s="1"/>
  <c r="U107" i="70" s="1"/>
  <c r="U105" i="117" s="1"/>
  <c r="W99" i="70"/>
  <c r="H114" i="70"/>
  <c r="M111" i="117"/>
  <c r="N111" i="117" s="1"/>
  <c r="R106" i="70"/>
  <c r="S106" i="70" s="1"/>
  <c r="T106" i="70" s="1"/>
  <c r="T104" i="117" s="1"/>
  <c r="O101" i="117"/>
  <c r="R101" i="117" s="1"/>
  <c r="S101" i="117" s="1"/>
  <c r="R103" i="70"/>
  <c r="S103" i="70" s="1"/>
  <c r="P104" i="70"/>
  <c r="P102" i="117" s="1"/>
  <c r="R102" i="117" s="1"/>
  <c r="S102" i="117" s="1"/>
  <c r="M113" i="70"/>
  <c r="N113" i="70" s="1"/>
  <c r="P113" i="70" s="1"/>
  <c r="P111" i="117" s="1"/>
  <c r="P109" i="70"/>
  <c r="P107" i="117" s="1"/>
  <c r="R107" i="117" s="1"/>
  <c r="S107" i="117" s="1"/>
  <c r="O100" i="70"/>
  <c r="O98" i="117" s="1"/>
  <c r="R98" i="117" s="1"/>
  <c r="S98" i="117" s="1"/>
  <c r="M111" i="70"/>
  <c r="N111" i="70" s="1"/>
  <c r="O111" i="70" s="1"/>
  <c r="M109" i="117"/>
  <c r="N109" i="117" s="1"/>
  <c r="R106" i="117"/>
  <c r="S106" i="117" s="1"/>
  <c r="R108" i="70"/>
  <c r="S108" i="70" s="1"/>
  <c r="T108" i="70" s="1"/>
  <c r="T106" i="117" s="1"/>
  <c r="H150" i="70"/>
  <c r="M40" i="117"/>
  <c r="M59" i="70"/>
  <c r="N42" i="70"/>
  <c r="E148" i="117"/>
  <c r="F148" i="117"/>
  <c r="H95" i="117"/>
  <c r="J97" i="70"/>
  <c r="I114" i="70"/>
  <c r="K97" i="70"/>
  <c r="R105" i="70" l="1"/>
  <c r="S105" i="70" s="1"/>
  <c r="T105" i="70" s="1"/>
  <c r="T103" i="117" s="1"/>
  <c r="T112" i="70"/>
  <c r="U112" i="70"/>
  <c r="U110" i="117" s="1"/>
  <c r="T107" i="70"/>
  <c r="T105" i="117" s="1"/>
  <c r="W105" i="117" s="1"/>
  <c r="W102" i="70"/>
  <c r="U98" i="70"/>
  <c r="U96" i="117" s="1"/>
  <c r="W96" i="117" s="1"/>
  <c r="W101" i="70"/>
  <c r="R110" i="70"/>
  <c r="S110" i="70" s="1"/>
  <c r="T110" i="70" s="1"/>
  <c r="T108" i="117" s="1"/>
  <c r="U106" i="70"/>
  <c r="U104" i="117" s="1"/>
  <c r="W104" i="117" s="1"/>
  <c r="R104" i="70"/>
  <c r="S104" i="70" s="1"/>
  <c r="T104" i="70" s="1"/>
  <c r="T102" i="117" s="1"/>
  <c r="O113" i="70"/>
  <c r="O111" i="117" s="1"/>
  <c r="R111" i="117" s="1"/>
  <c r="S111" i="117" s="1"/>
  <c r="U103" i="70"/>
  <c r="U101" i="117" s="1"/>
  <c r="T103" i="70"/>
  <c r="R109" i="70"/>
  <c r="S109" i="70" s="1"/>
  <c r="R100" i="70"/>
  <c r="S100" i="70" s="1"/>
  <c r="U100" i="70" s="1"/>
  <c r="U98" i="117" s="1"/>
  <c r="P111" i="70"/>
  <c r="P109" i="117" s="1"/>
  <c r="O109" i="117"/>
  <c r="U108" i="70"/>
  <c r="U106" i="117" s="1"/>
  <c r="W106" i="117" s="1"/>
  <c r="I95" i="117"/>
  <c r="N59" i="70"/>
  <c r="R42" i="70"/>
  <c r="N40" i="117"/>
  <c r="M97" i="70"/>
  <c r="J95" i="117"/>
  <c r="J114" i="70"/>
  <c r="H167" i="70"/>
  <c r="I150" i="70"/>
  <c r="H148" i="117"/>
  <c r="K114" i="70"/>
  <c r="K95" i="117"/>
  <c r="U105" i="70" l="1"/>
  <c r="U103" i="117" s="1"/>
  <c r="T110" i="117"/>
  <c r="W110" i="117" s="1"/>
  <c r="W112" i="70"/>
  <c r="W107" i="70"/>
  <c r="W98" i="70"/>
  <c r="U110" i="70"/>
  <c r="U108" i="117" s="1"/>
  <c r="W108" i="117" s="1"/>
  <c r="U104" i="70"/>
  <c r="U102" i="117" s="1"/>
  <c r="W102" i="117" s="1"/>
  <c r="R113" i="70"/>
  <c r="S113" i="70" s="1"/>
  <c r="T113" i="70" s="1"/>
  <c r="W106" i="70"/>
  <c r="T101" i="117"/>
  <c r="W101" i="117" s="1"/>
  <c r="W103" i="70"/>
  <c r="R109" i="117"/>
  <c r="S109" i="117" s="1"/>
  <c r="T100" i="70"/>
  <c r="T98" i="117" s="1"/>
  <c r="W98" i="117" s="1"/>
  <c r="R111" i="70"/>
  <c r="S111" i="70" s="1"/>
  <c r="U111" i="70" s="1"/>
  <c r="U109" i="117" s="1"/>
  <c r="T109" i="70"/>
  <c r="U109" i="70"/>
  <c r="U107" i="117" s="1"/>
  <c r="W108" i="70"/>
  <c r="W105" i="70"/>
  <c r="W103" i="117"/>
  <c r="R40" i="117"/>
  <c r="M150" i="70"/>
  <c r="I167" i="70"/>
  <c r="I148" i="117"/>
  <c r="M114" i="70"/>
  <c r="N97" i="70"/>
  <c r="M95" i="117"/>
  <c r="S42" i="70"/>
  <c r="R59" i="70"/>
  <c r="W104" i="70" l="1"/>
  <c r="W110" i="70"/>
  <c r="U113" i="70"/>
  <c r="U111" i="117" s="1"/>
  <c r="W100" i="70"/>
  <c r="T111" i="70"/>
  <c r="T109" i="117" s="1"/>
  <c r="W109" i="117" s="1"/>
  <c r="T107" i="117"/>
  <c r="W107" i="117" s="1"/>
  <c r="W109" i="70"/>
  <c r="T111" i="117"/>
  <c r="S40" i="117"/>
  <c r="S59" i="70"/>
  <c r="W42" i="70"/>
  <c r="W59" i="70" s="1"/>
  <c r="N95" i="117"/>
  <c r="N150" i="70"/>
  <c r="M167" i="70"/>
  <c r="P97" i="70"/>
  <c r="N114" i="70"/>
  <c r="O97" i="70"/>
  <c r="M148" i="117"/>
  <c r="W113" i="70" l="1"/>
  <c r="W111" i="117"/>
  <c r="W111" i="70"/>
  <c r="P114" i="70"/>
  <c r="P95" i="117"/>
  <c r="W40" i="117"/>
  <c r="R150" i="70"/>
  <c r="S150" i="70" s="1"/>
  <c r="N167" i="70"/>
  <c r="N148" i="117"/>
  <c r="R97" i="70"/>
  <c r="O95" i="117"/>
  <c r="O114" i="70"/>
  <c r="R148" i="117" l="1"/>
  <c r="R167" i="70"/>
  <c r="R114" i="70"/>
  <c r="S97" i="70"/>
  <c r="R95" i="117"/>
  <c r="T97" i="70" l="1"/>
  <c r="S114" i="70"/>
  <c r="U97" i="70"/>
  <c r="S148" i="117"/>
  <c r="S167" i="70"/>
  <c r="W150" i="70"/>
  <c r="W167" i="70" s="1"/>
  <c r="S95" i="117"/>
  <c r="W97" i="70" l="1"/>
  <c r="W114" i="70" s="1"/>
  <c r="W148" i="117"/>
  <c r="U114" i="70"/>
  <c r="U95" i="117"/>
  <c r="T114" i="70"/>
  <c r="T95" i="117"/>
  <c r="W95" i="117" l="1"/>
  <c r="D14" i="78" l="1"/>
  <c r="S33" i="58" l="1"/>
  <c r="T33" i="58"/>
  <c r="U33" i="58"/>
  <c r="V33" i="58"/>
  <c r="W33" i="58"/>
  <c r="G15" i="65" l="1"/>
  <c r="H15" i="65" s="1"/>
  <c r="D38" i="67" l="1"/>
  <c r="D44" i="68"/>
  <c r="D40" i="67" l="1"/>
  <c r="G11" i="65"/>
  <c r="D46" i="68"/>
  <c r="G17" i="65"/>
  <c r="G13" i="58" s="1"/>
  <c r="H11" i="65"/>
  <c r="H17" i="65" s="1"/>
  <c r="G10" i="65"/>
  <c r="H10" i="65" l="1"/>
  <c r="E11" i="78"/>
  <c r="H13" i="58" l="1"/>
  <c r="J106" i="59" l="1"/>
  <c r="J108" i="59" l="1"/>
  <c r="J107" i="59"/>
  <c r="E169" i="59"/>
  <c r="E170" i="59" l="1"/>
  <c r="K121" i="59"/>
  <c r="L121" i="59"/>
  <c r="L109" i="59"/>
  <c r="N121" i="59" l="1"/>
  <c r="N109" i="59"/>
  <c r="G61" i="61"/>
  <c r="G68" i="61"/>
  <c r="M121" i="59"/>
  <c r="M109" i="59"/>
  <c r="H61" i="61"/>
  <c r="H68" i="61"/>
  <c r="I68" i="61" l="1"/>
  <c r="I61" i="61"/>
  <c r="J68" i="61"/>
  <c r="J61" i="61"/>
  <c r="D31" i="74" l="1"/>
  <c r="D22" i="74"/>
  <c r="D40" i="74" l="1"/>
  <c r="D49" i="74"/>
  <c r="J109" i="59" l="1"/>
  <c r="J23" i="60" l="1"/>
  <c r="J26" i="60" s="1"/>
  <c r="J73" i="59"/>
  <c r="H78" i="124"/>
  <c r="H74" i="124"/>
  <c r="J69" i="124"/>
  <c r="K58" i="59"/>
  <c r="I78" i="124"/>
  <c r="I74" i="124"/>
  <c r="K94" i="59" l="1"/>
  <c r="K26" i="131" s="1"/>
  <c r="K68" i="59"/>
  <c r="K104" i="59" s="1"/>
  <c r="P94" i="59"/>
  <c r="P103" i="59"/>
  <c r="J116" i="59"/>
  <c r="J104" i="59"/>
  <c r="K69" i="124"/>
  <c r="L58" i="59"/>
  <c r="J78" i="124"/>
  <c r="J74" i="124"/>
  <c r="L94" i="59" s="1"/>
  <c r="K42" i="131" s="1"/>
  <c r="K23" i="60"/>
  <c r="K26" i="60" s="1"/>
  <c r="K73" i="59"/>
  <c r="J85" i="59"/>
  <c r="J34" i="59"/>
  <c r="J92" i="59"/>
  <c r="I92" i="59" s="1"/>
  <c r="I102" i="59" s="1"/>
  <c r="J30" i="81"/>
  <c r="H19" i="124"/>
  <c r="J84" i="59"/>
  <c r="J21" i="59"/>
  <c r="J89" i="59"/>
  <c r="J86" i="59"/>
  <c r="J35" i="59"/>
  <c r="J88" i="59"/>
  <c r="J87" i="59"/>
  <c r="J91" i="59"/>
  <c r="J33" i="59"/>
  <c r="D11" i="74"/>
  <c r="E46" i="131" l="1"/>
  <c r="E42" i="131"/>
  <c r="E52" i="131"/>
  <c r="E44" i="131"/>
  <c r="E50" i="131"/>
  <c r="E41" i="131"/>
  <c r="E43" i="131"/>
  <c r="E45" i="131"/>
  <c r="E49" i="131"/>
  <c r="E48" i="131"/>
  <c r="E47" i="131"/>
  <c r="E51" i="131"/>
  <c r="E32" i="131"/>
  <c r="E35" i="131"/>
  <c r="E30" i="131"/>
  <c r="E31" i="131"/>
  <c r="E36" i="131"/>
  <c r="E26" i="131"/>
  <c r="E25" i="131"/>
  <c r="E33" i="131"/>
  <c r="E29" i="131"/>
  <c r="E28" i="131"/>
  <c r="E34" i="131"/>
  <c r="E27" i="131"/>
  <c r="A94" i="59"/>
  <c r="F58" i="61"/>
  <c r="F59" i="61"/>
  <c r="I91" i="59"/>
  <c r="I101" i="59" s="1"/>
  <c r="I123" i="59" s="1"/>
  <c r="K116" i="59"/>
  <c r="J26" i="81"/>
  <c r="I21" i="59"/>
  <c r="J42" i="81"/>
  <c r="I30" i="81"/>
  <c r="I124" i="59"/>
  <c r="I112" i="59"/>
  <c r="J36" i="59"/>
  <c r="J37" i="59" s="1"/>
  <c r="E18" i="71" s="1"/>
  <c r="E20" i="71" s="1"/>
  <c r="L68" i="59"/>
  <c r="L106" i="59" s="1"/>
  <c r="K107" i="59"/>
  <c r="K106" i="59"/>
  <c r="K108" i="59"/>
  <c r="F169" i="59"/>
  <c r="G59" i="61"/>
  <c r="K125" i="59"/>
  <c r="K155" i="59" s="1"/>
  <c r="L23" i="60"/>
  <c r="L26" i="60" s="1"/>
  <c r="L73" i="59"/>
  <c r="M58" i="59"/>
  <c r="L69" i="124"/>
  <c r="K78" i="124"/>
  <c r="K74" i="124"/>
  <c r="M94" i="59" s="1"/>
  <c r="K58" i="131" s="1"/>
  <c r="J113" i="59"/>
  <c r="J125" i="59"/>
  <c r="J155" i="59" s="1"/>
  <c r="J157" i="59" s="1"/>
  <c r="J44" i="81"/>
  <c r="J43" i="81"/>
  <c r="J22" i="59"/>
  <c r="H33" i="124"/>
  <c r="H32" i="124"/>
  <c r="E68" i="131" l="1"/>
  <c r="E59" i="131"/>
  <c r="E65" i="131"/>
  <c r="E61" i="131"/>
  <c r="E57" i="131"/>
  <c r="E62" i="131"/>
  <c r="E60" i="131"/>
  <c r="E64" i="131"/>
  <c r="E67" i="131"/>
  <c r="E58" i="131"/>
  <c r="E63" i="131"/>
  <c r="E66" i="131"/>
  <c r="I111" i="59"/>
  <c r="J27" i="81"/>
  <c r="I27" i="81" s="1"/>
  <c r="I26" i="81"/>
  <c r="L104" i="59"/>
  <c r="D18" i="71"/>
  <c r="D20" i="71" s="1"/>
  <c r="G12" i="73"/>
  <c r="K12" i="73" s="1"/>
  <c r="K11" i="74" s="1"/>
  <c r="K13" i="74" s="1"/>
  <c r="I43" i="81"/>
  <c r="I44" i="81"/>
  <c r="I42" i="81"/>
  <c r="L18" i="71"/>
  <c r="L20" i="71" s="1"/>
  <c r="C18" i="71"/>
  <c r="C20" i="71" s="1"/>
  <c r="G18" i="71"/>
  <c r="G20" i="71" s="1"/>
  <c r="N18" i="71"/>
  <c r="N20" i="71" s="1"/>
  <c r="K18" i="71"/>
  <c r="K20" i="71" s="1"/>
  <c r="J18" i="71"/>
  <c r="J20" i="71" s="1"/>
  <c r="F18" i="71"/>
  <c r="F20" i="71" s="1"/>
  <c r="I18" i="71"/>
  <c r="I20" i="71" s="1"/>
  <c r="M18" i="71"/>
  <c r="M20" i="71" s="1"/>
  <c r="H18" i="71"/>
  <c r="H20" i="71" s="1"/>
  <c r="G58" i="61"/>
  <c r="G169" i="59"/>
  <c r="L116" i="59"/>
  <c r="L108" i="59"/>
  <c r="L107" i="59"/>
  <c r="E194" i="59"/>
  <c r="E196" i="59" s="1"/>
  <c r="K113" i="59"/>
  <c r="K23" i="59" s="1"/>
  <c r="J90" i="59"/>
  <c r="J40" i="59"/>
  <c r="J45" i="81"/>
  <c r="J48" i="81" s="1"/>
  <c r="F170" i="59"/>
  <c r="M68" i="59"/>
  <c r="M104" i="59" s="1"/>
  <c r="M23" i="60"/>
  <c r="M73" i="59"/>
  <c r="P117" i="59"/>
  <c r="N58" i="59"/>
  <c r="L78" i="124"/>
  <c r="L74" i="124"/>
  <c r="N94" i="59" s="1"/>
  <c r="K74" i="131" s="1"/>
  <c r="I11" i="58"/>
  <c r="G11" i="80"/>
  <c r="E11" i="74"/>
  <c r="G15" i="124"/>
  <c r="F17" i="54"/>
  <c r="E14" i="55"/>
  <c r="E77" i="131" l="1"/>
  <c r="E76" i="131"/>
  <c r="E82" i="131"/>
  <c r="E73" i="131"/>
  <c r="E75" i="131"/>
  <c r="E81" i="131"/>
  <c r="E74" i="131"/>
  <c r="E78" i="131"/>
  <c r="E83" i="131"/>
  <c r="E79" i="131"/>
  <c r="E80" i="131"/>
  <c r="E84" i="131"/>
  <c r="K14" i="73"/>
  <c r="G170" i="59"/>
  <c r="G178" i="59" s="1"/>
  <c r="G184" i="59" s="1"/>
  <c r="L12" i="73"/>
  <c r="L11" i="74" s="1"/>
  <c r="L13" i="74" s="1"/>
  <c r="G11" i="74"/>
  <c r="G13" i="74" s="1"/>
  <c r="K87" i="59"/>
  <c r="F191" i="59"/>
  <c r="I45" i="81"/>
  <c r="I48" i="81" s="1"/>
  <c r="G14" i="73"/>
  <c r="I90" i="59"/>
  <c r="I100" i="59" s="1"/>
  <c r="I89" i="59"/>
  <c r="O18" i="71"/>
  <c r="O20" i="71" s="1"/>
  <c r="O21" i="71" s="1"/>
  <c r="I19" i="124"/>
  <c r="L113" i="59"/>
  <c r="L23" i="59" s="1"/>
  <c r="L125" i="59"/>
  <c r="L155" i="59" s="1"/>
  <c r="K86" i="59"/>
  <c r="F182" i="59"/>
  <c r="H59" i="61"/>
  <c r="H58" i="61"/>
  <c r="K85" i="59"/>
  <c r="K34" i="59"/>
  <c r="K90" i="59"/>
  <c r="K21" i="59"/>
  <c r="K26" i="81" s="1"/>
  <c r="K91" i="59"/>
  <c r="K33" i="59"/>
  <c r="K89" i="59"/>
  <c r="K35" i="59"/>
  <c r="K88" i="59"/>
  <c r="K30" i="81"/>
  <c r="K44" i="81" s="1"/>
  <c r="K92" i="59"/>
  <c r="K84" i="59"/>
  <c r="M116" i="59"/>
  <c r="M107" i="59"/>
  <c r="M26" i="60"/>
  <c r="N73" i="59" s="1"/>
  <c r="H169" i="59"/>
  <c r="M108" i="59"/>
  <c r="E168" i="59"/>
  <c r="J53" i="81"/>
  <c r="M106" i="59"/>
  <c r="N68" i="59"/>
  <c r="N106" i="59" s="1"/>
  <c r="F178" i="59"/>
  <c r="F184" i="59" s="1"/>
  <c r="K157" i="59"/>
  <c r="J11" i="58"/>
  <c r="F12" i="55"/>
  <c r="E42" i="55"/>
  <c r="E18" i="54"/>
  <c r="D54" i="55"/>
  <c r="F14" i="55"/>
  <c r="I99" i="59" l="1"/>
  <c r="I109" i="59" s="1"/>
  <c r="G191" i="59"/>
  <c r="L14" i="73"/>
  <c r="L34" i="59"/>
  <c r="K42" i="81"/>
  <c r="L92" i="59"/>
  <c r="I121" i="59"/>
  <c r="L21" i="59"/>
  <c r="L13" i="59" s="1"/>
  <c r="J33" i="124" s="1"/>
  <c r="I110" i="59"/>
  <c r="I122" i="59"/>
  <c r="L84" i="59"/>
  <c r="L88" i="59"/>
  <c r="L86" i="59"/>
  <c r="L89" i="59"/>
  <c r="L87" i="59"/>
  <c r="L90" i="59"/>
  <c r="L33" i="59"/>
  <c r="L35" i="59"/>
  <c r="G182" i="59"/>
  <c r="L91" i="59"/>
  <c r="L30" i="81"/>
  <c r="L42" i="81" s="1"/>
  <c r="F185" i="59"/>
  <c r="F187" i="59" s="1"/>
  <c r="Q117" i="59"/>
  <c r="J19" i="124"/>
  <c r="L85" i="59"/>
  <c r="K36" i="59"/>
  <c r="K37" i="59" s="1"/>
  <c r="H26" i="71" s="1"/>
  <c r="H28" i="71" s="1"/>
  <c r="I59" i="61"/>
  <c r="K13" i="59"/>
  <c r="I33" i="124" s="1"/>
  <c r="I32" i="124"/>
  <c r="K43" i="81"/>
  <c r="N116" i="59"/>
  <c r="K22" i="59"/>
  <c r="I58" i="61"/>
  <c r="E178" i="59"/>
  <c r="E184" i="59" s="1"/>
  <c r="E185" i="59" s="1"/>
  <c r="E187" i="59" s="1"/>
  <c r="E198" i="59" s="1"/>
  <c r="E79" i="61" s="1"/>
  <c r="H170" i="59"/>
  <c r="M125" i="59"/>
  <c r="R117" i="59" s="1"/>
  <c r="M113" i="59"/>
  <c r="M23" i="59" s="1"/>
  <c r="H11" i="80"/>
  <c r="N108" i="59"/>
  <c r="K27" i="81"/>
  <c r="I169" i="59"/>
  <c r="F194" i="59"/>
  <c r="F196" i="59" s="1"/>
  <c r="N104" i="59"/>
  <c r="N107" i="59"/>
  <c r="L157" i="59"/>
  <c r="K11" i="58"/>
  <c r="E19" i="54"/>
  <c r="E21" i="54" s="1"/>
  <c r="F20" i="55"/>
  <c r="E21" i="55"/>
  <c r="F18" i="54"/>
  <c r="D63" i="55"/>
  <c r="D57" i="55"/>
  <c r="E68" i="61" l="1"/>
  <c r="E61" i="61"/>
  <c r="L26" i="81"/>
  <c r="L27" i="81" s="1"/>
  <c r="L22" i="59"/>
  <c r="K45" i="81"/>
  <c r="K48" i="81" s="1"/>
  <c r="I107" i="59"/>
  <c r="J32" i="124"/>
  <c r="H178" i="59"/>
  <c r="H184" i="59" s="1"/>
  <c r="K19" i="124"/>
  <c r="G185" i="59"/>
  <c r="G187" i="59" s="1"/>
  <c r="L36" i="59"/>
  <c r="L37" i="59" s="1"/>
  <c r="E34" i="71" s="1"/>
  <c r="E36" i="71" s="1"/>
  <c r="I105" i="59"/>
  <c r="I95" i="59" s="1"/>
  <c r="K16" i="131" s="1"/>
  <c r="I104" i="59"/>
  <c r="I94" i="59" s="1"/>
  <c r="K10" i="131" s="1"/>
  <c r="I106" i="59"/>
  <c r="I96" i="59" s="1"/>
  <c r="K13" i="131" s="1"/>
  <c r="G26" i="71"/>
  <c r="G28" i="71" s="1"/>
  <c r="L43" i="81"/>
  <c r="L44" i="81"/>
  <c r="L26" i="71"/>
  <c r="L28" i="71" s="1"/>
  <c r="F26" i="71"/>
  <c r="F28" i="71" s="1"/>
  <c r="D26" i="71"/>
  <c r="D28" i="71" s="1"/>
  <c r="M26" i="71"/>
  <c r="M28" i="71" s="1"/>
  <c r="F198" i="59"/>
  <c r="K158" i="59" s="1"/>
  <c r="K159" i="59" s="1"/>
  <c r="J26" i="71"/>
  <c r="J28" i="71" s="1"/>
  <c r="M21" i="59"/>
  <c r="M22" i="59" s="1"/>
  <c r="K26" i="71"/>
  <c r="K28" i="71" s="1"/>
  <c r="N26" i="71"/>
  <c r="N28" i="71" s="1"/>
  <c r="G23" i="73"/>
  <c r="K23" i="73" s="1"/>
  <c r="I26" i="71"/>
  <c r="I28" i="71" s="1"/>
  <c r="C26" i="71"/>
  <c r="C28" i="71" s="1"/>
  <c r="E26" i="71"/>
  <c r="E28" i="71" s="1"/>
  <c r="M84" i="59"/>
  <c r="M90" i="59"/>
  <c r="M89" i="59"/>
  <c r="M30" i="81"/>
  <c r="M42" i="81" s="1"/>
  <c r="M92" i="59"/>
  <c r="M33" i="59"/>
  <c r="H191" i="59"/>
  <c r="M85" i="59"/>
  <c r="M155" i="59"/>
  <c r="L11" i="58" s="1"/>
  <c r="J58" i="61"/>
  <c r="J59" i="61"/>
  <c r="N125" i="59"/>
  <c r="N155" i="59" s="1"/>
  <c r="I12" i="58"/>
  <c r="E80" i="61"/>
  <c r="J158" i="59"/>
  <c r="J159" i="59" s="1"/>
  <c r="J160" i="59" s="1"/>
  <c r="M35" i="59"/>
  <c r="M86" i="59"/>
  <c r="M88" i="59"/>
  <c r="H182" i="59"/>
  <c r="M91" i="59"/>
  <c r="M34" i="59"/>
  <c r="M87" i="59"/>
  <c r="N113" i="59"/>
  <c r="N23" i="59" s="1"/>
  <c r="G194" i="59"/>
  <c r="G196" i="59" s="1"/>
  <c r="I11" i="80"/>
  <c r="I170" i="59"/>
  <c r="E23" i="54"/>
  <c r="E43" i="55"/>
  <c r="F21" i="54"/>
  <c r="G15" i="54"/>
  <c r="F19" i="54"/>
  <c r="F21" i="55"/>
  <c r="G27" i="58"/>
  <c r="G19" i="131" l="1"/>
  <c r="G10" i="131"/>
  <c r="G16" i="131"/>
  <c r="G9" i="131"/>
  <c r="G15" i="131"/>
  <c r="G17" i="131"/>
  <c r="G18" i="131"/>
  <c r="G11" i="131"/>
  <c r="G20" i="131"/>
  <c r="F11" i="131"/>
  <c r="F10" i="131"/>
  <c r="F9" i="131"/>
  <c r="F20" i="131"/>
  <c r="F19" i="131"/>
  <c r="F17" i="131"/>
  <c r="F15" i="131"/>
  <c r="F14" i="131"/>
  <c r="F12" i="131"/>
  <c r="F18" i="131"/>
  <c r="F16" i="131"/>
  <c r="F13" i="131"/>
  <c r="E20" i="131"/>
  <c r="E10" i="131"/>
  <c r="E19" i="131"/>
  <c r="E9" i="131"/>
  <c r="E11" i="131"/>
  <c r="E15" i="131"/>
  <c r="E16" i="131"/>
  <c r="E14" i="131"/>
  <c r="E17" i="131"/>
  <c r="E12" i="131"/>
  <c r="E18" i="131"/>
  <c r="E13" i="131"/>
  <c r="G198" i="59"/>
  <c r="G79" i="61" s="1"/>
  <c r="N84" i="59"/>
  <c r="J34" i="71"/>
  <c r="J36" i="71" s="1"/>
  <c r="K32" i="124"/>
  <c r="H34" i="71"/>
  <c r="H36" i="71" s="1"/>
  <c r="N34" i="71"/>
  <c r="N36" i="71" s="1"/>
  <c r="C34" i="71"/>
  <c r="C36" i="71" s="1"/>
  <c r="D34" i="71"/>
  <c r="D36" i="71" s="1"/>
  <c r="I34" i="71"/>
  <c r="I36" i="71" s="1"/>
  <c r="K34" i="71"/>
  <c r="K36" i="71" s="1"/>
  <c r="G34" i="71"/>
  <c r="G36" i="71" s="1"/>
  <c r="F34" i="71"/>
  <c r="F36" i="71" s="1"/>
  <c r="L34" i="71"/>
  <c r="L36" i="71" s="1"/>
  <c r="G34" i="73"/>
  <c r="G36" i="73" s="1"/>
  <c r="M34" i="71"/>
  <c r="M36" i="71" s="1"/>
  <c r="L45" i="81"/>
  <c r="L48" i="81" s="1"/>
  <c r="I86" i="59"/>
  <c r="I118" i="59"/>
  <c r="I84" i="59"/>
  <c r="I116" i="59"/>
  <c r="I85" i="59"/>
  <c r="I117" i="59"/>
  <c r="G22" i="74"/>
  <c r="G24" i="74" s="1"/>
  <c r="F80" i="61"/>
  <c r="F79" i="61"/>
  <c r="M26" i="81"/>
  <c r="J12" i="58"/>
  <c r="G25" i="73"/>
  <c r="O26" i="71"/>
  <c r="O28" i="71" s="1"/>
  <c r="M13" i="59"/>
  <c r="K33" i="124" s="1"/>
  <c r="L23" i="73"/>
  <c r="L22" i="74" s="1"/>
  <c r="L24" i="74" s="1"/>
  <c r="M157" i="59"/>
  <c r="N90" i="59"/>
  <c r="S117" i="59"/>
  <c r="M44" i="81"/>
  <c r="M43" i="81"/>
  <c r="M36" i="59"/>
  <c r="M37" i="59" s="1"/>
  <c r="F50" i="71" s="1"/>
  <c r="F52" i="71" s="1"/>
  <c r="E83" i="61"/>
  <c r="E85" i="61" s="1"/>
  <c r="I21" i="58" s="1"/>
  <c r="N21" i="59"/>
  <c r="L32" i="124" s="1"/>
  <c r="I191" i="59"/>
  <c r="J161" i="59"/>
  <c r="G13" i="80" s="1"/>
  <c r="G15" i="80" s="1"/>
  <c r="K160" i="59"/>
  <c r="J25" i="131" s="1"/>
  <c r="L19" i="124"/>
  <c r="N86" i="59"/>
  <c r="N85" i="59"/>
  <c r="N34" i="59"/>
  <c r="N89" i="59"/>
  <c r="N33" i="59"/>
  <c r="N30" i="81"/>
  <c r="N42" i="81" s="1"/>
  <c r="N87" i="59"/>
  <c r="I182" i="59"/>
  <c r="N35" i="59"/>
  <c r="N92" i="59"/>
  <c r="N88" i="59"/>
  <c r="N91" i="59"/>
  <c r="H185" i="59"/>
  <c r="H187" i="59" s="1"/>
  <c r="I178" i="59"/>
  <c r="I184" i="59" s="1"/>
  <c r="K25" i="73"/>
  <c r="K22" i="74"/>
  <c r="K24" i="74" s="1"/>
  <c r="N157" i="59"/>
  <c r="M11" i="58"/>
  <c r="E25" i="54"/>
  <c r="G18" i="58" s="1"/>
  <c r="F23" i="54"/>
  <c r="F25" i="54" s="1"/>
  <c r="F27" i="58"/>
  <c r="E58" i="61" l="1"/>
  <c r="E59" i="61"/>
  <c r="L158" i="59"/>
  <c r="L159" i="59" s="1"/>
  <c r="L160" i="59" s="1"/>
  <c r="J41" i="131" s="1"/>
  <c r="K12" i="58"/>
  <c r="G80" i="61"/>
  <c r="J11" i="80"/>
  <c r="M27" i="81"/>
  <c r="K34" i="73"/>
  <c r="K31" i="74" s="1"/>
  <c r="K33" i="74" s="1"/>
  <c r="L34" i="73"/>
  <c r="L31" i="74" s="1"/>
  <c r="L33" i="74" s="1"/>
  <c r="G31" i="74"/>
  <c r="G33" i="74" s="1"/>
  <c r="O34" i="71"/>
  <c r="O36" i="71" s="1"/>
  <c r="F83" i="61"/>
  <c r="F85" i="61" s="1"/>
  <c r="J21" i="58" s="1"/>
  <c r="I125" i="59"/>
  <c r="I155" i="59" s="1"/>
  <c r="I157" i="59" s="1"/>
  <c r="L25" i="73"/>
  <c r="K50" i="71"/>
  <c r="K52" i="71" s="1"/>
  <c r="M45" i="81"/>
  <c r="M48" i="81" s="1"/>
  <c r="N44" i="81"/>
  <c r="D50" i="71"/>
  <c r="D52" i="71" s="1"/>
  <c r="J50" i="71"/>
  <c r="J52" i="71" s="1"/>
  <c r="N13" i="59"/>
  <c r="L33" i="124" s="1"/>
  <c r="F42" i="71"/>
  <c r="F44" i="71" s="1"/>
  <c r="K42" i="71"/>
  <c r="K44" i="71" s="1"/>
  <c r="N42" i="71"/>
  <c r="N44" i="71" s="1"/>
  <c r="N43" i="81"/>
  <c r="I42" i="71"/>
  <c r="I44" i="71" s="1"/>
  <c r="E42" i="71"/>
  <c r="E44" i="71" s="1"/>
  <c r="H42" i="71"/>
  <c r="H44" i="71" s="1"/>
  <c r="G42" i="71"/>
  <c r="G44" i="71" s="1"/>
  <c r="L42" i="71"/>
  <c r="L44" i="71" s="1"/>
  <c r="G50" i="71"/>
  <c r="G52" i="71" s="1"/>
  <c r="L50" i="71"/>
  <c r="L52" i="71" s="1"/>
  <c r="E50" i="71"/>
  <c r="E52" i="71" s="1"/>
  <c r="J42" i="71"/>
  <c r="J44" i="71" s="1"/>
  <c r="D42" i="71"/>
  <c r="D44" i="71" s="1"/>
  <c r="N22" i="59"/>
  <c r="H50" i="71"/>
  <c r="H52" i="71" s="1"/>
  <c r="N26" i="81"/>
  <c r="I50" i="71"/>
  <c r="I52" i="71" s="1"/>
  <c r="M50" i="71"/>
  <c r="M52" i="71" s="1"/>
  <c r="I185" i="59"/>
  <c r="I187" i="59" s="1"/>
  <c r="M42" i="71"/>
  <c r="M44" i="71" s="1"/>
  <c r="C42" i="71"/>
  <c r="C44" i="71" s="1"/>
  <c r="N50" i="71"/>
  <c r="N52" i="71" s="1"/>
  <c r="G44" i="73"/>
  <c r="K44" i="73" s="1"/>
  <c r="N36" i="59"/>
  <c r="N37" i="59" s="1"/>
  <c r="G54" i="73" s="1"/>
  <c r="K161" i="59"/>
  <c r="H13" i="80" s="1"/>
  <c r="H15" i="80" s="1"/>
  <c r="H194" i="59"/>
  <c r="H196" i="59" s="1"/>
  <c r="H198" i="59" s="1"/>
  <c r="L161" i="59"/>
  <c r="I13" i="80" s="1"/>
  <c r="I15" i="80" s="1"/>
  <c r="K11" i="80"/>
  <c r="I194" i="59"/>
  <c r="I196" i="59" s="1"/>
  <c r="G83" i="61"/>
  <c r="G85" i="61" s="1"/>
  <c r="K21" i="58" s="1"/>
  <c r="E21" i="78"/>
  <c r="F18" i="58"/>
  <c r="D21" i="78"/>
  <c r="H27" i="58"/>
  <c r="G46" i="73" l="1"/>
  <c r="N27" i="81"/>
  <c r="L36" i="73"/>
  <c r="K36" i="73"/>
  <c r="I159" i="59"/>
  <c r="I160" i="59" s="1"/>
  <c r="J9" i="131" s="1"/>
  <c r="F11" i="80"/>
  <c r="F15" i="80" s="1"/>
  <c r="K40" i="74"/>
  <c r="K42" i="74" s="1"/>
  <c r="K46" i="73"/>
  <c r="N45" i="81"/>
  <c r="N48" i="81" s="1"/>
  <c r="C50" i="71"/>
  <c r="O50" i="71" s="1"/>
  <c r="O52" i="71" s="1"/>
  <c r="I198" i="59"/>
  <c r="I79" i="61" s="1"/>
  <c r="G40" i="74"/>
  <c r="G42" i="74" s="1"/>
  <c r="L44" i="73"/>
  <c r="O42" i="71"/>
  <c r="O44" i="71" s="1"/>
  <c r="M158" i="59"/>
  <c r="M159" i="59" s="1"/>
  <c r="M160" i="59" s="1"/>
  <c r="J57" i="131" s="1"/>
  <c r="H80" i="61"/>
  <c r="L12" i="58"/>
  <c r="H79" i="61"/>
  <c r="G49" i="74"/>
  <c r="G51" i="74" s="1"/>
  <c r="K54" i="73"/>
  <c r="G56" i="73"/>
  <c r="L54" i="73"/>
  <c r="E15" i="78"/>
  <c r="H18" i="58"/>
  <c r="D15" i="78"/>
  <c r="I161" i="59" l="1"/>
  <c r="C52" i="71"/>
  <c r="M12" i="58"/>
  <c r="I80" i="61"/>
  <c r="N158" i="59"/>
  <c r="N159" i="59" s="1"/>
  <c r="N160" i="59" s="1"/>
  <c r="J73" i="131" s="1"/>
  <c r="L40" i="74"/>
  <c r="L42" i="74" s="1"/>
  <c r="L46" i="73"/>
  <c r="H83" i="61"/>
  <c r="H85" i="61" s="1"/>
  <c r="L21" i="58" s="1"/>
  <c r="M161" i="59"/>
  <c r="J13" i="80" s="1"/>
  <c r="J15" i="80" s="1"/>
  <c r="K49" i="74"/>
  <c r="K51" i="74" s="1"/>
  <c r="K56" i="73"/>
  <c r="L56" i="73"/>
  <c r="L49" i="74"/>
  <c r="L51" i="74" s="1"/>
  <c r="N161" i="59" l="1"/>
  <c r="K13" i="80" s="1"/>
  <c r="K15" i="80" s="1"/>
  <c r="I83" i="61"/>
  <c r="I85" i="61" s="1"/>
  <c r="M21" i="58" s="1"/>
  <c r="K17" i="54"/>
  <c r="H64" i="55"/>
  <c r="L15" i="124" l="1"/>
  <c r="J12" i="73" l="1"/>
  <c r="N12" i="73" s="1"/>
  <c r="N14" i="73" s="1"/>
  <c r="C11" i="74"/>
  <c r="J11" i="74"/>
  <c r="N11" i="74" s="1"/>
  <c r="N13" i="74" s="1"/>
  <c r="J13" i="74"/>
  <c r="J14" i="73" l="1"/>
  <c r="J23" i="73"/>
  <c r="N23" i="73" s="1"/>
  <c r="N25" i="73" s="1"/>
  <c r="J25" i="73"/>
  <c r="C22" i="74"/>
  <c r="J22" i="74"/>
  <c r="N22" i="74" s="1"/>
  <c r="N24" i="74" s="1"/>
  <c r="J24" i="74"/>
  <c r="J34" i="73"/>
  <c r="J36" i="73" s="1"/>
  <c r="C31" i="74"/>
  <c r="J44" i="73"/>
  <c r="N44" i="73" s="1"/>
  <c r="N46" i="73" s="1"/>
  <c r="J46" i="73"/>
  <c r="C40" i="74"/>
  <c r="J54" i="73"/>
  <c r="N54" i="73" s="1"/>
  <c r="J56" i="73"/>
  <c r="C49" i="74"/>
  <c r="J49" i="74"/>
  <c r="J51" i="74" s="1"/>
  <c r="N34" i="73" l="1"/>
  <c r="N36" i="73" s="1"/>
  <c r="J31" i="74"/>
  <c r="J40" i="74"/>
  <c r="N49" i="74"/>
  <c r="N51" i="74" s="1"/>
  <c r="N56" i="73"/>
  <c r="N40" i="74" l="1"/>
  <c r="N42" i="74" s="1"/>
  <c r="J42" i="74"/>
  <c r="N31" i="74"/>
  <c r="N33" i="74" s="1"/>
  <c r="J33" i="74"/>
  <c r="K25" i="133"/>
  <c r="I14" i="93" l="1"/>
  <c r="K32" i="133"/>
  <c r="O21" i="107" l="1"/>
  <c r="F56" i="55"/>
  <c r="F64" i="55" s="1"/>
  <c r="I16" i="93"/>
  <c r="I17" i="54" s="1"/>
  <c r="J45" i="117" l="1"/>
  <c r="J57" i="117" s="1"/>
  <c r="I17" i="93" s="1"/>
  <c r="O33" i="107"/>
  <c r="C161" i="104"/>
  <c r="J58" i="117" l="1"/>
  <c r="AB161" i="104"/>
  <c r="AC161" i="104"/>
  <c r="AC326" i="104" s="1"/>
  <c r="AD161" i="104"/>
  <c r="AD326" i="104" s="1"/>
  <c r="C326" i="104"/>
  <c r="AE161" i="104" l="1"/>
  <c r="AG161" i="104" s="1"/>
  <c r="AG326" i="104" s="1"/>
  <c r="AB326" i="104"/>
  <c r="AE326" i="104" s="1"/>
  <c r="I25" i="133" l="1"/>
  <c r="G25" i="133"/>
  <c r="G32" i="133" s="1"/>
  <c r="I51" i="133" l="1"/>
  <c r="I32" i="133"/>
  <c r="J21" i="107" s="1"/>
  <c r="J33" i="107" s="1"/>
  <c r="H14" i="93"/>
  <c r="H16" i="93" s="1"/>
  <c r="G14" i="93"/>
  <c r="E21" i="107"/>
  <c r="D56" i="55" l="1"/>
  <c r="G16" i="93"/>
  <c r="G17" i="54" s="1"/>
  <c r="E56" i="55"/>
  <c r="E64" i="55" s="1"/>
  <c r="E45" i="117"/>
  <c r="E57" i="117" s="1"/>
  <c r="H17" i="93" s="1"/>
  <c r="C160" i="104"/>
  <c r="C325" i="104" s="1"/>
  <c r="R32" i="133"/>
  <c r="H17" i="54"/>
  <c r="E49" i="107"/>
  <c r="C159" i="104"/>
  <c r="J19" i="117"/>
  <c r="H21" i="107"/>
  <c r="E33" i="107"/>
  <c r="AA160" i="104"/>
  <c r="AD160" i="104" l="1"/>
  <c r="AD325" i="104" s="1"/>
  <c r="AC160" i="104"/>
  <c r="AC325" i="104" s="1"/>
  <c r="AB160" i="104"/>
  <c r="AB325" i="104" s="1"/>
  <c r="D58" i="55"/>
  <c r="E54" i="55" s="1"/>
  <c r="D64" i="55"/>
  <c r="D65" i="55" s="1"/>
  <c r="M19" i="117"/>
  <c r="J31" i="117"/>
  <c r="G17" i="93" s="1"/>
  <c r="Z159" i="104"/>
  <c r="AD159" i="104"/>
  <c r="AA159" i="104"/>
  <c r="AB159" i="104"/>
  <c r="AC159" i="104"/>
  <c r="C324" i="104"/>
  <c r="C329" i="104" s="1"/>
  <c r="AA325" i="104"/>
  <c r="AE325" i="104" s="1"/>
  <c r="H49" i="107"/>
  <c r="E61" i="107"/>
  <c r="J73" i="117"/>
  <c r="E58" i="117"/>
  <c r="E75" i="107"/>
  <c r="I21" i="107"/>
  <c r="H33" i="107"/>
  <c r="J32" i="117" l="1"/>
  <c r="AE160" i="104"/>
  <c r="AG160" i="104" s="1"/>
  <c r="AG325" i="104" s="1"/>
  <c r="I27" i="58"/>
  <c r="E57" i="55"/>
  <c r="E63" i="55"/>
  <c r="E65" i="55" s="1"/>
  <c r="E58" i="55"/>
  <c r="F54" i="55" s="1"/>
  <c r="M73" i="117"/>
  <c r="J85" i="117"/>
  <c r="J86" i="117" s="1"/>
  <c r="AA164" i="104"/>
  <c r="AA324" i="104"/>
  <c r="AA329" i="104" s="1"/>
  <c r="I49" i="107"/>
  <c r="I75" i="107" s="1"/>
  <c r="H61" i="107"/>
  <c r="Z164" i="104"/>
  <c r="Z324" i="104"/>
  <c r="AE159" i="104"/>
  <c r="M21" i="107"/>
  <c r="I33" i="107"/>
  <c r="AD164" i="104"/>
  <c r="AD324" i="104"/>
  <c r="AD329" i="104" s="1"/>
  <c r="H75" i="107"/>
  <c r="H87" i="107" s="1"/>
  <c r="E87" i="107"/>
  <c r="M31" i="117"/>
  <c r="M32" i="117" s="1"/>
  <c r="D45" i="117"/>
  <c r="AB164" i="104"/>
  <c r="AB324" i="104"/>
  <c r="AB329" i="104" s="1"/>
  <c r="AC164" i="104"/>
  <c r="AC324" i="104"/>
  <c r="AC329" i="104" s="1"/>
  <c r="J127" i="117"/>
  <c r="J27" i="58" l="1"/>
  <c r="F57" i="55"/>
  <c r="F58" i="55" s="1"/>
  <c r="G54" i="55" s="1"/>
  <c r="F63" i="55"/>
  <c r="F65" i="55" s="1"/>
  <c r="I87" i="107"/>
  <c r="M33" i="107"/>
  <c r="N21" i="107"/>
  <c r="AE164" i="104"/>
  <c r="AG159" i="104"/>
  <c r="D100" i="117"/>
  <c r="D153" i="117" s="1"/>
  <c r="M85" i="117"/>
  <c r="M86" i="117" s="1"/>
  <c r="Z329" i="104"/>
  <c r="AE324" i="104"/>
  <c r="AE329" i="104" s="1"/>
  <c r="J49" i="107"/>
  <c r="K49" i="107"/>
  <c r="I61" i="107"/>
  <c r="M127" i="117"/>
  <c r="M139" i="117" s="1"/>
  <c r="J139" i="117"/>
  <c r="D57" i="117"/>
  <c r="F23" i="69" s="1"/>
  <c r="H45" i="117"/>
  <c r="I16" i="58"/>
  <c r="G18" i="54"/>
  <c r="G19" i="54" l="1"/>
  <c r="K27" i="58"/>
  <c r="G63" i="55"/>
  <c r="G65" i="55" s="1"/>
  <c r="G57" i="55"/>
  <c r="G58" i="55" s="1"/>
  <c r="H54" i="55" s="1"/>
  <c r="M49" i="107"/>
  <c r="N49" i="107"/>
  <c r="M61" i="107"/>
  <c r="D165" i="117"/>
  <c r="D58" i="117"/>
  <c r="I45" i="117"/>
  <c r="H57" i="117"/>
  <c r="H58" i="117" s="1"/>
  <c r="F24" i="69"/>
  <c r="G66" i="61"/>
  <c r="D112" i="117"/>
  <c r="D113" i="117" s="1"/>
  <c r="AG164" i="104"/>
  <c r="J61" i="107"/>
  <c r="E100" i="117"/>
  <c r="J75" i="107"/>
  <c r="R21" i="107"/>
  <c r="N33" i="107"/>
  <c r="N75" i="107"/>
  <c r="K75" i="107"/>
  <c r="K87" i="107" s="1"/>
  <c r="K61" i="107"/>
  <c r="F100" i="117"/>
  <c r="G21" i="54" l="1"/>
  <c r="H15" i="54"/>
  <c r="L27" i="58"/>
  <c r="G23" i="54"/>
  <c r="H63" i="55"/>
  <c r="H65" i="55" s="1"/>
  <c r="H57" i="55"/>
  <c r="H58" i="55" s="1"/>
  <c r="H100" i="117"/>
  <c r="H112" i="117" s="1"/>
  <c r="H113" i="117" s="1"/>
  <c r="I57" i="117"/>
  <c r="G23" i="69" s="1"/>
  <c r="M45" i="117"/>
  <c r="N87" i="107"/>
  <c r="S21" i="107"/>
  <c r="R33" i="107"/>
  <c r="J87" i="107"/>
  <c r="M75" i="107"/>
  <c r="M87" i="107" s="1"/>
  <c r="F153" i="117"/>
  <c r="F165" i="117" s="1"/>
  <c r="F112" i="117"/>
  <c r="F113" i="117" s="1"/>
  <c r="E112" i="117"/>
  <c r="J16" i="58" s="1"/>
  <c r="E153" i="117"/>
  <c r="P49" i="107"/>
  <c r="N61" i="107"/>
  <c r="O49" i="107"/>
  <c r="E113" i="117" l="1"/>
  <c r="H18" i="54"/>
  <c r="M27" i="58"/>
  <c r="H19" i="54"/>
  <c r="I100" i="117"/>
  <c r="I112" i="117" s="1"/>
  <c r="I113" i="117" s="1"/>
  <c r="G25" i="54"/>
  <c r="I18" i="58" s="1"/>
  <c r="G24" i="69"/>
  <c r="H66" i="61"/>
  <c r="W21" i="107"/>
  <c r="S33" i="107"/>
  <c r="M57" i="117"/>
  <c r="M58" i="117" s="1"/>
  <c r="N45" i="117"/>
  <c r="E165" i="117"/>
  <c r="H153" i="117"/>
  <c r="I58" i="117"/>
  <c r="K100" i="117"/>
  <c r="K112" i="117" s="1"/>
  <c r="P61" i="107"/>
  <c r="P75" i="107"/>
  <c r="P87" i="107" s="1"/>
  <c r="O61" i="107"/>
  <c r="J100" i="117"/>
  <c r="J112" i="117" s="1"/>
  <c r="K16" i="58" s="1"/>
  <c r="O75" i="107"/>
  <c r="R49" i="107"/>
  <c r="H21" i="54" l="1"/>
  <c r="I15" i="54"/>
  <c r="M100" i="117"/>
  <c r="M112" i="117" s="1"/>
  <c r="K113" i="117"/>
  <c r="J113" i="117"/>
  <c r="I153" i="117"/>
  <c r="H165" i="117"/>
  <c r="S49" i="107"/>
  <c r="R61" i="107"/>
  <c r="O87" i="107"/>
  <c r="R75" i="107"/>
  <c r="R87" i="107" s="1"/>
  <c r="X21" i="107"/>
  <c r="W33" i="107"/>
  <c r="N57" i="117"/>
  <c r="H23" i="69" s="1"/>
  <c r="R45" i="117"/>
  <c r="H23" i="54" l="1"/>
  <c r="I18" i="54"/>
  <c r="N100" i="117"/>
  <c r="N112" i="117" s="1"/>
  <c r="M113" i="117"/>
  <c r="S45" i="117"/>
  <c r="R57" i="117"/>
  <c r="R58" i="117" s="1"/>
  <c r="H24" i="69"/>
  <c r="I66" i="61"/>
  <c r="X33" i="107"/>
  <c r="AB21" i="107"/>
  <c r="AB33" i="107" s="1"/>
  <c r="T49" i="107"/>
  <c r="U49" i="107"/>
  <c r="S61" i="107"/>
  <c r="S75" i="107"/>
  <c r="M153" i="117"/>
  <c r="I165" i="117"/>
  <c r="N58" i="117"/>
  <c r="H25" i="54" l="1"/>
  <c r="J18" i="58" s="1"/>
  <c r="I19" i="54"/>
  <c r="W49" i="107"/>
  <c r="N113" i="117"/>
  <c r="X49" i="107"/>
  <c r="W61" i="107"/>
  <c r="S87" i="107"/>
  <c r="U75" i="107"/>
  <c r="U87" i="107" s="1"/>
  <c r="P100" i="117"/>
  <c r="P112" i="117" s="1"/>
  <c r="U61" i="107"/>
  <c r="W45" i="117"/>
  <c r="W57" i="117" s="1"/>
  <c r="W58" i="117" s="1"/>
  <c r="S57" i="117"/>
  <c r="I23" i="69" s="1"/>
  <c r="T61" i="107"/>
  <c r="O100" i="117"/>
  <c r="T75" i="107"/>
  <c r="T87" i="107" s="1"/>
  <c r="N153" i="117"/>
  <c r="M165" i="117"/>
  <c r="I21" i="54" l="1"/>
  <c r="J15" i="54"/>
  <c r="P113" i="117"/>
  <c r="R153" i="117"/>
  <c r="N165" i="117"/>
  <c r="I24" i="69"/>
  <c r="J66" i="61"/>
  <c r="S58" i="117"/>
  <c r="O112" i="117"/>
  <c r="R100" i="117"/>
  <c r="W75" i="107"/>
  <c r="W87" i="107" s="1"/>
  <c r="Z49" i="107"/>
  <c r="X61" i="107"/>
  <c r="Y49" i="107"/>
  <c r="X75" i="107"/>
  <c r="I23" i="54" l="1"/>
  <c r="X87" i="107"/>
  <c r="S100" i="117"/>
  <c r="R112" i="117"/>
  <c r="R113" i="117" s="1"/>
  <c r="L16" i="58"/>
  <c r="J18" i="54"/>
  <c r="O113" i="117"/>
  <c r="U100" i="117"/>
  <c r="U112" i="117" s="1"/>
  <c r="Z61" i="107"/>
  <c r="Z75" i="107"/>
  <c r="Z87" i="107" s="1"/>
  <c r="Y61" i="107"/>
  <c r="T100" i="117"/>
  <c r="T112" i="117" s="1"/>
  <c r="M16" i="58" s="1"/>
  <c r="Y75" i="107"/>
  <c r="Y87" i="107" s="1"/>
  <c r="AB49" i="107"/>
  <c r="AB61" i="107" s="1"/>
  <c r="S153" i="117"/>
  <c r="R165" i="117"/>
  <c r="U113" i="117" l="1"/>
  <c r="I25" i="54"/>
  <c r="K18" i="58" s="1"/>
  <c r="J19" i="54"/>
  <c r="T113" i="117"/>
  <c r="W100" i="117"/>
  <c r="W112" i="117" s="1"/>
  <c r="S112" i="117"/>
  <c r="S113" i="117" s="1"/>
  <c r="W113" i="117"/>
  <c r="S165" i="117"/>
  <c r="W153" i="117"/>
  <c r="W165" i="117" s="1"/>
  <c r="AB75" i="107"/>
  <c r="AB87" i="107" s="1"/>
  <c r="K15" i="54" l="1"/>
  <c r="J21" i="54"/>
  <c r="K18" i="54" l="1"/>
  <c r="K19" i="54"/>
  <c r="J23" i="54"/>
  <c r="J25" i="54" l="1"/>
  <c r="L18" i="58" s="1"/>
  <c r="K21" i="54"/>
  <c r="K23" i="54" l="1"/>
  <c r="K25" i="54" l="1"/>
  <c r="M18" i="58" s="1"/>
  <c r="D5" i="100"/>
  <c r="D7" i="100"/>
  <c r="D8" i="100"/>
  <c r="D9" i="100"/>
  <c r="D10" i="100"/>
  <c r="D19" i="100"/>
  <c r="D20" i="100"/>
  <c r="D21" i="100"/>
  <c r="D22" i="100"/>
  <c r="D25" i="100"/>
  <c r="D26" i="100"/>
  <c r="D27" i="100"/>
  <c r="D28" i="100"/>
  <c r="D32" i="100"/>
  <c r="D34" i="100"/>
  <c r="D37" i="100"/>
  <c r="D39" i="100"/>
  <c r="D44" i="100"/>
  <c r="D46" i="100"/>
  <c r="D48" i="100"/>
  <c r="F20" i="58"/>
  <c r="G20" i="58"/>
  <c r="H20" i="58"/>
  <c r="I20" i="58"/>
  <c r="J20" i="58"/>
  <c r="K20" i="58"/>
  <c r="L20" i="58"/>
  <c r="M20" i="58"/>
  <c r="F26" i="58"/>
  <c r="G26" i="58"/>
  <c r="H26" i="58"/>
  <c r="I26" i="58"/>
  <c r="J26" i="58"/>
  <c r="K26" i="58"/>
  <c r="L26" i="58"/>
  <c r="M26" i="58"/>
  <c r="F31" i="58"/>
  <c r="G31" i="58"/>
  <c r="H31" i="58"/>
  <c r="I31" i="58"/>
  <c r="J31" i="58"/>
  <c r="K31" i="58"/>
  <c r="L31" i="58"/>
  <c r="M31" i="58"/>
  <c r="D9" i="80"/>
  <c r="E9" i="80"/>
  <c r="F9" i="80"/>
  <c r="G9" i="80"/>
  <c r="H9" i="80"/>
  <c r="I9" i="80"/>
  <c r="J9" i="80"/>
  <c r="K9" i="80"/>
  <c r="F17" i="80"/>
  <c r="G17" i="80"/>
  <c r="H17" i="80"/>
  <c r="I17" i="80"/>
  <c r="J17" i="80"/>
  <c r="K17" i="80"/>
  <c r="F19" i="80"/>
  <c r="G19" i="80"/>
  <c r="H19" i="80"/>
  <c r="I19" i="80"/>
  <c r="J19" i="80"/>
  <c r="K19" i="80"/>
  <c r="D16" i="78"/>
  <c r="E16" i="78"/>
  <c r="D20" i="78"/>
  <c r="E20" i="78"/>
  <c r="D23" i="78"/>
  <c r="E23" i="78"/>
  <c r="F23" i="78"/>
  <c r="G23" i="78"/>
  <c r="D25" i="78"/>
  <c r="E25" i="78"/>
  <c r="D31" i="78"/>
  <c r="E31" i="78"/>
  <c r="AE93" i="104"/>
  <c r="AG93" i="104"/>
  <c r="AE98" i="104"/>
  <c r="AG98" i="104"/>
  <c r="AG324" i="104"/>
  <c r="AG329" i="104"/>
  <c r="F28" i="61"/>
  <c r="F30" i="61"/>
  <c r="F34" i="61"/>
  <c r="F35" i="61"/>
  <c r="E67" i="61"/>
  <c r="F67" i="61"/>
  <c r="G67" i="61"/>
  <c r="H67" i="61"/>
  <c r="I67" i="61"/>
  <c r="J67" i="61"/>
  <c r="E69" i="61"/>
  <c r="F69" i="61"/>
  <c r="G69" i="61"/>
  <c r="H69" i="61"/>
  <c r="I69" i="61"/>
  <c r="J69" i="61"/>
  <c r="E73" i="61"/>
  <c r="F73" i="61"/>
  <c r="G73" i="61"/>
  <c r="H73" i="61"/>
  <c r="I73" i="61"/>
  <c r="J73" i="61"/>
</calcChain>
</file>

<file path=xl/comments1.xml><?xml version="1.0" encoding="utf-8"?>
<comments xmlns="http://schemas.openxmlformats.org/spreadsheetml/2006/main">
  <authors>
    <author>Anil Patkare</author>
  </authors>
  <commentList>
    <comment ref="L45" authorId="0" shapeId="0">
      <text>
        <r>
          <rPr>
            <b/>
            <sz val="9"/>
            <color indexed="81"/>
            <rFont val="Tahoma"/>
            <family val="2"/>
          </rPr>
          <t>Anil Patkare:</t>
        </r>
        <r>
          <rPr>
            <sz val="9"/>
            <color indexed="81"/>
            <rFont val="Tahoma"/>
            <family val="2"/>
          </rPr>
          <t xml:space="preserve">
Approved ECR</t>
        </r>
      </text>
    </comment>
  </commentList>
</comments>
</file>

<file path=xl/comments10.xml><?xml version="1.0" encoding="utf-8"?>
<comments xmlns="http://schemas.openxmlformats.org/spreadsheetml/2006/main">
  <authors>
    <author>HP</author>
  </authors>
  <commentList>
    <comment ref="E21" authorId="0" shapeId="0">
      <text>
        <r>
          <rPr>
            <b/>
            <sz val="9"/>
            <color indexed="81"/>
            <rFont val="Tahoma"/>
            <family val="2"/>
          </rPr>
          <t>HP:</t>
        </r>
        <r>
          <rPr>
            <sz val="9"/>
            <color indexed="81"/>
            <rFont val="Tahoma"/>
            <family val="2"/>
          </rPr>
          <t xml:space="preserve">
add cap post COD in FY 24-25 also added here</t>
        </r>
      </text>
    </comment>
    <comment ref="A68" authorId="0" shapeId="0">
      <text>
        <r>
          <rPr>
            <b/>
            <sz val="9"/>
            <color indexed="81"/>
            <rFont val="Tahoma"/>
            <family val="2"/>
          </rPr>
          <t>HP:</t>
        </r>
        <r>
          <rPr>
            <sz val="9"/>
            <color indexed="81"/>
            <rFont val="Tahoma"/>
            <family val="2"/>
          </rPr>
          <t xml:space="preserve">
for FY 25-26 onwards</t>
        </r>
      </text>
    </comment>
    <comment ref="A95" authorId="0" shapeId="0">
      <text>
        <r>
          <rPr>
            <b/>
            <sz val="9"/>
            <color indexed="81"/>
            <rFont val="Tahoma"/>
            <family val="2"/>
          </rPr>
          <t>HP:</t>
        </r>
        <r>
          <rPr>
            <sz val="9"/>
            <color indexed="81"/>
            <rFont val="Tahoma"/>
            <family val="2"/>
          </rPr>
          <t xml:space="preserve">
for FY 25-26 onwards</t>
        </r>
      </text>
    </comment>
  </commentList>
</comments>
</file>

<file path=xl/comments11.xml><?xml version="1.0" encoding="utf-8"?>
<comments xmlns="http://schemas.openxmlformats.org/spreadsheetml/2006/main">
  <authors>
    <author>Anil Patkare</author>
  </authors>
  <commentList>
    <comment ref="D25" authorId="0" shapeId="0">
      <text>
        <r>
          <rPr>
            <b/>
            <sz val="9"/>
            <color indexed="81"/>
            <rFont val="Tahoma"/>
            <family val="2"/>
          </rPr>
          <t>Anil Patkare:</t>
        </r>
        <r>
          <rPr>
            <sz val="9"/>
            <color indexed="81"/>
            <rFont val="Tahoma"/>
            <family val="2"/>
          </rPr>
          <t xml:space="preserve">
Similar to above numbers of normative loan, for remaining years to be udpated</t>
        </r>
      </text>
    </comment>
  </commentList>
</comments>
</file>

<file path=xl/comments12.xml><?xml version="1.0" encoding="utf-8"?>
<comments xmlns="http://schemas.openxmlformats.org/spreadsheetml/2006/main">
  <authors>
    <author>MercadosEMI</author>
  </authors>
  <commentList>
    <comment ref="E14" authorId="0" shapeId="0">
      <text>
        <r>
          <rPr>
            <b/>
            <sz val="9"/>
            <color indexed="81"/>
            <rFont val="Tahoma"/>
            <family val="2"/>
          </rPr>
          <t>MercadosEMI:</t>
        </r>
        <r>
          <rPr>
            <sz val="9"/>
            <color indexed="81"/>
            <rFont val="Tahoma"/>
            <family val="2"/>
          </rPr>
          <t xml:space="preserve">
 value diff from true up sheet
</t>
        </r>
      </text>
    </comment>
  </commentList>
</comments>
</file>

<file path=xl/comments13.xml><?xml version="1.0" encoding="utf-8"?>
<comments xmlns="http://schemas.openxmlformats.org/spreadsheetml/2006/main">
  <authors>
    <author>HP</author>
  </authors>
  <commentList>
    <comment ref="G205" authorId="0" shapeId="0">
      <text>
        <r>
          <rPr>
            <b/>
            <sz val="9"/>
            <color indexed="81"/>
            <rFont val="Tahoma"/>
            <family val="2"/>
          </rPr>
          <t>HP:</t>
        </r>
        <r>
          <rPr>
            <sz val="9"/>
            <color indexed="81"/>
            <rFont val="Tahoma"/>
            <family val="2"/>
          </rPr>
          <t xml:space="preserve">
as per provisional tariff Order</t>
        </r>
      </text>
    </comment>
  </commentList>
</comments>
</file>

<file path=xl/comments2.xml><?xml version="1.0" encoding="utf-8"?>
<comments xmlns="http://schemas.openxmlformats.org/spreadsheetml/2006/main">
  <authors>
    <author>Mercados EMI</author>
  </authors>
  <commentList>
    <comment ref="F8" authorId="0" shapeId="0">
      <text>
        <r>
          <rPr>
            <b/>
            <sz val="9"/>
            <color indexed="81"/>
            <rFont val="Tahoma"/>
            <family val="2"/>
          </rPr>
          <t>Mercados EMI:</t>
        </r>
        <r>
          <rPr>
            <sz val="9"/>
            <color indexed="81"/>
            <rFont val="Tahoma"/>
            <family val="2"/>
          </rPr>
          <t xml:space="preserve">
Normative calculated only for Fuel Cost, rest of the element of ARR are as per actuals</t>
        </r>
      </text>
    </comment>
  </commentList>
</comments>
</file>

<file path=xl/comments3.xml><?xml version="1.0" encoding="utf-8"?>
<comments xmlns="http://schemas.openxmlformats.org/spreadsheetml/2006/main">
  <authors>
    <author>Mercados EMI</author>
  </authors>
  <commentList>
    <comment ref="K27" authorId="0" shapeId="0">
      <text>
        <r>
          <rPr>
            <b/>
            <sz val="9"/>
            <color indexed="81"/>
            <rFont val="Tahoma"/>
            <family val="2"/>
          </rPr>
          <t>Mercados EMI:</t>
        </r>
        <r>
          <rPr>
            <sz val="9"/>
            <color indexed="81"/>
            <rFont val="Tahoma"/>
            <family val="2"/>
          </rPr>
          <t xml:space="preserve">
considering SCR likely CoD is by Sep 26 end. Considered half of normative Aux</t>
        </r>
      </text>
    </comment>
    <comment ref="F182" authorId="0" shapeId="0">
      <text>
        <r>
          <rPr>
            <b/>
            <sz val="9"/>
            <color indexed="81"/>
            <rFont val="Tahoma"/>
            <family val="2"/>
          </rPr>
          <t>Mercados EMI:</t>
        </r>
        <r>
          <rPr>
            <sz val="9"/>
            <color indexed="81"/>
            <rFont val="Tahoma"/>
            <family val="2"/>
          </rPr>
          <t xml:space="preserve">
FGD will not be operating</t>
        </r>
      </text>
    </comment>
    <comment ref="F191" authorId="0" shapeId="0">
      <text>
        <r>
          <rPr>
            <b/>
            <sz val="9"/>
            <color indexed="81"/>
            <rFont val="Tahoma"/>
            <family val="2"/>
          </rPr>
          <t>Mercados EMI:</t>
        </r>
        <r>
          <rPr>
            <sz val="9"/>
            <color indexed="81"/>
            <rFont val="Tahoma"/>
            <family val="2"/>
          </rPr>
          <t xml:space="preserve">
SCR likely commissioning by Sep 26 end </t>
        </r>
      </text>
    </comment>
  </commentList>
</comments>
</file>

<file path=xl/comments4.xml><?xml version="1.0" encoding="utf-8"?>
<comments xmlns="http://schemas.openxmlformats.org/spreadsheetml/2006/main">
  <authors>
    <author>Microsoft Office User</author>
  </authors>
  <commentList>
    <comment ref="N11" authorId="0" shapeId="0">
      <text>
        <r>
          <rPr>
            <b/>
            <sz val="10"/>
            <color rgb="FF000000"/>
            <rFont val="Tahoma"/>
            <family val="2"/>
          </rPr>
          <t>Microsoft Office User:</t>
        </r>
        <r>
          <rPr>
            <sz val="10"/>
            <color rgb="FF000000"/>
            <rFont val="Tahoma"/>
            <family val="2"/>
          </rPr>
          <t xml:space="preserve">
</t>
        </r>
        <r>
          <rPr>
            <sz val="10"/>
            <color rgb="FF000000"/>
            <rFont val="Tahoma"/>
            <family val="2"/>
          </rPr>
          <t>to be linked to latest prevalent SBI MCLR as on date of filing</t>
        </r>
      </text>
    </comment>
  </commentList>
</comments>
</file>

<file path=xl/comments5.xml><?xml version="1.0" encoding="utf-8"?>
<comments xmlns="http://schemas.openxmlformats.org/spreadsheetml/2006/main">
  <authors>
    <author>HP</author>
  </authors>
  <commentList>
    <comment ref="D28" authorId="0" shapeId="0">
      <text>
        <r>
          <rPr>
            <b/>
            <sz val="9"/>
            <color indexed="81"/>
            <rFont val="Tahoma"/>
            <family val="2"/>
          </rPr>
          <t>HP:</t>
        </r>
        <r>
          <rPr>
            <sz val="9"/>
            <color indexed="81"/>
            <rFont val="Tahoma"/>
            <family val="2"/>
          </rPr>
          <t xml:space="preserve">
60 (as per amenedment dtd 08.06.2023 plus 15 days for utilisation of coal to generation of invoice</t>
        </r>
      </text>
    </comment>
  </commentList>
</comments>
</file>

<file path=xl/comments6.xml><?xml version="1.0" encoding="utf-8"?>
<comments xmlns="http://schemas.openxmlformats.org/spreadsheetml/2006/main">
  <authors>
    <author>Mercados EMI</author>
  </authors>
  <commentList>
    <comment ref="F24" authorId="0" shapeId="0">
      <text>
        <r>
          <rPr>
            <b/>
            <sz val="9"/>
            <color indexed="81"/>
            <rFont val="Tahoma"/>
            <family val="2"/>
          </rPr>
          <t>Mercados EMI:</t>
        </r>
        <r>
          <rPr>
            <sz val="9"/>
            <color indexed="81"/>
            <rFont val="Tahoma"/>
            <family val="2"/>
          </rPr>
          <t xml:space="preserve">
Likely CoD of SCR by 30th Sep</t>
        </r>
      </text>
    </comment>
  </commentList>
</comments>
</file>

<file path=xl/comments7.xml><?xml version="1.0" encoding="utf-8"?>
<comments xmlns="http://schemas.openxmlformats.org/spreadsheetml/2006/main">
  <authors>
    <author>MercadosEMI</author>
  </authors>
  <commentList>
    <comment ref="D33" authorId="0" shapeId="0">
      <text>
        <r>
          <rPr>
            <b/>
            <sz val="9"/>
            <color indexed="81"/>
            <rFont val="Tahoma"/>
            <family val="2"/>
          </rPr>
          <t>MercadosEMI:</t>
        </r>
        <r>
          <rPr>
            <sz val="9"/>
            <color indexed="81"/>
            <rFont val="Tahoma"/>
            <family val="2"/>
          </rPr>
          <t xml:space="preserve">
Interest on Staff welfare fund claimed as Emp Expenses</t>
        </r>
      </text>
    </comment>
  </commentList>
</comments>
</file>

<file path=xl/comments8.xml><?xml version="1.0" encoding="utf-8"?>
<comments xmlns="http://schemas.openxmlformats.org/spreadsheetml/2006/main">
  <authors>
    <author>MercadosEMI</author>
  </authors>
  <commentList>
    <comment ref="D20" authorId="0" shapeId="0">
      <text>
        <r>
          <rPr>
            <b/>
            <sz val="9"/>
            <color indexed="81"/>
            <rFont val="Tahoma"/>
            <family val="2"/>
          </rPr>
          <t>MercadosEMI:</t>
        </r>
        <r>
          <rPr>
            <sz val="9"/>
            <color indexed="81"/>
            <rFont val="Tahoma"/>
            <family val="2"/>
          </rPr>
          <t xml:space="preserve">
Other Gen expenses-Security</t>
        </r>
      </text>
    </comment>
  </commentList>
</comments>
</file>

<file path=xl/comments9.xml><?xml version="1.0" encoding="utf-8"?>
<comments xmlns="http://schemas.openxmlformats.org/spreadsheetml/2006/main">
  <authors>
    <author>MercadosEMI</author>
  </authors>
  <commentList>
    <comment ref="C19" authorId="0" shapeId="0">
      <text>
        <r>
          <rPr>
            <b/>
            <sz val="9"/>
            <color indexed="81"/>
            <rFont val="Tahoma"/>
            <family val="2"/>
          </rPr>
          <t>MercadosEMI:</t>
        </r>
        <r>
          <rPr>
            <sz val="9"/>
            <color indexed="81"/>
            <rFont val="Tahoma"/>
            <family val="2"/>
          </rPr>
          <t xml:space="preserve">
Added</t>
        </r>
      </text>
    </comment>
  </commentList>
</comments>
</file>

<file path=xl/sharedStrings.xml><?xml version="1.0" encoding="utf-8"?>
<sst xmlns="http://schemas.openxmlformats.org/spreadsheetml/2006/main" count="9655" uniqueCount="3084">
  <si>
    <t>Project Details</t>
  </si>
  <si>
    <t>Project Title</t>
  </si>
  <si>
    <t>Project Start Date</t>
  </si>
  <si>
    <t>TOTAL</t>
  </si>
  <si>
    <t>Project Purpose</t>
  </si>
  <si>
    <t>Reference</t>
  </si>
  <si>
    <t>S.No.</t>
  </si>
  <si>
    <t>Actual</t>
  </si>
  <si>
    <t>Project Completion date 
(Scheduled)</t>
  </si>
  <si>
    <t>Revised</t>
  </si>
  <si>
    <t>(Rs. Crore)</t>
  </si>
  <si>
    <t>Original</t>
  </si>
  <si>
    <t>Estimated</t>
  </si>
  <si>
    <t>Form 1</t>
  </si>
  <si>
    <t xml:space="preserve">Capital Expenditure Plan </t>
  </si>
  <si>
    <t>Title</t>
  </si>
  <si>
    <t>Project Code</t>
  </si>
  <si>
    <t>Benefits in Quantified Terms</t>
  </si>
  <si>
    <t>Capitalisation</t>
  </si>
  <si>
    <t>Debt Equity Ratio</t>
  </si>
  <si>
    <t>Projected</t>
  </si>
  <si>
    <t>Capital Expenditure</t>
  </si>
  <si>
    <t>…</t>
  </si>
  <si>
    <t>Approved</t>
  </si>
  <si>
    <t>Source of Loan</t>
  </si>
  <si>
    <t>Remarks</t>
  </si>
  <si>
    <t>Audited</t>
  </si>
  <si>
    <t>Opening Balance of Loan</t>
  </si>
  <si>
    <t>Loan Repayment during the year</t>
  </si>
  <si>
    <t>Closing Balance of Loan</t>
  </si>
  <si>
    <t>Applicable Interest Rate (%)</t>
  </si>
  <si>
    <t>Interest Expenses</t>
  </si>
  <si>
    <t>Gross Interest Expenses</t>
  </si>
  <si>
    <t>Less: Expenses Capitalised</t>
  </si>
  <si>
    <t xml:space="preserve">Net Interest Expenses </t>
  </si>
  <si>
    <t>Particulars</t>
  </si>
  <si>
    <t>Reduction in Equity Capital on account of retirement / replacement of assets</t>
  </si>
  <si>
    <t>Regulatory Equity at the end of the year</t>
  </si>
  <si>
    <t>Form 3</t>
  </si>
  <si>
    <t>Form 4</t>
  </si>
  <si>
    <t>Return on Regulatory Equity</t>
  </si>
  <si>
    <t>Total Capitalisation</t>
  </si>
  <si>
    <t>Expenses Capitalised</t>
  </si>
  <si>
    <t>Interest Capitalised</t>
  </si>
  <si>
    <t>Works Capitalised</t>
  </si>
  <si>
    <t>Closing CWIP</t>
  </si>
  <si>
    <t>Capital Work in Progress</t>
  </si>
  <si>
    <t>Investment during the year</t>
  </si>
  <si>
    <t>Opening CWIP</t>
  </si>
  <si>
    <t>Approved Project Cost</t>
  </si>
  <si>
    <t xml:space="preserve">Form 6: Interest Expenses </t>
  </si>
  <si>
    <t>Aggregate Revenue Requirement - Summary Sheet</t>
  </si>
  <si>
    <t>Energy Charges for Thermal Generation</t>
  </si>
  <si>
    <t>Form 2.1</t>
  </si>
  <si>
    <t>Form 2.2</t>
  </si>
  <si>
    <t>Interest on Working Capital - Thermal Generation</t>
  </si>
  <si>
    <t xml:space="preserve">Form 2.3 </t>
  </si>
  <si>
    <t>Operational Parameters - Hydel Generation</t>
  </si>
  <si>
    <t>Form 2.4</t>
  </si>
  <si>
    <t>Interest on Working Capital - Hydel Generation</t>
  </si>
  <si>
    <t>Form 2.5</t>
  </si>
  <si>
    <t>Planned &amp; Forced Outages</t>
  </si>
  <si>
    <t>Form 2.6</t>
  </si>
  <si>
    <t>Summary of Operations and Maintenance Expenses</t>
  </si>
  <si>
    <t>Form 3.1</t>
  </si>
  <si>
    <t>Form 3.2</t>
  </si>
  <si>
    <t>Form 3.3</t>
  </si>
  <si>
    <t>Form 3.4</t>
  </si>
  <si>
    <t>Form 5</t>
  </si>
  <si>
    <t>Form 6</t>
  </si>
  <si>
    <t>Sales Forecast</t>
  </si>
  <si>
    <t>Form 7</t>
  </si>
  <si>
    <t>Form 8</t>
  </si>
  <si>
    <t>Form 9</t>
  </si>
  <si>
    <t>Form 10</t>
  </si>
  <si>
    <t>Form 11</t>
  </si>
  <si>
    <t>Form 1:  Aggregate Revenue Requirement - Summary Sheet</t>
  </si>
  <si>
    <t>April-March      (Audited )</t>
  </si>
  <si>
    <t>(a)</t>
  </si>
  <si>
    <t>(b)</t>
  </si>
  <si>
    <t>Fuel Related Expenses</t>
  </si>
  <si>
    <t>Operation &amp; Maintenance Expenses</t>
  </si>
  <si>
    <t>Depreciation Expenses</t>
  </si>
  <si>
    <t>Interest on Long-term Loan Capital</t>
  </si>
  <si>
    <t>Interest on Working Capital</t>
  </si>
  <si>
    <t xml:space="preserve">Other Expenses </t>
  </si>
  <si>
    <t>Income Tax</t>
  </si>
  <si>
    <t>Total Revenue Expenditure</t>
  </si>
  <si>
    <t>Add: Return on Equity Capital</t>
  </si>
  <si>
    <t>Less: Non-Tariff Income</t>
  </si>
  <si>
    <t>Aggregate Revenue Requirement</t>
  </si>
  <si>
    <t>Units</t>
  </si>
  <si>
    <t>Operational Parameters</t>
  </si>
  <si>
    <t>Total Capacity</t>
  </si>
  <si>
    <t>MW</t>
  </si>
  <si>
    <t>Target Availability for full recovery of AFC</t>
  </si>
  <si>
    <t>%</t>
  </si>
  <si>
    <t>Target PLF for Incentive</t>
  </si>
  <si>
    <t>MU</t>
  </si>
  <si>
    <t>Net Generation</t>
  </si>
  <si>
    <t>Normative Gross Station Heat Rate</t>
  </si>
  <si>
    <t>kcal/kWh</t>
  </si>
  <si>
    <t>Normative Secondary Fuel Oil Consumption</t>
  </si>
  <si>
    <t>ml/kWh</t>
  </si>
  <si>
    <t>Normative Transit Loss</t>
  </si>
  <si>
    <t>Fuel Parameters (for each primary and secondary fuel)</t>
  </si>
  <si>
    <t>2.1.1</t>
  </si>
  <si>
    <t>kcal/unit</t>
  </si>
  <si>
    <t>2.1.2</t>
  </si>
  <si>
    <t>Fuel 2</t>
  </si>
  <si>
    <t>2.1.3</t>
  </si>
  <si>
    <t>Fuel 3</t>
  </si>
  <si>
    <t>Landed Fuel Price per unit</t>
  </si>
  <si>
    <t>2.2.1</t>
  </si>
  <si>
    <t>Rs/unit</t>
  </si>
  <si>
    <t>2.2.2</t>
  </si>
  <si>
    <t>2.2.3</t>
  </si>
  <si>
    <t>Fuel Consumption and Heat Contribution (for each fuel separately)</t>
  </si>
  <si>
    <t>Specific Fuel Consumption</t>
  </si>
  <si>
    <t>3.1.1</t>
  </si>
  <si>
    <t>3.1.2</t>
  </si>
  <si>
    <t>3.1.3</t>
  </si>
  <si>
    <t>Total Fuel Consumption</t>
  </si>
  <si>
    <t>3.2.1</t>
  </si>
  <si>
    <t>3.2.2</t>
  </si>
  <si>
    <t>3.2.3</t>
  </si>
  <si>
    <t>Heat Content (each fuel separately)</t>
  </si>
  <si>
    <t>3.3.1</t>
  </si>
  <si>
    <t>Million kcal</t>
  </si>
  <si>
    <t>3.3.2</t>
  </si>
  <si>
    <t>3.3.3</t>
  </si>
  <si>
    <t>Total Fuel Cost</t>
  </si>
  <si>
    <t>Rs Crore</t>
  </si>
  <si>
    <t>Other Charges and Adjustments</t>
  </si>
  <si>
    <t>Total Other Charges and Adjustments</t>
  </si>
  <si>
    <t>Rs/kWh</t>
  </si>
  <si>
    <t>Unit</t>
  </si>
  <si>
    <t>Basic Cost</t>
  </si>
  <si>
    <t>Taxes and Duties (pl. specify details)</t>
  </si>
  <si>
    <t>Any other charges</t>
  </si>
  <si>
    <t>Transit Loss</t>
  </si>
  <si>
    <t xml:space="preserve">Note: </t>
  </si>
  <si>
    <t>Norm</t>
  </si>
  <si>
    <r>
      <t>Cost of Secondary Fuel Oil</t>
    </r>
    <r>
      <rPr>
        <vertAlign val="superscript"/>
        <sz val="11"/>
        <rFont val="Times New Roman"/>
        <family val="1"/>
      </rPr>
      <t>1</t>
    </r>
  </si>
  <si>
    <r>
      <t>Fuel Cost</t>
    </r>
    <r>
      <rPr>
        <vertAlign val="superscript"/>
        <sz val="11"/>
        <rFont val="Times New Roman"/>
        <family val="1"/>
      </rPr>
      <t>3</t>
    </r>
  </si>
  <si>
    <r>
      <t>Liquid Fuel Stock</t>
    </r>
    <r>
      <rPr>
        <vertAlign val="superscript"/>
        <sz val="11"/>
        <rFont val="Times New Roman"/>
        <family val="1"/>
      </rPr>
      <t>3</t>
    </r>
  </si>
  <si>
    <t xml:space="preserve">Maintenance Spares </t>
  </si>
  <si>
    <t>Receivables</t>
  </si>
  <si>
    <t>Total Working Capital requirement</t>
  </si>
  <si>
    <t>Computation of working capital interest</t>
  </si>
  <si>
    <t>For Coal based/Lignite based generating stations</t>
  </si>
  <si>
    <t>For Oil based generating stations</t>
  </si>
  <si>
    <t>For Gas Turbine/Combined Cycle generating stations duly taking into account the mode of operation on gas fuel and liquid fuel</t>
  </si>
  <si>
    <t>NAPAF</t>
  </si>
  <si>
    <t>Design Energy</t>
  </si>
  <si>
    <t>Gross Generation</t>
  </si>
  <si>
    <t>Auxiliary Energy Consumption</t>
  </si>
  <si>
    <t xml:space="preserve">Submit this form for each station separately </t>
  </si>
  <si>
    <t>Notes:</t>
  </si>
  <si>
    <t>A.</t>
  </si>
  <si>
    <t>Planned Outages</t>
  </si>
  <si>
    <t>No of days of outage</t>
  </si>
  <si>
    <t>Period of Outage</t>
  </si>
  <si>
    <t>Reasons for Outage</t>
  </si>
  <si>
    <t>B.</t>
  </si>
  <si>
    <t>Forced Outages</t>
  </si>
  <si>
    <t xml:space="preserve">Reasons for Outage </t>
  </si>
  <si>
    <t>A</t>
  </si>
  <si>
    <t>O&amp;M Expenses</t>
  </si>
  <si>
    <t>Employee Expenses</t>
  </si>
  <si>
    <t xml:space="preserve">R&amp;M Expenses </t>
  </si>
  <si>
    <t xml:space="preserve">A&amp;G Expenses </t>
  </si>
  <si>
    <t>Total O&amp;M Expense capitalised</t>
  </si>
  <si>
    <t>A. For Existing Generating Stations</t>
  </si>
  <si>
    <t xml:space="preserve">Employee Expenses </t>
  </si>
  <si>
    <t>Total O&amp;M Expenses</t>
  </si>
  <si>
    <t xml:space="preserve">Unit </t>
  </si>
  <si>
    <t>O&amp;M Norms specified by the Commission</t>
  </si>
  <si>
    <t>200/210/250 MW sets</t>
  </si>
  <si>
    <t>500 MW sets</t>
  </si>
  <si>
    <t>B</t>
  </si>
  <si>
    <t>C</t>
  </si>
  <si>
    <t>Form 3.2: Employee Expenses</t>
  </si>
  <si>
    <t>A. Expenditure details</t>
  </si>
  <si>
    <t>Basic Salary</t>
  </si>
  <si>
    <t>Dearness Allowance (DA)</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</si>
  <si>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</si>
  <si>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</si>
  <si>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</si>
  <si>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</si>
  <si>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</si>
  <si>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</si>
  <si>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</si>
  <si>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</si>
  <si>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</si>
  <si>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</si>
  <si>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</si>
  <si>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</si>
  <si>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</si>
  <si>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</si>
  <si>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</si>
  <si>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</si>
  <si>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</si>
  <si>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</si>
  <si>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</si>
  <si>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Others</t>
  </si>
  <si>
    <t xml:space="preserve">Gross Employee Expenses </t>
  </si>
  <si>
    <t xml:space="preserve">Net Employee Expenses </t>
  </si>
  <si>
    <t>B. Details of number of employees</t>
  </si>
  <si>
    <t>Officer/Managerial Cadre</t>
  </si>
  <si>
    <t>Technical</t>
  </si>
  <si>
    <t>Administrative</t>
  </si>
  <si>
    <t>Accounts and finance</t>
  </si>
  <si>
    <t>Other (Please specify)</t>
  </si>
  <si>
    <t>Staff Cadre</t>
  </si>
  <si>
    <t>Grade I</t>
  </si>
  <si>
    <t>Grade II</t>
  </si>
  <si>
    <t>Grade III</t>
  </si>
  <si>
    <t>Grade IV</t>
  </si>
  <si>
    <t>Others (please specify)</t>
  </si>
  <si>
    <t>Total Employees</t>
  </si>
  <si>
    <t>Form 3.3: Administration &amp; General Expenses</t>
  </si>
  <si>
    <t>Rent Rates &amp; Taxes</t>
  </si>
  <si>
    <t>Insurance</t>
  </si>
  <si>
    <t>Telephone &amp; Postage, etc.</t>
  </si>
  <si>
    <t>Legal charges &amp; Audit fee</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</si>
  <si>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</si>
  <si>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</si>
  <si>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</si>
  <si>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</si>
  <si>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</si>
  <si>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</si>
  <si>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</si>
  <si>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</si>
  <si>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</si>
  <si>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</si>
  <si>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</si>
  <si>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</si>
  <si>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</si>
  <si>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</si>
  <si>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</si>
  <si>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Outsourcing of metering and billing system</t>
  </si>
  <si>
    <t>Freight On Capital Equipments</t>
  </si>
  <si>
    <t>V-sat, Internet and related charges</t>
  </si>
  <si>
    <t>Training</t>
  </si>
  <si>
    <t>Bank Charges</t>
  </si>
  <si>
    <t>Miscellaneous Expenses</t>
  </si>
  <si>
    <t>Office Expenses</t>
  </si>
  <si>
    <t>Gross A &amp;G Expenses</t>
  </si>
  <si>
    <t xml:space="preserve">Net A &amp;G Expenses </t>
  </si>
  <si>
    <t>Form 3.4: Repair &amp; Maintenance Expenses</t>
  </si>
  <si>
    <t>Plant &amp; Machinery</t>
  </si>
  <si>
    <t>Hydraulic Works</t>
  </si>
  <si>
    <t>Lines &amp; Cable Networks</t>
  </si>
  <si>
    <t>Vehicles</t>
  </si>
  <si>
    <t>Furniture &amp; Fixtures</t>
  </si>
  <si>
    <t>Office Equipment</t>
  </si>
  <si>
    <t>Gross R&amp;M Expenses</t>
  </si>
  <si>
    <t>Gross Fixed Assets at beginning of year</t>
  </si>
  <si>
    <t>R&amp;M Expenses as % of GFA at beginning of year</t>
  </si>
  <si>
    <t>Form 5: Assets &amp; Depreciation</t>
  </si>
  <si>
    <t xml:space="preserve">       </t>
  </si>
  <si>
    <t>(A) Gross Fixed Assets</t>
  </si>
  <si>
    <t>Balance at the beginning of the year</t>
  </si>
  <si>
    <t>Additions during the year</t>
  </si>
  <si>
    <t>Retirement of assets during the year</t>
  </si>
  <si>
    <t>Balance at the end of the year</t>
  </si>
  <si>
    <t>Total</t>
  </si>
  <si>
    <t>(B) Depreciation</t>
  </si>
  <si>
    <t>Accumulated depreciation at the beginning of the year</t>
  </si>
  <si>
    <t>Withdrawals during the year</t>
  </si>
  <si>
    <t>Accumulated depreciation at the end of the year</t>
  </si>
  <si>
    <t>Form 8: Sales Forecast</t>
  </si>
  <si>
    <t>(MU)</t>
  </si>
  <si>
    <t>Customer</t>
  </si>
  <si>
    <t>Apr</t>
  </si>
  <si>
    <t>May</t>
  </si>
  <si>
    <t>Jun</t>
  </si>
  <si>
    <t>Jul</t>
  </si>
  <si>
    <t>Aug</t>
  </si>
  <si>
    <t>Sep</t>
  </si>
  <si>
    <t>Oct</t>
  </si>
  <si>
    <t>Nov</t>
  </si>
  <si>
    <t>Dec</t>
  </si>
  <si>
    <t>Jan</t>
  </si>
  <si>
    <t>Feb</t>
  </si>
  <si>
    <t>Mar</t>
  </si>
  <si>
    <t xml:space="preserve">Components of tariff </t>
  </si>
  <si>
    <t>Relevant sales &amp; load/demand data for revenue calculation</t>
  </si>
  <si>
    <t>Full year revenue (Rs. Crore)</t>
  </si>
  <si>
    <t>Sales in MU</t>
  </si>
  <si>
    <t>Item 3 (specify)</t>
  </si>
  <si>
    <t xml:space="preserve">Revenue from Fixed / Capacity Charges </t>
  </si>
  <si>
    <t>Revenue from Energy Charges</t>
  </si>
  <si>
    <t>Income from hire charges from contractors and others</t>
  </si>
  <si>
    <t>Income from advertisements, etc.</t>
  </si>
  <si>
    <t>Revenue</t>
  </si>
  <si>
    <t>Revenue from sale of electricity</t>
  </si>
  <si>
    <t>Fuel Cost Details for Thermal Generation</t>
  </si>
  <si>
    <t>Capitalisation Plan</t>
  </si>
  <si>
    <t>Form 9.1</t>
  </si>
  <si>
    <t>Form 9.2</t>
  </si>
  <si>
    <t>Expected Revenue at Existing Tariff</t>
  </si>
  <si>
    <t>Non-Tariff Income</t>
  </si>
  <si>
    <t>Truing-Up Summary</t>
  </si>
  <si>
    <t>Total Revenue Gap/(Surplus)</t>
  </si>
  <si>
    <t>Actual/Projected Gross Station Heat Rate</t>
  </si>
  <si>
    <t>Actual/Projected Secondary Fuel Oil Consumption</t>
  </si>
  <si>
    <t>Actual/Projected Transit Loss</t>
  </si>
  <si>
    <t>Actual/Projected Annual Plant Availability Factor</t>
  </si>
  <si>
    <t>Form 11:  Non-Tariff Income</t>
  </si>
  <si>
    <t>Other Expenses</t>
  </si>
  <si>
    <t>Form 12</t>
  </si>
  <si>
    <t>Form 10:  Other Expenses</t>
  </si>
  <si>
    <t>FY 2019-20</t>
  </si>
  <si>
    <t>300/330/350 MW</t>
  </si>
  <si>
    <t>Income from investments</t>
  </si>
  <si>
    <t>Income from sale of tender documents</t>
  </si>
  <si>
    <r>
      <t xml:space="preserve">Cost of Coal/Lignite and Limestone towards stock, if applicable </t>
    </r>
    <r>
      <rPr>
        <vertAlign val="superscript"/>
        <sz val="11"/>
        <rFont val="Times New Roman"/>
        <family val="1"/>
      </rPr>
      <t>1</t>
    </r>
  </si>
  <si>
    <r>
      <t xml:space="preserve">Cost of Oil towards stock, if applicable </t>
    </r>
    <r>
      <rPr>
        <vertAlign val="superscript"/>
        <sz val="11"/>
        <rFont val="Times New Roman"/>
        <family val="1"/>
      </rPr>
      <t>2</t>
    </r>
  </si>
  <si>
    <r>
      <t xml:space="preserve">Cost of Oil </t>
    </r>
    <r>
      <rPr>
        <vertAlign val="superscript"/>
        <sz val="11"/>
        <rFont val="Times New Roman"/>
        <family val="1"/>
      </rPr>
      <t>2</t>
    </r>
  </si>
  <si>
    <r>
      <t xml:space="preserve">Cost of coal or lignite and Limestone </t>
    </r>
    <r>
      <rPr>
        <vertAlign val="superscript"/>
        <sz val="11"/>
        <rFont val="Times New Roman"/>
        <family val="1"/>
      </rPr>
      <t>1</t>
    </r>
  </si>
  <si>
    <t>Calorific Value (As received)</t>
  </si>
  <si>
    <t>Interest on Loan Capital</t>
  </si>
  <si>
    <t xml:space="preserve">Depreciation </t>
  </si>
  <si>
    <t>Sharing of Gains/(Losses)</t>
  </si>
  <si>
    <t>Total O&amp;M Expenses after sharing of Gains/(losses)</t>
  </si>
  <si>
    <t>Sr. No.</t>
  </si>
  <si>
    <t>(C ) Net Fixed Assets</t>
  </si>
  <si>
    <t>Addition of Loan during the year</t>
  </si>
  <si>
    <t xml:space="preserve">Sr. No. </t>
  </si>
  <si>
    <t>Form 9:  Revenue from Sale of Electricity</t>
  </si>
  <si>
    <t>Energy Charges (Rs./kWh)</t>
  </si>
  <si>
    <t>Fuel surcharge per unit, if any (Rs./kWh)</t>
  </si>
  <si>
    <t>Fixed / Capacity Charges (Rs. Crore / year)</t>
  </si>
  <si>
    <t>Net Income from supply of electricity by the Generation Company to the housing colonies of its operating staff and supply of electricity by the Generating Company for construction works at generating Station, after adjusting the expenses incurred for supply of such electricity</t>
  </si>
  <si>
    <t>Form 13</t>
  </si>
  <si>
    <t>Form 13:  Truing-up Summary</t>
  </si>
  <si>
    <t>Total Revenue</t>
  </si>
  <si>
    <t>a</t>
  </si>
  <si>
    <t>b</t>
  </si>
  <si>
    <t>e</t>
  </si>
  <si>
    <t>Form 2.7</t>
  </si>
  <si>
    <t>Energy Charge Rate for Hydel Generation</t>
  </si>
  <si>
    <t>c</t>
  </si>
  <si>
    <t>Auxiliary Consumption</t>
  </si>
  <si>
    <t>f</t>
  </si>
  <si>
    <t>g=e*(1-f)</t>
  </si>
  <si>
    <t>h=0.50*a/g</t>
  </si>
  <si>
    <t>Normative Availability (%)</t>
  </si>
  <si>
    <t>Actual Availability (%)</t>
  </si>
  <si>
    <t>Design Energy (MU)</t>
  </si>
  <si>
    <t>Auxiliary Consumption (%)</t>
  </si>
  <si>
    <t>Net Design Energy (MU)</t>
  </si>
  <si>
    <t>Energy Charge Rate (Rs. kWh)</t>
  </si>
  <si>
    <t xml:space="preserve"> </t>
  </si>
  <si>
    <t>Form 1.1: Summary of Tariff Proposal</t>
  </si>
  <si>
    <t>Summary of Tariff Proposal</t>
  </si>
  <si>
    <t>Form 1.1</t>
  </si>
  <si>
    <t>Form 2.1: Operational Parameters for Thermal Generation</t>
  </si>
  <si>
    <t>Availability</t>
  </si>
  <si>
    <t>Plant Load Factor (PLF)</t>
  </si>
  <si>
    <t>Secondary Fuel Oil Consumption</t>
  </si>
  <si>
    <t>Total Heat Content</t>
  </si>
  <si>
    <t>Computation of Working Capital Interest</t>
  </si>
  <si>
    <t>Interest Rate (%) - SBI Base Rate +150 basis points</t>
  </si>
  <si>
    <t xml:space="preserve">O&amp;M expenses </t>
  </si>
  <si>
    <t>Norms</t>
  </si>
  <si>
    <t>Interest Rate (%) - SBI Base Rate +150 Basis Points</t>
  </si>
  <si>
    <t>Form 2.2: Energy Charges for Thermal Generation</t>
  </si>
  <si>
    <t>Form 2.3: Fuel Cost Details for Thermal Generation</t>
  </si>
  <si>
    <t>Form 2.4: Interest on Working Capital - Thermal Generation</t>
  </si>
  <si>
    <t>Form 2.5: Operational Parameters - Hydel Generation</t>
  </si>
  <si>
    <t>Form 2.7: Interest on Working Capital - Hydel Generation</t>
  </si>
  <si>
    <t>Form 2.8: Planned &amp; Forced Outages</t>
  </si>
  <si>
    <t>Form 2.8</t>
  </si>
  <si>
    <t>Operational Parameters-Thermal Generation</t>
  </si>
  <si>
    <t>Total Operation &amp; Maintenance Expenses (Net of Capitalisation)</t>
  </si>
  <si>
    <t>(d)</t>
  </si>
  <si>
    <t>(e )</t>
  </si>
  <si>
    <t>A&amp;G Expenses (including insurance and excluding Water Charges)</t>
  </si>
  <si>
    <t>Form 4.1</t>
  </si>
  <si>
    <t>Form 4.2</t>
  </si>
  <si>
    <t>Opening Balance of Gross Normative Loan</t>
  </si>
  <si>
    <t>Cumulative Repayment till the year</t>
  </si>
  <si>
    <t>Opening Balance of Net Normative Loan</t>
  </si>
  <si>
    <t>Less: Reduction of Normative Loan due to retirement or replacement of assets</t>
  </si>
  <si>
    <t>Closing Balance of Net Normative Loan</t>
  </si>
  <si>
    <t>Closing Balance of Gross Normative Loan</t>
  </si>
  <si>
    <t>A) Normative Loan</t>
  </si>
  <si>
    <t>Financing Charges</t>
  </si>
  <si>
    <t>Return on Equity Computation</t>
  </si>
  <si>
    <t>Total Return on Equity</t>
  </si>
  <si>
    <t>Repayment of Normative loan during the year</t>
  </si>
  <si>
    <t>(e)</t>
  </si>
  <si>
    <t>(g)</t>
  </si>
  <si>
    <t>(h)</t>
  </si>
  <si>
    <t>2.5.1</t>
  </si>
  <si>
    <t>Year</t>
  </si>
  <si>
    <t>IDC</t>
  </si>
  <si>
    <t>2.5.2</t>
  </si>
  <si>
    <t>2.5.3</t>
  </si>
  <si>
    <t>NAPAF (%)</t>
  </si>
  <si>
    <t>………</t>
  </si>
  <si>
    <t>Form 9.2:  Expected Revenue at Existing Tariff</t>
  </si>
  <si>
    <t>Form 9.3:  Expected Revenue at Proposed Tariff</t>
  </si>
  <si>
    <t>S. No.</t>
  </si>
  <si>
    <t>Availability during the month (%)</t>
  </si>
  <si>
    <t>Cumulative Availability (%)</t>
  </si>
  <si>
    <t>Actual PLF during the month (%)</t>
  </si>
  <si>
    <t>Cumulative PLF (%)</t>
  </si>
  <si>
    <t>Gross  Generation (MU)</t>
  </si>
  <si>
    <t>Auxiliary Consumption (MU)</t>
  </si>
  <si>
    <t>Variable Charges Per Unit</t>
  </si>
  <si>
    <t>Fixed Charges During Month</t>
  </si>
  <si>
    <t>Variable Charges Amount</t>
  </si>
  <si>
    <t>Incentive Amount</t>
  </si>
  <si>
    <t>Revenue from sale of power</t>
  </si>
  <si>
    <t>Other recoveries/adjustments</t>
  </si>
  <si>
    <t>Form 9.1:  Reconciliation of Revenue claimed for true up and as per the Audited Accounts</t>
  </si>
  <si>
    <t>Form 9.3</t>
  </si>
  <si>
    <t>Reconciliation of Revenue claimed for true up and as per the Audited Accounts</t>
  </si>
  <si>
    <t>Rs./kWh</t>
  </si>
  <si>
    <t>Rs. Crore</t>
  </si>
  <si>
    <t>Total Revenue as per Audited Accounts</t>
  </si>
  <si>
    <t>Expected Revenue at Proposed Tariff</t>
  </si>
  <si>
    <t>Gross Station Heat Rate</t>
  </si>
  <si>
    <t>True-Up requirement</t>
  </si>
  <si>
    <t>Target Availability (%)</t>
  </si>
  <si>
    <t>Petitioner should submit documentary evidence for actual interest on working capital incurred</t>
  </si>
  <si>
    <t>Legend</t>
  </si>
  <si>
    <t>d=0.50*a*c/b</t>
  </si>
  <si>
    <t>Annual Fixed Cost for Hydel Generating Station (Rs. Crore)</t>
  </si>
  <si>
    <t>Form 2.6: Capacity Charge &amp; Energy Charge Rate - Hydel Generation</t>
  </si>
  <si>
    <t>Capacity Charges (Rs. Crore)</t>
  </si>
  <si>
    <t>(c)</t>
  </si>
  <si>
    <t>R &amp; M Expenses</t>
  </si>
  <si>
    <t>B. For New Generating Stations &amp; Generating Stations that achieved COD after 26.8.2005</t>
  </si>
  <si>
    <t>Installed Capacity</t>
  </si>
  <si>
    <t xml:space="preserve">O&amp;M Expenses </t>
  </si>
  <si>
    <t>Rs. Lakh/MW</t>
  </si>
  <si>
    <t>Addition of Normative Loan due to capitalisation during the year</t>
  </si>
  <si>
    <t>Weighted average Rate of Interest on actual Loans (%)</t>
  </si>
  <si>
    <t>Total Interest &amp; Financing Charges</t>
  </si>
  <si>
    <t>B) Existing Actual Long-term Loans</t>
  </si>
  <si>
    <t>Average Balance of Net Normative Loan</t>
  </si>
  <si>
    <t>Average Loan Balance</t>
  </si>
  <si>
    <t>Income from Sale of Scrap</t>
  </si>
  <si>
    <t>Income from Rents of land or buildings</t>
  </si>
  <si>
    <t>Interest income on advances to suppliers/contractors</t>
  </si>
  <si>
    <t>….</t>
  </si>
  <si>
    <t>Generation above target PLF (MU)</t>
  </si>
  <si>
    <t>Approved Fixed Charges</t>
  </si>
  <si>
    <t>Fuel Surcharge Adjustment</t>
  </si>
  <si>
    <t>Amount of Fuel Surcharge Adjustment</t>
  </si>
  <si>
    <t>Form 4:  Summary of Capital Expenditure and Capitalisation</t>
  </si>
  <si>
    <t>Capitalisation + IDC</t>
  </si>
  <si>
    <t>Summary of Capital Expenditure and Capitalisation</t>
  </si>
  <si>
    <t>Form 4.3</t>
  </si>
  <si>
    <t>Actual Working Capital Interest</t>
  </si>
  <si>
    <t>MERC Approval No.</t>
  </si>
  <si>
    <t>MERC Approval Date</t>
  </si>
  <si>
    <t>Capital Cost</t>
  </si>
  <si>
    <t xml:space="preserve">Actual </t>
  </si>
  <si>
    <t>Actual Capital Cost Incurred</t>
  </si>
  <si>
    <t>MERC Approved Cost</t>
  </si>
  <si>
    <t>Approved Start Date</t>
  </si>
  <si>
    <t>Actual Start Date</t>
  </si>
  <si>
    <t>Approved Date of Completion</t>
  </si>
  <si>
    <t>Actual Date of Completion</t>
  </si>
  <si>
    <t>Cumulative Expenditure Incurred till beginning of the Year</t>
  </si>
  <si>
    <t>Capital Expenditure Capitalised</t>
  </si>
  <si>
    <t xml:space="preserve">Form 4.1: Capital Expenditure Plan </t>
  </si>
  <si>
    <t>FY 2020-21</t>
  </si>
  <si>
    <t>FY 2021-22</t>
  </si>
  <si>
    <t>FY 2022-23</t>
  </si>
  <si>
    <t>FY 2023-24</t>
  </si>
  <si>
    <t>FY 2024-25</t>
  </si>
  <si>
    <t>(f)</t>
  </si>
  <si>
    <t>Type of Thermal Generating Station (Pithead/Non-Pithead)</t>
  </si>
  <si>
    <t>Land</t>
  </si>
  <si>
    <t>Asset as on 1st April 2005</t>
  </si>
  <si>
    <t>Depreciation as on 1st April 2005</t>
  </si>
  <si>
    <t>2005-06</t>
  </si>
  <si>
    <t>2006-07</t>
  </si>
  <si>
    <t>2007-08</t>
  </si>
  <si>
    <t>2008-09</t>
  </si>
  <si>
    <t>2009-10</t>
  </si>
  <si>
    <t>2010-11</t>
  </si>
  <si>
    <t>2011-12</t>
  </si>
  <si>
    <t>2012-13</t>
  </si>
  <si>
    <t>2013-14</t>
  </si>
  <si>
    <t>2014-15</t>
  </si>
  <si>
    <t>2015-16</t>
  </si>
  <si>
    <t>2016-17</t>
  </si>
  <si>
    <t>2017-18</t>
  </si>
  <si>
    <t>2018-19</t>
  </si>
  <si>
    <t>Asset crossing 90% depreciation</t>
  </si>
  <si>
    <t xml:space="preserve">Opening </t>
  </si>
  <si>
    <t>Addition</t>
  </si>
  <si>
    <t>2019-20</t>
  </si>
  <si>
    <t>2020-21</t>
  </si>
  <si>
    <t>2021-22</t>
  </si>
  <si>
    <t>Building</t>
  </si>
  <si>
    <t>Depriciation as on 1st april</t>
  </si>
  <si>
    <t>Remaining Depreciable value</t>
  </si>
  <si>
    <t>Hydraulic</t>
  </si>
  <si>
    <t>Other Civil work</t>
  </si>
  <si>
    <t>Plant and Machinery</t>
  </si>
  <si>
    <t>Lines and Cable Network</t>
  </si>
  <si>
    <t>Vehicle</t>
  </si>
  <si>
    <t>Furniture</t>
  </si>
  <si>
    <t>2022-23</t>
  </si>
  <si>
    <t>2023-24</t>
  </si>
  <si>
    <t>2024-25</t>
  </si>
  <si>
    <t>Capitalisation during the year $</t>
  </si>
  <si>
    <r>
      <t>Less: Payables for Fuel</t>
    </r>
    <r>
      <rPr>
        <vertAlign val="superscript"/>
        <sz val="11"/>
        <rFont val="Times New Roman"/>
        <family val="1"/>
      </rPr>
      <t>4</t>
    </r>
  </si>
  <si>
    <t>Base Rate of Return on Equity</t>
  </si>
  <si>
    <t xml:space="preserve">Return on Regulatory Equity at the beginning of the year </t>
  </si>
  <si>
    <t xml:space="preserve">Return on Regulatory Equity addition during the year </t>
  </si>
  <si>
    <t>Actual Income Tax paid by the Entity #</t>
  </si>
  <si>
    <t>Rate of Pre Tax Return on Equity (%)</t>
  </si>
  <si>
    <t>c = (b/a)</t>
  </si>
  <si>
    <t>Fuel Utilisation Plan</t>
  </si>
  <si>
    <t>Form 16</t>
  </si>
  <si>
    <t>Name of Generating Station/Unit</t>
  </si>
  <si>
    <t>Details of Contracted Source</t>
  </si>
  <si>
    <t>Annual Contracted Quantity</t>
  </si>
  <si>
    <t>Estimated Availability</t>
  </si>
  <si>
    <t xml:space="preserve">Expected Shortage </t>
  </si>
  <si>
    <t>Name of Source</t>
  </si>
  <si>
    <t>Month</t>
  </si>
  <si>
    <t>July</t>
  </si>
  <si>
    <t xml:space="preserve">Nov </t>
  </si>
  <si>
    <t>Water Charges</t>
  </si>
  <si>
    <t>C. Opex Schemes</t>
  </si>
  <si>
    <t>System Automation</t>
  </si>
  <si>
    <t>New Technology</t>
  </si>
  <si>
    <t>I.T. Implementation</t>
  </si>
  <si>
    <t>Calorific Value (As billed)</t>
  </si>
  <si>
    <t>Opex Schemes</t>
  </si>
  <si>
    <t>600 MW sets</t>
  </si>
  <si>
    <t>800 MW sets &amp; above</t>
  </si>
  <si>
    <t xml:space="preserve">600 MW sets </t>
  </si>
  <si>
    <t>Pretax Return on Equity after considering effective Tax rate $$</t>
  </si>
  <si>
    <t>Depreciation Rate for that Year</t>
  </si>
  <si>
    <t>Depreciation during the Year</t>
  </si>
  <si>
    <t>Grant Funding</t>
  </si>
  <si>
    <t>Asset not in use</t>
  </si>
  <si>
    <t>(e) = (a)+(b)-(c)-(d)</t>
  </si>
  <si>
    <t>(i)</t>
  </si>
  <si>
    <t>(k)</t>
  </si>
  <si>
    <t>(l)</t>
  </si>
  <si>
    <t>(m)</t>
  </si>
  <si>
    <t>(n)</t>
  </si>
  <si>
    <t>(q)</t>
  </si>
  <si>
    <t>(r)</t>
  </si>
  <si>
    <t>(s)</t>
  </si>
  <si>
    <r>
      <rPr>
        <b/>
        <sz val="11"/>
        <rFont val="Times New Roman"/>
        <family val="1"/>
      </rPr>
      <t>Note</t>
    </r>
    <r>
      <rPr>
        <sz val="11"/>
        <rFont val="Times New Roman"/>
        <family val="1"/>
      </rPr>
      <t>: Documentary evidence of all assets put to use during the completed Years shall be provided with this format</t>
    </r>
  </si>
  <si>
    <r>
      <rPr>
        <b/>
        <sz val="11"/>
        <rFont val="Times New Roman"/>
        <family val="1"/>
      </rPr>
      <t>Note</t>
    </r>
    <r>
      <rPr>
        <sz val="11"/>
        <rFont val="Times New Roman"/>
        <family val="1"/>
      </rPr>
      <t>: 1. Documentary evidence of all assets put to use during the Year shall be provided with this format</t>
    </r>
  </si>
  <si>
    <r>
      <rPr>
        <b/>
        <sz val="11"/>
        <rFont val="Times New Roman"/>
        <family val="1"/>
      </rPr>
      <t>Note</t>
    </r>
    <r>
      <rPr>
        <sz val="11"/>
        <rFont val="Times New Roman"/>
        <family val="1"/>
      </rPr>
      <t>: Documentary evidence of all assets put to use shall be provided with this format</t>
    </r>
  </si>
  <si>
    <t xml:space="preserve">Regulatory Equity at the beginning of the year </t>
  </si>
  <si>
    <t>Equity portion of capitalisation during the year #</t>
  </si>
  <si>
    <t>Return on Regulatory Equity at the beginning of the year</t>
  </si>
  <si>
    <t>Return on Regulatory Equity addition during the year</t>
  </si>
  <si>
    <t>Formula</t>
  </si>
  <si>
    <t>Total Gross Income of Regulated Entity (Rs. Crore)</t>
  </si>
  <si>
    <t>Base Rate of Return on Equity (%)</t>
  </si>
  <si>
    <t>... ... ...</t>
  </si>
  <si>
    <t>Short Term Loan 3</t>
  </si>
  <si>
    <t>Short Term Loan 2</t>
  </si>
  <si>
    <t>Short Term Loan 1</t>
  </si>
  <si>
    <t>Scheduled Payment against Short Term Loans</t>
  </si>
  <si>
    <t>Long Term Loan 3</t>
  </si>
  <si>
    <t>Long Term Loan 2</t>
  </si>
  <si>
    <t>Scheduled Payment against Long Term Loans</t>
  </si>
  <si>
    <t>% of Amount paid</t>
  </si>
  <si>
    <t>Amount (Rs. Crore)</t>
  </si>
  <si>
    <t>Month/ Date</t>
  </si>
  <si>
    <t>Due date</t>
  </si>
  <si>
    <t>Month/Date</t>
  </si>
  <si>
    <t>Amount Pending (Rs. Crore)</t>
  </si>
  <si>
    <t>Delay in payment (days)</t>
  </si>
  <si>
    <t>Payment made</t>
  </si>
  <si>
    <t>Schedule Payment</t>
  </si>
  <si>
    <t>Payment Efficiency</t>
  </si>
  <si>
    <t>A) Scheduled and Actual Payment</t>
  </si>
  <si>
    <t>Scheduled Payment against Supplies</t>
  </si>
  <si>
    <t>Supplier 1 (Name &amp; Item)</t>
  </si>
  <si>
    <t>Supplier 2 (Name &amp; Item)</t>
  </si>
  <si>
    <t>Supplier 3 (Name &amp; Item)</t>
  </si>
  <si>
    <t>Capacity (Fixed) Charges (Rs. Crore)</t>
  </si>
  <si>
    <t>Detailed Justification shall be provided for variation in approved capital expenditure and capitalisation vis-a-vis actual capital expenditure and capitalisation</t>
  </si>
  <si>
    <t xml:space="preserve">Form 4.2: Capitalisation Plan </t>
  </si>
  <si>
    <t>Form 4.3:  Capital Work-in-progress - Project-wise details</t>
  </si>
  <si>
    <t>Fuel Requirement of Each Unit/Station (MT, MCM)</t>
  </si>
  <si>
    <t>Variable Cost per Unit</t>
  </si>
  <si>
    <t>In High Demand Season</t>
  </si>
  <si>
    <t>Peak Hours</t>
  </si>
  <si>
    <t>Off-Peak Hours</t>
  </si>
  <si>
    <t>In Low Demand Season</t>
  </si>
  <si>
    <t xml:space="preserve">Form 3:  Summary of Operations and Maintenance Expenses </t>
  </si>
  <si>
    <t xml:space="preserve">Administration &amp; General Expenses </t>
  </si>
  <si>
    <t xml:space="preserve">Repair &amp; Maintenance Expenses </t>
  </si>
  <si>
    <t>Operation and Maintenance Expenses - Normative</t>
  </si>
  <si>
    <t>Form 3.1:  Operation and Maintenance Expenses - Normative</t>
  </si>
  <si>
    <t>(i) = (e)+(f)-(g)-(h)</t>
  </si>
  <si>
    <t>(j)</t>
  </si>
  <si>
    <t>(t)</t>
  </si>
  <si>
    <t>(u) = (q)+(r)-(s)-(t)</t>
  </si>
  <si>
    <t>(u)</t>
  </si>
  <si>
    <t>(v)</t>
  </si>
  <si>
    <t>(w)</t>
  </si>
  <si>
    <t>(x)</t>
  </si>
  <si>
    <t>(y) = (u)+(v)-(w)-(x)</t>
  </si>
  <si>
    <t>(y)</t>
  </si>
  <si>
    <t>(z)</t>
  </si>
  <si>
    <t>(aa)</t>
  </si>
  <si>
    <t>(ab)</t>
  </si>
  <si>
    <t>(ac) = (y)+(z)-(aa)-(ab)</t>
  </si>
  <si>
    <t xml:space="preserve">Deviation = Approved - Actual on account of </t>
  </si>
  <si>
    <t>Material Cost (b)</t>
  </si>
  <si>
    <t>IDC (c)</t>
  </si>
  <si>
    <t>Others (d)</t>
  </si>
  <si>
    <t>Total Deviation (a+b+c+d)</t>
  </si>
  <si>
    <t>Change in Scope of Work (a)</t>
  </si>
  <si>
    <t>Revenue from Sale of Electricity</t>
  </si>
  <si>
    <t>(c) = (b) - (a)</t>
  </si>
  <si>
    <t>Scheduled PLF</t>
  </si>
  <si>
    <t>Actual Availability</t>
  </si>
  <si>
    <t>* - Truing Up for FY 2019-20 to be done under MERC MYT Regulations 2015 with reference to amounts approved in the MYT Order for FY 2020-21 to FY 2024-25</t>
  </si>
  <si>
    <t>Stacking Loss</t>
  </si>
  <si>
    <t>Actual/Estimated/Projected Availability</t>
  </si>
  <si>
    <t>1.3.1</t>
  </si>
  <si>
    <t>1.3.2</t>
  </si>
  <si>
    <t>Actual/Estimated/Projected PLF</t>
  </si>
  <si>
    <t>Actual/Estimated/Projected Gross Generation</t>
  </si>
  <si>
    <t>Normative Auxiliary Energy Consumption with FGD</t>
  </si>
  <si>
    <t>Actual/Estimated/Projected Auxiliary Energy Consumption with FGD</t>
  </si>
  <si>
    <t>Actual/Estimated/Projected Net Generation</t>
  </si>
  <si>
    <t>Scheduled Net Generation</t>
  </si>
  <si>
    <t>Scheduled Gross Generation</t>
  </si>
  <si>
    <t>Actual/Estimated/Projected Gross Station Heat Rate</t>
  </si>
  <si>
    <t>Actual/Estimated/Projected Secondary Fuel Oil Consumption</t>
  </si>
  <si>
    <t>Actual/Estimated/Projected Transit Loss</t>
  </si>
  <si>
    <t>Washery Charges</t>
  </si>
  <si>
    <t>Total Washery Charges</t>
  </si>
  <si>
    <t>Third Party Sampling Charges</t>
  </si>
  <si>
    <t>Total Sampling Charges</t>
  </si>
  <si>
    <t>Total Cost (4+5+6+7)</t>
  </si>
  <si>
    <t>Total Price excluding Transit Loss and Stacking Loss</t>
  </si>
  <si>
    <t>Total Price including Transit Loss and Stacking Loss</t>
  </si>
  <si>
    <t>Scheduled Generation (MU)</t>
  </si>
  <si>
    <t xml:space="preserve"> * - In case MYT Order is yet to be issued, then MTR Order values to be captured under this column</t>
  </si>
  <si>
    <t>Receivables#</t>
  </si>
  <si>
    <r>
      <rPr>
        <b/>
        <sz val="11"/>
        <rFont val="Times New Roman"/>
        <family val="1"/>
      </rPr>
      <t>Note</t>
    </r>
    <r>
      <rPr>
        <sz val="11"/>
        <rFont val="Times New Roman"/>
        <family val="1"/>
      </rPr>
      <t>:</t>
    </r>
  </si>
  <si>
    <t>Revised Projected</t>
  </si>
  <si>
    <t>2. Generation Company shall submit certification from the Statutory Auditor for the capping of depreciation at ninety per cent of the allowable capital cost of the asset</t>
  </si>
  <si>
    <t>Additional Return on Equity</t>
  </si>
  <si>
    <t>Additional Rate of Return on Equity for incremental ramp rate (a)</t>
  </si>
  <si>
    <t>no. of days</t>
  </si>
  <si>
    <t>Additional Rate of Return on Equity on account of MTBF (b)</t>
  </si>
  <si>
    <t>Total Additional Return on Equity</t>
  </si>
  <si>
    <t>Additional Return on Equity Computation</t>
  </si>
  <si>
    <t>Incremental Ramp rate over and above 1% per minute#</t>
  </si>
  <si>
    <t>Mean Time Between Failures (MTBF) during the year$</t>
  </si>
  <si>
    <t>Total Additional Rate of Return on Equity (c) = (a) + (b)</t>
  </si>
  <si>
    <t>Year: FY 2022-23</t>
  </si>
  <si>
    <t>Additional Rate of Return on Equity (%)</t>
  </si>
  <si>
    <t>Total Rate of Return on Equity (%)</t>
  </si>
  <si>
    <t>(f)= (d)+(e)</t>
  </si>
  <si>
    <t>g = f /(1-c)</t>
  </si>
  <si>
    <t>Projected Generation (MU)</t>
  </si>
  <si>
    <t>Asset as on 1st April/Asset Addition during the Year</t>
  </si>
  <si>
    <t xml:space="preserve">Any Other Charges (specify part name and unit) </t>
  </si>
  <si>
    <t>Share of Capacity (MW/%)</t>
  </si>
  <si>
    <t>Revenue from Any Other Charge (specify part name)</t>
  </si>
  <si>
    <t>Revenue from Fuel Surcharge</t>
  </si>
  <si>
    <t>2.1.4</t>
  </si>
  <si>
    <t>Fuel 1-coal</t>
  </si>
  <si>
    <t>Fuel 2-Imported Coal</t>
  </si>
  <si>
    <t>Fuel 3-FO</t>
  </si>
  <si>
    <t>Fuel 4-LDO</t>
  </si>
  <si>
    <t>2.2.4</t>
  </si>
  <si>
    <t>2.5.4</t>
  </si>
  <si>
    <t>3.1.4</t>
  </si>
  <si>
    <t>3.2.4</t>
  </si>
  <si>
    <t>3.3.4</t>
  </si>
  <si>
    <t>Coal handling contract charges</t>
  </si>
  <si>
    <t>Siding charges</t>
  </si>
  <si>
    <t>Payments to railway staff</t>
  </si>
  <si>
    <t>Con-Other coal related costs</t>
  </si>
  <si>
    <t>Other coal related costs</t>
  </si>
  <si>
    <t>Demurrage on coal wagons</t>
  </si>
  <si>
    <t>Demurrage on oil wagons</t>
  </si>
  <si>
    <t>Other fuel cost variance A/c Dr. / Cr.</t>
  </si>
  <si>
    <t>Consumption High Speed Diesel Oil</t>
  </si>
  <si>
    <t>Consumption of Oil ( Other )</t>
  </si>
  <si>
    <t>Oil handling contract charges</t>
  </si>
  <si>
    <t>Oil Lubricants</t>
  </si>
  <si>
    <t>7.1.1</t>
  </si>
  <si>
    <t>7.1.2</t>
  </si>
  <si>
    <t>7.1.3</t>
  </si>
  <si>
    <t>Not Applicable for Thermal Power Plant</t>
  </si>
  <si>
    <t>Pay Revision Impact</t>
  </si>
  <si>
    <t xml:space="preserve">      Maharashtra State Power Generation Company Ltd.</t>
  </si>
  <si>
    <t>MYT Petition Formats for Bhusawal Unit 3</t>
  </si>
  <si>
    <t>Tax Rate</t>
  </si>
  <si>
    <t>MSEDCL</t>
  </si>
  <si>
    <t>Coal - Raw Coal</t>
  </si>
  <si>
    <t>Transporation</t>
  </si>
  <si>
    <t>Duties SED</t>
  </si>
  <si>
    <t>Royalty Charges</t>
  </si>
  <si>
    <t>Others STC</t>
  </si>
  <si>
    <t>Others-Energy Clean Charges</t>
  </si>
  <si>
    <t>Others-ED</t>
  </si>
  <si>
    <t>Coal - Imported  Coal</t>
  </si>
  <si>
    <t>Base Price</t>
  </si>
  <si>
    <t>Transportation</t>
  </si>
  <si>
    <t>Local Transportation</t>
  </si>
  <si>
    <t>Taxes</t>
  </si>
  <si>
    <t>Total Imported Coal</t>
  </si>
  <si>
    <t>Oil - LDO</t>
  </si>
  <si>
    <t>Total LDO</t>
  </si>
  <si>
    <t>Oil - FO</t>
  </si>
  <si>
    <t>Total FO</t>
  </si>
  <si>
    <t>Rs./KL</t>
  </si>
  <si>
    <t>D</t>
  </si>
  <si>
    <t>Other Employee Benefits</t>
  </si>
  <si>
    <t>HO/SE Coal/WM</t>
  </si>
  <si>
    <t>Allocation : HO/SE Coal/WM</t>
  </si>
  <si>
    <t xml:space="preserve">Coal handling costs </t>
  </si>
  <si>
    <t>Dep rate</t>
  </si>
  <si>
    <t>Balance useful life</t>
  </si>
  <si>
    <t>True-Up 
requirement</t>
  </si>
  <si>
    <t>MYT 
Order*</t>
  </si>
  <si>
    <t>Revised 
Normative</t>
  </si>
  <si>
    <t>Other charges (NMET/DMF)</t>
  </si>
  <si>
    <t>Taxes (CST/VAT/GST)</t>
  </si>
  <si>
    <t>Others (Discounts)</t>
  </si>
  <si>
    <t>Duties (Excise Duty)</t>
  </si>
  <si>
    <t>Others (Discount)</t>
  </si>
  <si>
    <t>Allowances</t>
  </si>
  <si>
    <t>Civil/Hydraulic, building</t>
  </si>
  <si>
    <t>Pollution control Exp</t>
  </si>
  <si>
    <t>7.1.4</t>
  </si>
  <si>
    <t>7.1.5</t>
  </si>
  <si>
    <t>7.1.6</t>
  </si>
  <si>
    <t>7.1.7</t>
  </si>
  <si>
    <t>7.1.8</t>
  </si>
  <si>
    <t>7.1.9</t>
  </si>
  <si>
    <t>7.1.10</t>
  </si>
  <si>
    <t>7.1.11</t>
  </si>
  <si>
    <t>7.1.12</t>
  </si>
  <si>
    <t>7.1.13</t>
  </si>
  <si>
    <t>Land &amp; Rights</t>
  </si>
  <si>
    <t>Buildings</t>
  </si>
  <si>
    <t>Cooling Towers and Circulating Water Systems</t>
  </si>
  <si>
    <t>Hydraulic works</t>
  </si>
  <si>
    <t>Other &amp; Civil work</t>
  </si>
  <si>
    <t>Batteries</t>
  </si>
  <si>
    <t>Air Conditioning</t>
  </si>
  <si>
    <t>Lines &amp; cable Network</t>
  </si>
  <si>
    <t>Intangibles</t>
  </si>
  <si>
    <t>Other Variable Charges</t>
  </si>
  <si>
    <t>Other Adjustments (Pl. specify details)</t>
  </si>
  <si>
    <t>Variable Charges Amount (Mine Specific)</t>
  </si>
  <si>
    <t>Fuel 3-Washed Coal</t>
  </si>
  <si>
    <t>Fuel 6-LSHS</t>
  </si>
  <si>
    <t>Fuel 7-HSD</t>
  </si>
  <si>
    <t>2.1.5</t>
  </si>
  <si>
    <t>2.1.6</t>
  </si>
  <si>
    <t>2.1.7</t>
  </si>
  <si>
    <t>2.2.5</t>
  </si>
  <si>
    <t>2.2.6</t>
  </si>
  <si>
    <t>2.2.7</t>
  </si>
  <si>
    <t>2.5.5</t>
  </si>
  <si>
    <t>2.5.6</t>
  </si>
  <si>
    <t>2.5.7</t>
  </si>
  <si>
    <t>3.1.5</t>
  </si>
  <si>
    <t>3.1.6</t>
  </si>
  <si>
    <t>3.1.7</t>
  </si>
  <si>
    <t>3.2.5</t>
  </si>
  <si>
    <t>3.2.6</t>
  </si>
  <si>
    <t>3.2.7</t>
  </si>
  <si>
    <t>3.3.5</t>
  </si>
  <si>
    <t>3.3.6</t>
  </si>
  <si>
    <t>3.3.7</t>
  </si>
  <si>
    <t>4.1.1</t>
  </si>
  <si>
    <t>4.1.2</t>
  </si>
  <si>
    <t>4.1.3</t>
  </si>
  <si>
    <t>4.1.4</t>
  </si>
  <si>
    <t>4.1.5</t>
  </si>
  <si>
    <t>4.1.6</t>
  </si>
  <si>
    <t>4.1.7</t>
  </si>
  <si>
    <t>Coal - Washed Coal</t>
  </si>
  <si>
    <t>Rs./MT</t>
  </si>
  <si>
    <t>Others (Washing charges)</t>
  </si>
  <si>
    <t xml:space="preserve">Total Washed Coal </t>
  </si>
  <si>
    <t>E</t>
  </si>
  <si>
    <t>Oil - HSD</t>
  </si>
  <si>
    <t>Others (Additional VAT)</t>
  </si>
  <si>
    <t xml:space="preserve">Total HSD
</t>
  </si>
  <si>
    <t>Oil -LSHS</t>
  </si>
  <si>
    <t>Total LSHS</t>
  </si>
  <si>
    <t>F</t>
  </si>
  <si>
    <t>G</t>
  </si>
  <si>
    <t>unit/kWh</t>
  </si>
  <si>
    <t>unit</t>
  </si>
  <si>
    <t xml:space="preserve">HO Deprciation </t>
  </si>
  <si>
    <t>Communication Equipments</t>
  </si>
  <si>
    <t>I.T. Equipment</t>
  </si>
  <si>
    <t>Software</t>
  </si>
  <si>
    <t>RIGHT TO USE OF KGSC LEASE ASSET STAGE I &amp; II</t>
  </si>
  <si>
    <t>Revenue loss/(gain) due to higher auxiliary consumption</t>
  </si>
  <si>
    <t>Revenue for True Up</t>
  </si>
  <si>
    <t>Add : Pay revision</t>
  </si>
  <si>
    <t>Add : water charges</t>
  </si>
  <si>
    <t>Sharing of Auxiliary Energy Consumption (AEC)</t>
  </si>
  <si>
    <t xml:space="preserve">FY </t>
  </si>
  <si>
    <t>Actual Gross Generation 
(MU)</t>
  </si>
  <si>
    <t>Normative AEC 
%</t>
  </si>
  <si>
    <t>Actual AEC 
%</t>
  </si>
  <si>
    <t>Lesser/ (Additional) energy sale (MU)</t>
  </si>
  <si>
    <t>Rate of Energy Charge 
(Rs. kWh)</t>
  </si>
  <si>
    <t>Revenue Loss due to higher AEC
(Rs. Cr)</t>
  </si>
  <si>
    <t>Sharing of Efficiency (Gain)/Loss</t>
  </si>
  <si>
    <t>To be approved</t>
  </si>
  <si>
    <t>Target Availability</t>
  </si>
  <si>
    <t>Total AFC</t>
  </si>
  <si>
    <t>Less: water charges</t>
  </si>
  <si>
    <t>AFC Reduction</t>
  </si>
  <si>
    <t>Reduced AFC</t>
  </si>
  <si>
    <t>Reduced AFC plus water charges</t>
  </si>
  <si>
    <t>UoM</t>
  </si>
  <si>
    <t>Working of AFC Reduction:</t>
  </si>
  <si>
    <t>Total Employee Expense incl. Pay Revision arrears</t>
  </si>
  <si>
    <t>Form 3:  Summary of Operations and Maintenance Expenses</t>
  </si>
  <si>
    <t xml:space="preserve">Actual IoWC </t>
  </si>
  <si>
    <t>Add : Pay Revision Component</t>
  </si>
  <si>
    <t>Operation &amp; Maintenance Expenses - Normative/actual</t>
  </si>
  <si>
    <t>ś</t>
  </si>
  <si>
    <t>Total AFC claim minus water charges</t>
  </si>
  <si>
    <t>HDS - Peak hours</t>
  </si>
  <si>
    <t>HDS- Off-peak hours</t>
  </si>
  <si>
    <t>LDS- Peak hours</t>
  </si>
  <si>
    <t>LDS- Off-peak hours</t>
  </si>
  <si>
    <t>Actual availability</t>
  </si>
  <si>
    <t>Ensuing Years</t>
  </si>
  <si>
    <t>FY 2025-26</t>
  </si>
  <si>
    <t>FY 2026-27</t>
  </si>
  <si>
    <t>FY 2027-28</t>
  </si>
  <si>
    <t>FY 2028-29</t>
  </si>
  <si>
    <t>FY 2029-30</t>
  </si>
  <si>
    <r>
      <rPr>
        <b/>
        <sz val="11"/>
        <rFont val="Times New Roman"/>
        <family val="1"/>
      </rPr>
      <t>Note</t>
    </r>
    <r>
      <rPr>
        <sz val="11"/>
        <rFont val="Times New Roman"/>
        <family val="1"/>
      </rPr>
      <t xml:space="preserve">: </t>
    </r>
  </si>
  <si>
    <t>Ensuing Year FY 2025-26</t>
  </si>
  <si>
    <t>Ensuing Year FY 2026-27</t>
  </si>
  <si>
    <t>Ensuing Year FY 2027-28</t>
  </si>
  <si>
    <t>Ensuing Year FY 2028-29</t>
  </si>
  <si>
    <t>Ensuing Year FY 2029-30</t>
  </si>
  <si>
    <t>Normative</t>
  </si>
  <si>
    <t>Normative Auxiliary Energy Consumption (Base)</t>
  </si>
  <si>
    <t>Normative Additional Aux: Selective Catalytic Reduction system</t>
  </si>
  <si>
    <t>Normative Additional Aux: Total</t>
  </si>
  <si>
    <t>Actual/Estimated/Projected: Selective Catalytic Reduction system</t>
  </si>
  <si>
    <t>Actual/Projected Auxiliary Energy Consumption - Total</t>
  </si>
  <si>
    <t>Normative  Aux COnsumption: Total</t>
  </si>
  <si>
    <t>Actual/Estimated/Projected Auxiliary Energy Consumption - Base</t>
  </si>
  <si>
    <t>Actual/normative/Projected Auxiliary Energy Consumption - Total</t>
  </si>
  <si>
    <t>Actual/Normative/Projected Auxiliary Energy Consumption with FGD</t>
  </si>
  <si>
    <t>Actual/Normative/Estimated/Projected Net Generation</t>
  </si>
  <si>
    <t>Normative Auxiliary Energy Consumption Base</t>
  </si>
  <si>
    <t>Actual/Estimated/Projected Auxiliary Energy Consumption Base</t>
  </si>
  <si>
    <t>Actual/Estimated Auxiliary Energy Consumption with FGD</t>
  </si>
  <si>
    <t>Actual/Estimated Additional Aux: Selective Catalytic Reduction system</t>
  </si>
  <si>
    <t>Actual/Estimated Additional Aux: Total</t>
  </si>
  <si>
    <t>Actual/Estimated/Projected/Normative Auxiliary Energy Consumption Base</t>
  </si>
  <si>
    <t>Actual/Estimated/Normative  Auxiliary Energy Consumption with FGD</t>
  </si>
  <si>
    <t>Actual/Estimated/Normative  Additional Aux: Selective Catalytic Reduction system</t>
  </si>
  <si>
    <t>Actual/Estimated/Normative  Additional Aux: Total</t>
  </si>
  <si>
    <t>B) Fifth Control Period</t>
  </si>
  <si>
    <t>Year:</t>
  </si>
  <si>
    <t>FY 2025-26 Projection</t>
  </si>
  <si>
    <t>FY 2026-27 Projection</t>
  </si>
  <si>
    <t>FY 2027-28 Projection</t>
  </si>
  <si>
    <t>FY 2028-29 Projection</t>
  </si>
  <si>
    <t>FY 2029-30 Projection</t>
  </si>
  <si>
    <t>Maintenance Spares (% of Opg GFA)</t>
  </si>
  <si>
    <t>A) FY 2022-23</t>
  </si>
  <si>
    <t>Pay Revisiosn Impact</t>
  </si>
  <si>
    <t>Esc Rate</t>
  </si>
  <si>
    <t xml:space="preserve">Form 7:  Base Return on Regulatory Equity </t>
  </si>
  <si>
    <t>Supplementary bill</t>
  </si>
  <si>
    <t xml:space="preserve">Ceiling AFC for recovery </t>
  </si>
  <si>
    <t>High Demand-Peak</t>
  </si>
  <si>
    <t>High Demand-Off Peak</t>
  </si>
  <si>
    <t>Low Demand-Peak</t>
  </si>
  <si>
    <t>Low Demand-Off Peak</t>
  </si>
  <si>
    <t xml:space="preserve">AFC recoverable without  adjustment as per Regulation 50.4 </t>
  </si>
  <si>
    <t xml:space="preserve">Shortfall in recovery during off peak hours </t>
  </si>
  <si>
    <t>Notional overrecovery in peak hours (Rs. Crore)</t>
  </si>
  <si>
    <t>Adjustment as per Regulation 50.4 (Rs. Crore)</t>
  </si>
  <si>
    <t>Price variation 71 Group</t>
  </si>
  <si>
    <t>Payments to railway staff-Fixed</t>
  </si>
  <si>
    <t xml:space="preserve">Material Variance cost - O &amp; M                    </t>
  </si>
  <si>
    <t xml:space="preserve">Income of LD recovery-Reduced from R&amp; M </t>
  </si>
  <si>
    <t>Commission to agents</t>
  </si>
  <si>
    <t>Consumption Lubricants &amp; consumables</t>
  </si>
  <si>
    <t>Consumption Lubricants &amp; consumables-Fi</t>
  </si>
  <si>
    <t>Commission to agents-Fixed</t>
  </si>
  <si>
    <t>Demurrage on oil receipts</t>
  </si>
  <si>
    <t>Net Revenue Requirement</t>
  </si>
  <si>
    <t>MYT Petition Formats - Generation</t>
  </si>
  <si>
    <t>Form 15:  Depreciation Schedule Assets</t>
  </si>
  <si>
    <t>2025-26</t>
  </si>
  <si>
    <t>2026-27</t>
  </si>
  <si>
    <t>2027-28</t>
  </si>
  <si>
    <t>2028-29</t>
  </si>
  <si>
    <t>2029-30</t>
  </si>
  <si>
    <t>MYT Formats - Generation</t>
  </si>
  <si>
    <t>Form 18: Special Allowance</t>
  </si>
  <si>
    <t>Generating Stations</t>
  </si>
  <si>
    <t>Fuel Type/Hydro</t>
  </si>
  <si>
    <t>Capacity (MW)</t>
  </si>
  <si>
    <t>Date of COD</t>
  </si>
  <si>
    <t>Year of 
completion 
of useful life 
of 25 years</t>
  </si>
  <si>
    <t>Ensuing Years (Rs Lakh)</t>
  </si>
  <si>
    <t>XXX</t>
  </si>
  <si>
    <t>Unit 1</t>
  </si>
  <si>
    <t>xxx</t>
  </si>
  <si>
    <t>As per Regulation 44.3, the Special Allowance admissible to a generating station shall be maximum upto INR 10.75 lakh per MW per year for the control period.</t>
  </si>
  <si>
    <t>Form 19: PLF Incentive</t>
  </si>
  <si>
    <t>Capacity</t>
  </si>
  <si>
    <t>Normative Availability</t>
  </si>
  <si>
    <t>Actual Availability during peak hours</t>
  </si>
  <si>
    <t>Actual Availability during off-peak hours</t>
  </si>
  <si>
    <t>Normative Generation during peak hours</t>
  </si>
  <si>
    <t>Normative Generation during off-peak hours</t>
  </si>
  <si>
    <t>Actual Generation during peak hours</t>
  </si>
  <si>
    <t>Actual Generation during off-peak hours</t>
  </si>
  <si>
    <t>Excess Energy during peak hours</t>
  </si>
  <si>
    <t>Excess Energy during off-peak hours</t>
  </si>
  <si>
    <t>Incentive during peak hours</t>
  </si>
  <si>
    <t>Rs/Unit</t>
  </si>
  <si>
    <t>Incentive during off peak hours</t>
  </si>
  <si>
    <t>Total Incentive</t>
  </si>
  <si>
    <t>Form 5.1 (N): Assets &amp; Depreciation - New Schemes  (not covered under Existing Assets)</t>
  </si>
  <si>
    <t>(m) = (i)+(j)-(k)-(l)</t>
  </si>
  <si>
    <t>(o)</t>
  </si>
  <si>
    <t>(p)</t>
  </si>
  <si>
    <t>(q) = (m)+(n)-(o)-(p)</t>
  </si>
  <si>
    <t>(u)=(q)+(r)</t>
  </si>
  <si>
    <t>Capital Cost Approval Petition Formats - Generation</t>
  </si>
  <si>
    <t>Form 14.1 - Project Schedule</t>
  </si>
  <si>
    <t>Scheduled Date of Commercial Operation</t>
  </si>
  <si>
    <t>Actual Date of Commercial Operation</t>
  </si>
  <si>
    <t>Reasons for Delay, if any</t>
  </si>
  <si>
    <t>Liquidated Damages recoverable as per provisions of Contract*</t>
  </si>
  <si>
    <r>
      <rPr>
        <b/>
        <sz val="11"/>
        <rFont val="Times New Roman"/>
        <family val="1"/>
      </rPr>
      <t>Note</t>
    </r>
    <r>
      <rPr>
        <sz val="11"/>
        <rFont val="Times New Roman"/>
        <family val="1"/>
      </rPr>
      <t>: * Copies of Contract to be submitted</t>
    </r>
  </si>
  <si>
    <t>Form 14.2 - Abstract of Capital Cost</t>
  </si>
  <si>
    <t>Capital Cost as per Original Estimates*</t>
  </si>
  <si>
    <t>… … …</t>
  </si>
  <si>
    <t>Capital Cost excluding IDC &amp; Financing Charges</t>
  </si>
  <si>
    <t>Component 1</t>
  </si>
  <si>
    <t>Component 2</t>
  </si>
  <si>
    <t>Capital cost excluding IDC &amp; Financing Charges</t>
  </si>
  <si>
    <t>Interest During Construction (IDC) &amp; Financing Charges (FC)</t>
  </si>
  <si>
    <t>Total IDC &amp; FC</t>
  </si>
  <si>
    <t>Capital cost Including IDC &amp; Financing Charges</t>
  </si>
  <si>
    <t>Note: * Original Estimate of Capital Cost to be submitted for the Units for which Capital Cost approval is being sought</t>
  </si>
  <si>
    <t>Form 14.3 - Break-up of Capital Cost</t>
  </si>
  <si>
    <t xml:space="preserve">Break Down </t>
  </si>
  <si>
    <t>Break up of Capital Cost</t>
  </si>
  <si>
    <t xml:space="preserve">Variation </t>
  </si>
  <si>
    <t>Reasons for Variation</t>
  </si>
  <si>
    <t>Ordering Cost</t>
  </si>
  <si>
    <t>Contractors</t>
  </si>
  <si>
    <t>Foreign Currency Component (Specify Currency)</t>
  </si>
  <si>
    <t>Domestic Component</t>
  </si>
  <si>
    <t>Total Cost</t>
  </si>
  <si>
    <t>(c) = (a) + (b)</t>
  </si>
  <si>
    <t>(f) = (d) + (e)</t>
  </si>
  <si>
    <t xml:space="preserve">Cost of Land &amp; Site Development  </t>
  </si>
  <si>
    <t>Plant &amp; Equipment (BTG)</t>
  </si>
  <si>
    <t>2.1.8</t>
  </si>
  <si>
    <t>2.2.8</t>
  </si>
  <si>
    <t>2.2.9</t>
  </si>
  <si>
    <t>Initial spares</t>
  </si>
  <si>
    <t>Construction &amp; Pre- Commissioning Expenses</t>
  </si>
  <si>
    <t>Capital cost Excluding IDC &amp; FC</t>
  </si>
  <si>
    <t>Capital cost including IDC &amp; FC</t>
  </si>
  <si>
    <t>Form 14.4 : Break up of Construction / Supply / Services / Package</t>
  </si>
  <si>
    <t>Name / No. of Construction / Supply / Service Package</t>
  </si>
  <si>
    <t>Scope of works (in line with head of cost break-ups as applicable)</t>
  </si>
  <si>
    <t>Whether awarded through ICB/DCB/Departmentally</t>
  </si>
  <si>
    <t>No. of bids recd.</t>
  </si>
  <si>
    <t>Date of Award</t>
  </si>
  <si>
    <t>Date of Start of Work</t>
  </si>
  <si>
    <t>Scheduled date of completion of work</t>
  </si>
  <si>
    <t>Actual date of completion of work</t>
  </si>
  <si>
    <t>Value of Award in Rs. Crore</t>
  </si>
  <si>
    <t>Firm or with Escalation in prices</t>
  </si>
  <si>
    <t>Total incl. Price Variation</t>
  </si>
  <si>
    <t>Actual expenditure till the completion or upto COD whichever is earlier (Rs. Crore)</t>
  </si>
  <si>
    <t>Form 14.5 : Financial Package</t>
  </si>
  <si>
    <t>Project Cost as on COD (Rs Crore): _______________</t>
  </si>
  <si>
    <t>Date of Commercial Operation of the Station: _________________</t>
  </si>
  <si>
    <t>Original Financial Package</t>
  </si>
  <si>
    <t>Financial Package as on COD of Unit- Name 1</t>
  </si>
  <si>
    <t>Financial Package as on COD of Unit- Name 2</t>
  </si>
  <si>
    <t>Financial Package as on COD of Unit-…</t>
  </si>
  <si>
    <t>Financial Package as on COD (Consolidated)</t>
  </si>
  <si>
    <t xml:space="preserve">Currency </t>
  </si>
  <si>
    <t>Amount in foreign currency (for foreign loans)</t>
  </si>
  <si>
    <t>Equivalent Amount in Rs Crore</t>
  </si>
  <si>
    <t>Currency</t>
  </si>
  <si>
    <t>Loan</t>
  </si>
  <si>
    <t>Total Loan</t>
  </si>
  <si>
    <t>Equity-</t>
  </si>
  <si>
    <t>Foreign</t>
  </si>
  <si>
    <t xml:space="preserve">Domestic </t>
  </si>
  <si>
    <t>Internal Accurals</t>
  </si>
  <si>
    <t>Total Equity</t>
  </si>
  <si>
    <t>Undischarged Liabilities</t>
  </si>
  <si>
    <t>Debt : Equity Ratio (Excluding Undischarged Liabilities)</t>
  </si>
  <si>
    <t>Note : Please submit copy of sanction letters/Loan Agreements for each loan</t>
  </si>
  <si>
    <t>Form 14.6 : Details of Loans</t>
  </si>
  <si>
    <t>Loan Source</t>
  </si>
  <si>
    <t>Source of Loan/Name of Agency</t>
  </si>
  <si>
    <t>Amount of Loan sanctioned (Rs. Crore)</t>
  </si>
  <si>
    <t>Amount of Gross Loan drawn upto COD (Rs. Crore)</t>
  </si>
  <si>
    <t>Interest Type1</t>
  </si>
  <si>
    <t>Fixed Interest Rate, if applicable</t>
  </si>
  <si>
    <t>Base Rate, if Floating Interest2</t>
  </si>
  <si>
    <t>Margin, if Floating Interest3</t>
  </si>
  <si>
    <t>Are there any Caps/Floor4</t>
  </si>
  <si>
    <t>If above is yes,specify caps/floor</t>
  </si>
  <si>
    <t>Moratorium Period5</t>
  </si>
  <si>
    <t>Moratorium effective from</t>
  </si>
  <si>
    <t>Repayment Period6</t>
  </si>
  <si>
    <t>Repayment effective from</t>
  </si>
  <si>
    <t>Repayment Frequency7</t>
  </si>
  <si>
    <t>Repayment Instalment8,9,10</t>
  </si>
  <si>
    <t>Base Exchange Rate15</t>
  </si>
  <si>
    <t>1 Interest type means whether the interest is fixed or floating.</t>
  </si>
  <si>
    <t>2 Base rate means the base as PLR, LIBOR etc. over which the margin is to be added. Applicable base rate on different dates from the date of drawal may also be enclosed.</t>
  </si>
  <si>
    <t>3 Margin means the points over and above the floating rate.</t>
  </si>
  <si>
    <t>4 At times caps/floor are put at which the floating rates are frozen. If such a condition exists, specify the limits.</t>
  </si>
  <si>
    <t>5 Moratorium period refers to the period during which loan repayment is not required.</t>
  </si>
  <si>
    <t>6 Repayment period means the repayment of loan such as  10 years, 15 years etc.</t>
  </si>
  <si>
    <t>7 Repayment frequency means the interval at which the debt servicing is to be done such as monthly, quarterly, half yearly, etc</t>
  </si>
  <si>
    <t>8 Where there is more than one drawal/repayment for a loan, the date &amp; amount of each drawal/repayement may also be given seperately</t>
  </si>
  <si>
    <t>9 If the repayment  instalment amount and repayment date  can not be worked out from the data furnished above, the repayment schedule to be  furnished seperately.</t>
  </si>
  <si>
    <t>10 In case of Foreign loan,date of each  drawal &amp; repayment alongwith exchange rate at that date may be given.</t>
  </si>
  <si>
    <t xml:space="preserve">11 Base exchange rate means the exchange rate prevailing as on COD </t>
  </si>
  <si>
    <t>Form 14.7: Details of Additional Capitalisation after COD</t>
  </si>
  <si>
    <t xml:space="preserve">Work/Equipment added after COD </t>
  </si>
  <si>
    <t>Amount Capitalised / Proposed to be capitalised</t>
  </si>
  <si>
    <t>Justification</t>
  </si>
  <si>
    <t xml:space="preserve">A. </t>
  </si>
  <si>
    <t>Upto Cut off Date</t>
  </si>
  <si>
    <t>After Cut off Date</t>
  </si>
  <si>
    <t>Form 14.8: Financing Additional Capitalisation</t>
  </si>
  <si>
    <t>Financial Year (Starting from COD)</t>
  </si>
  <si>
    <t>Not Applicable</t>
  </si>
  <si>
    <t>Amount capitalised</t>
  </si>
  <si>
    <t>Financing Details</t>
  </si>
  <si>
    <t>Equity</t>
  </si>
  <si>
    <t>Internal Resources</t>
  </si>
  <si>
    <t>Others (Pls provide details)</t>
  </si>
  <si>
    <t>Form 14.9: Drawdown Schedule and Computation of IDC and Financing Charges</t>
  </si>
  <si>
    <t>Sl. No.</t>
  </si>
  <si>
    <t>Financial Year</t>
  </si>
  <si>
    <t>Draw Down</t>
  </si>
  <si>
    <t>Q-1</t>
  </si>
  <si>
    <t>Q-2</t>
  </si>
  <si>
    <t>Q-3</t>
  </si>
  <si>
    <t>Q-4</t>
  </si>
  <si>
    <t>Loans</t>
  </si>
  <si>
    <t xml:space="preserve">Draw down Amount </t>
  </si>
  <si>
    <t>Cumulative</t>
  </si>
  <si>
    <t>Financing charges/Guarantee Fee</t>
  </si>
  <si>
    <t>Other (pls provide details)</t>
  </si>
  <si>
    <t>Total Loans</t>
  </si>
  <si>
    <t>Equity drawn</t>
  </si>
  <si>
    <t>Domestic/Foreign</t>
  </si>
  <si>
    <t xml:space="preserve">Internal Accruals </t>
  </si>
  <si>
    <t>Total equity deployed</t>
  </si>
  <si>
    <t xml:space="preserve">Total Assets &amp; Depreciation </t>
  </si>
  <si>
    <t>Assets &amp; Depreciation  - Existing Schemes (CoD on or before the March 31, 2025 or Assets in-principally approved  before the notification of MERC MYT Regulations 2024)</t>
  </si>
  <si>
    <t>Form 5.1 (E)</t>
  </si>
  <si>
    <t>Assets &amp; Depreciation - New Schemes  (not covered under Existing Assets)</t>
  </si>
  <si>
    <t>Form 5.2 (N)</t>
  </si>
  <si>
    <t>Capital Cost Approval*</t>
  </si>
  <si>
    <t>Project Schedule</t>
  </si>
  <si>
    <t>Form 14.1</t>
  </si>
  <si>
    <t>Abstract of Capital Cost</t>
  </si>
  <si>
    <t>Form 14.2</t>
  </si>
  <si>
    <t>Breakup of Capital Cost</t>
  </si>
  <si>
    <t>Form 14.3</t>
  </si>
  <si>
    <t>Breakup of Construction/Supply/Services/Packages</t>
  </si>
  <si>
    <t>Form 14.4</t>
  </si>
  <si>
    <t>Financial Package</t>
  </si>
  <si>
    <t>Form 14.5</t>
  </si>
  <si>
    <t>Details of Loans</t>
  </si>
  <si>
    <t>Form 14.6</t>
  </si>
  <si>
    <t>Details of Additional Capitalisation after COD</t>
  </si>
  <si>
    <t>Form 14.7</t>
  </si>
  <si>
    <t>Financing of Additional Capitalisation</t>
  </si>
  <si>
    <t>Form 14.8</t>
  </si>
  <si>
    <t>Drawdown Schedule and Computation of IDC and Financing Charges</t>
  </si>
  <si>
    <t>Form 14.9</t>
  </si>
  <si>
    <t>Depreciation Schedule before 31 March 2025</t>
  </si>
  <si>
    <t>Form 15.1</t>
  </si>
  <si>
    <t>Depreciation Schedule after 1 April 2025</t>
  </si>
  <si>
    <t>Form 15.2</t>
  </si>
  <si>
    <t>Form 17</t>
  </si>
  <si>
    <t>Special Allowance</t>
  </si>
  <si>
    <t>Form 18</t>
  </si>
  <si>
    <t>Incentive</t>
  </si>
  <si>
    <t>Form 19</t>
  </si>
  <si>
    <r>
      <rPr>
        <b/>
        <sz val="10"/>
        <rFont val="Times New Roman"/>
        <family val="1"/>
      </rPr>
      <t>Note</t>
    </r>
    <r>
      <rPr>
        <sz val="10"/>
        <rFont val="Times New Roman"/>
        <family val="1"/>
      </rPr>
      <t>: * Applicable only for new Generation Project for which Provisional/Final tariff approval is being sought</t>
    </r>
  </si>
  <si>
    <t xml:space="preserve">Form 5= Form 5.1 (E) + Form 5.1 (N) : Total Assets &amp; Depreciation for assets </t>
  </si>
  <si>
    <t>(ac)</t>
  </si>
  <si>
    <t>(ad)</t>
  </si>
  <si>
    <t>(ae)</t>
  </si>
  <si>
    <t>(af)</t>
  </si>
  <si>
    <t>(ag) = (ac)+(ad)-(ae)-(af)</t>
  </si>
  <si>
    <t>Calorific Value (As Fired) Imported</t>
  </si>
  <si>
    <t>Fuel 4 - GP II</t>
  </si>
  <si>
    <t>Fuel 5 - Biomass Pellets</t>
  </si>
  <si>
    <t>2.1.9</t>
  </si>
  <si>
    <t>2.5.8</t>
  </si>
  <si>
    <t>2.5.9</t>
  </si>
  <si>
    <t>3.1.8</t>
  </si>
  <si>
    <t>3.1.9</t>
  </si>
  <si>
    <t>3.2.8</t>
  </si>
  <si>
    <t>3.2.9</t>
  </si>
  <si>
    <t>3.3.8</t>
  </si>
  <si>
    <t>3.3.9</t>
  </si>
  <si>
    <t>4.1.8</t>
  </si>
  <si>
    <t>4.1.9</t>
  </si>
  <si>
    <t>Coal - GP II</t>
  </si>
  <si>
    <t>Total GP II Coal</t>
  </si>
  <si>
    <t>Biomass Pellet</t>
  </si>
  <si>
    <t>Total Biomass Pellet</t>
  </si>
  <si>
    <t>Fuel Related Expenses - ECS</t>
  </si>
  <si>
    <t>O&amp;M Charges - ECS</t>
  </si>
  <si>
    <t>Interest on Working Capital - ECS</t>
  </si>
  <si>
    <t>Interest on Working capital - towards Emission Control System</t>
  </si>
  <si>
    <t>Cost of limestone/reagent towards stock - 20 days</t>
  </si>
  <si>
    <t>Advance payment for 30 days towards cost of reagent - 30 days</t>
  </si>
  <si>
    <t>Normative O&amp;M expense in respect of Emission Control system for one month</t>
  </si>
  <si>
    <t>Maintenance Spares  (% of capitalisation)</t>
  </si>
  <si>
    <t>Total Working Capital Requirement - ECS</t>
  </si>
  <si>
    <t>Rate of IoWC</t>
  </si>
  <si>
    <t>O&amp;M Expenses towards Emission Control System (ECS)</t>
  </si>
  <si>
    <t>Capitalisation towards FGD (excl. IDC)</t>
  </si>
  <si>
    <t>Capitalisation towards SCR (excl. IDC)</t>
  </si>
  <si>
    <t>Trued up O&amp;M expense*</t>
  </si>
  <si>
    <t>5-Year Average</t>
  </si>
  <si>
    <t>Normative#</t>
  </si>
  <si>
    <t xml:space="preserve">(c) </t>
  </si>
  <si>
    <t xml:space="preserve">(e) </t>
  </si>
  <si>
    <t>(f) =               [(a)+(b)+(c)+(d)+(e)]/5</t>
  </si>
  <si>
    <t>Ensuing Period</t>
  </si>
  <si>
    <t>[K x SHR x S/CVPF] x [85/LP]</t>
  </si>
  <si>
    <t>FY 25-26</t>
  </si>
  <si>
    <t>FY 26-27</t>
  </si>
  <si>
    <t>FY 27-28</t>
  </si>
  <si>
    <t>FY 28-29</t>
  </si>
  <si>
    <t>FY 29-30</t>
  </si>
  <si>
    <t>SHR (kCal/kWh)</t>
  </si>
  <si>
    <t>GCV (kCal/kg)</t>
  </si>
  <si>
    <t>CVPF (kCal/kg)</t>
  </si>
  <si>
    <t>S (%)</t>
  </si>
  <si>
    <t>SO2 Emission norm 
(100/200 mg/Nm3; 600 mg/Nm3)</t>
  </si>
  <si>
    <t>% as per SO2 Emission norm</t>
  </si>
  <si>
    <t>Multiplication Factor</t>
  </si>
  <si>
    <t>Design SO2 removal efficiency</t>
  </si>
  <si>
    <t>K</t>
  </si>
  <si>
    <t>Sp. Limestone consumption (g/kWh)</t>
  </si>
  <si>
    <t>Reagent Cost and Requirement</t>
  </si>
  <si>
    <t>Gross Generation (MU)</t>
  </si>
  <si>
    <t>Reagent</t>
  </si>
  <si>
    <t>Total Reagent Req. (T)</t>
  </si>
  <si>
    <t>Reagent Cost per Ton</t>
  </si>
  <si>
    <t>Total Reagent Cost (Rs.Cr)</t>
  </si>
  <si>
    <t>Ammonia Consumption and Cost of SCR system</t>
  </si>
  <si>
    <t>Sp. Ammonia Req. (g/kWh)</t>
  </si>
  <si>
    <t>Total Ammonia Req. (T)</t>
  </si>
  <si>
    <t>Ammonia Cost per Ton</t>
  </si>
  <si>
    <t>Total Ammonia Cost (Rs.Cr)</t>
  </si>
  <si>
    <t>Total Variable Cost - ECS</t>
  </si>
  <si>
    <t>Interest on Loan Capital - HO Assets</t>
  </si>
  <si>
    <t>Add: Return on Equity Capital - HO Assets</t>
  </si>
  <si>
    <t>Escalation</t>
  </si>
  <si>
    <t>Actual stacking loss (Wt.Average)</t>
  </si>
  <si>
    <t>(c )</t>
  </si>
  <si>
    <t>(d) = (c) - (b)</t>
  </si>
  <si>
    <t>Capitalization</t>
  </si>
  <si>
    <t>Form 12 A: Income Tax Rate for Truing-up Years for Fifth Control Period</t>
  </si>
  <si>
    <t>Income Tax Rate of the Company (%) $</t>
  </si>
  <si>
    <r>
      <rPr>
        <b/>
        <sz val="11"/>
        <rFont val="Times New Roman"/>
        <family val="1"/>
      </rPr>
      <t>Note</t>
    </r>
    <r>
      <rPr>
        <sz val="11"/>
        <rFont val="Times New Roman"/>
        <family val="1"/>
      </rPr>
      <t>: # Actual tax paid on income from any other regulated or unregulated Business or Other Business shall be excluded for the calculation of Income Tax rate. Income tax paid on incentive, efficiency gains, Delayed Payment Charges, Interest on Delayed Payment, Income from Other Business, Income from any other source not considered in ARR is to be excluded from actual Income Tax paid, and shown separately</t>
    </r>
  </si>
  <si>
    <t xml:space="preserve">$ In case Entity is paying Minimum Alternate Tax (MAT), the Income Tax rate shall be considered as MAT rate including surcharge and cess </t>
  </si>
  <si>
    <t xml:space="preserve">* The lastest available approved income tax rate shall be considered. </t>
  </si>
  <si>
    <t>Form 12 (B):  Computation of Income Tax Rate for Fifth Control Period</t>
  </si>
  <si>
    <t>Income Tax Rate of the Company (%) *</t>
  </si>
  <si>
    <t>Rate of Return on Equity (%)</t>
  </si>
  <si>
    <t>c = b /(1-a)</t>
  </si>
  <si>
    <r>
      <rPr>
        <b/>
        <sz val="11"/>
        <color rgb="FF000000"/>
        <rFont val="Times New Roman"/>
        <family val="1"/>
      </rPr>
      <t>Note</t>
    </r>
    <r>
      <rPr>
        <sz val="11"/>
        <color rgb="FF000000"/>
        <rFont val="Times New Roman"/>
        <family val="1"/>
      </rPr>
      <t xml:space="preserve">: </t>
    </r>
  </si>
  <si>
    <t xml:space="preserve">*The lastest available approved income tax rate shall be considered. </t>
  </si>
  <si>
    <t>Working of reagent cost</t>
  </si>
  <si>
    <t>LP/SBC Purity (%)</t>
  </si>
  <si>
    <t>MYT Petition Formats for Bhusawal Unit 6</t>
  </si>
  <si>
    <t>Provisional Order*</t>
  </si>
  <si>
    <t>Provisional Order</t>
  </si>
  <si>
    <t>Year : FY 2024-25</t>
  </si>
  <si>
    <t>Form 16:  Fuel Utilisation Plan</t>
  </si>
  <si>
    <t>a) DPR Schemes</t>
  </si>
  <si>
    <t>(i) In-principle approved by MERC</t>
  </si>
  <si>
    <t>(ii) Yet to receive in-principle MERC approval</t>
  </si>
  <si>
    <t>b) Non-DPR Schemes</t>
  </si>
  <si>
    <t>Assumption for computation of  tariff of Bhusawal U# 6</t>
  </si>
  <si>
    <t>Assumption Head</t>
  </si>
  <si>
    <t>Sub Head</t>
  </si>
  <si>
    <t>Sub Head (2)</t>
  </si>
  <si>
    <t>Amount</t>
  </si>
  <si>
    <t>COD</t>
  </si>
  <si>
    <t>Unit Size</t>
  </si>
  <si>
    <t>Total number of Units</t>
  </si>
  <si>
    <t xml:space="preserve">No. </t>
  </si>
  <si>
    <t>Plant Size</t>
  </si>
  <si>
    <t>Capital Cost/MW</t>
  </si>
  <si>
    <t>Project Cost</t>
  </si>
  <si>
    <t>Hard Cost</t>
  </si>
  <si>
    <t xml:space="preserve">Revised hard cost without considering capitalisation amount related to FGD and SCR system </t>
  </si>
  <si>
    <t xml:space="preserve">Revised IDC without considering capitalisation amount related to FGD and SCR system </t>
  </si>
  <si>
    <t>Total Project Cost</t>
  </si>
  <si>
    <t>Operational factor</t>
  </si>
  <si>
    <t>Steam driven boiler feed pumps</t>
  </si>
  <si>
    <t>Direct cooling air cooled condensers with mechanical draft fans</t>
  </si>
  <si>
    <t>Wet Limestone based FGD system (without Gas to Gas heater)</t>
  </si>
  <si>
    <t>Selective Catalytic Reduction system</t>
  </si>
  <si>
    <t>Total Auxiliary Power Consumption</t>
  </si>
  <si>
    <t>Station Heat Rate (SHR)</t>
  </si>
  <si>
    <t>Turbine SHR</t>
  </si>
  <si>
    <t>Kcal/Kwh</t>
  </si>
  <si>
    <t>Boiler Efficiency</t>
  </si>
  <si>
    <t>Guaranteed SHR</t>
  </si>
  <si>
    <t>kCal/kWh</t>
  </si>
  <si>
    <t>Fuel Related Parameters</t>
  </si>
  <si>
    <t>Secondary Oil Related</t>
  </si>
  <si>
    <t xml:space="preserve">Specific secondary fuel oil consumption approved </t>
  </si>
  <si>
    <t>Calorific value of secondary fuel oil</t>
  </si>
  <si>
    <t>kCal/litre</t>
  </si>
  <si>
    <t>Assumption</t>
  </si>
  <si>
    <t>Price of oil</t>
  </si>
  <si>
    <t>Average Landed cost of oil for month of Feb-Apr 2024 received at Bhusawal U# 4&amp;5</t>
  </si>
  <si>
    <t>Ecalation of Oil Price</t>
  </si>
  <si>
    <t>Coal related</t>
  </si>
  <si>
    <t>GCV As Billed</t>
  </si>
  <si>
    <t>kCal/kg</t>
  </si>
  <si>
    <t>GCV variation in loading and unloading end</t>
  </si>
  <si>
    <t>Case 132 of 2023</t>
  </si>
  <si>
    <t>GCV As Received</t>
  </si>
  <si>
    <t xml:space="preserve">Stacking Loss </t>
  </si>
  <si>
    <t>GCV As fired</t>
  </si>
  <si>
    <t>Escalation rate of Coal</t>
  </si>
  <si>
    <t>FGD Related variable cost</t>
  </si>
  <si>
    <t>Limestone requirement (Considering 89% Purity)</t>
  </si>
  <si>
    <t>TPH</t>
  </si>
  <si>
    <t>Limestone Purity</t>
  </si>
  <si>
    <t>Limestone Price</t>
  </si>
  <si>
    <t>Rs/MT</t>
  </si>
  <si>
    <t>Limestone cost escalation</t>
  </si>
  <si>
    <t xml:space="preserve">Selective Catalytic Reduction (SCR) System </t>
  </si>
  <si>
    <t>Ammonia Price</t>
  </si>
  <si>
    <t>Ammonia  cost escalation</t>
  </si>
  <si>
    <t>Ammonia requirement</t>
  </si>
  <si>
    <t>Kg/Hr</t>
  </si>
  <si>
    <t>Fixed Cost Parameters</t>
  </si>
  <si>
    <t>O&amp;M Charges</t>
  </si>
  <si>
    <t>O&amp;M Charges for thermal Station</t>
  </si>
  <si>
    <t>FY 24-25</t>
  </si>
  <si>
    <t>Rs. Lakhs/MW</t>
  </si>
  <si>
    <t xml:space="preserve">Reg. No.47.2 of MERC MYT Regulations 2019. </t>
  </si>
  <si>
    <t xml:space="preserve">Reg. No.48.2 of MERC MYT Regulations 2024. </t>
  </si>
  <si>
    <t>CAGR of norms for FY 25-26 to FY 29-30, From FY 31 onwards (if any)</t>
  </si>
  <si>
    <t>Regulation 47.3 (2nd Amendment to MYT Regulations 2019)</t>
  </si>
  <si>
    <t>Regulation 48.3 (2nd Amendment to MYT Regulations 2024)</t>
  </si>
  <si>
    <t>As per Loan document with REC Attached as Annexure</t>
  </si>
  <si>
    <t>Wtd average interest rate without considering loan for FGD and SCR system</t>
  </si>
  <si>
    <t>Return on Equity (RoE)</t>
  </si>
  <si>
    <t>Rate of RoE</t>
  </si>
  <si>
    <t>MAT</t>
  </si>
  <si>
    <t>Rate of Income Tax</t>
  </si>
  <si>
    <t xml:space="preserve">Break up of Income Tax </t>
  </si>
  <si>
    <t>Corporate Tax</t>
  </si>
  <si>
    <t>Income tax</t>
  </si>
  <si>
    <t xml:space="preserve">Surcharge </t>
  </si>
  <si>
    <t>Health &amp; education Cess</t>
  </si>
  <si>
    <t>Actual Income tax paid for FY 22-23</t>
  </si>
  <si>
    <t xml:space="preserve">Due to adoption  new tax scheme under section 115 BAA of Income Tax Act. </t>
  </si>
  <si>
    <t>NIL</t>
  </si>
  <si>
    <t>Considered NIL as per actual Payment of Income tax for FY 2022-23 for tariff calculation</t>
  </si>
  <si>
    <t>https://www.incometaxindia.gov.in/_layouts/15/dit/mobile/viewer.aspx?path=https://www.incometaxindia.gov.in/charts++tables/tax+rates.htm&amp;k&amp;IsDlg=0</t>
  </si>
  <si>
    <t>https://www.paisabazaar.com/tax/corporation-tax/</t>
  </si>
  <si>
    <t>Bhusawal Unit 6</t>
  </si>
  <si>
    <t>Effective Date</t>
  </si>
  <si>
    <t>ON</t>
  </si>
  <si>
    <t>1M</t>
  </si>
  <si>
    <t>3M</t>
  </si>
  <si>
    <t>6M</t>
  </si>
  <si>
    <t>1Y</t>
  </si>
  <si>
    <t>2Y</t>
  </si>
  <si>
    <t>3Y</t>
  </si>
  <si>
    <t>15.12.2024</t>
  </si>
  <si>
    <t>15.11.2024</t>
  </si>
  <si>
    <t>15.10.2024</t>
  </si>
  <si>
    <t>15.09.2024</t>
  </si>
  <si>
    <t>Interest Rates</t>
  </si>
  <si>
    <t>15.08.2024</t>
  </si>
  <si>
    <t>15.07.2024</t>
  </si>
  <si>
    <t>Rate of Interest on Working Capital</t>
  </si>
  <si>
    <t>15.06.2024</t>
  </si>
  <si>
    <t>Rate of Interest for Carrying Cost</t>
  </si>
  <si>
    <t>15.05.2024</t>
  </si>
  <si>
    <t>15.04.2024</t>
  </si>
  <si>
    <t>15.03.2024</t>
  </si>
  <si>
    <t>15.02.2024</t>
  </si>
  <si>
    <t>15.01.2024</t>
  </si>
  <si>
    <t>15.12.2023</t>
  </si>
  <si>
    <t>15.11.2023</t>
  </si>
  <si>
    <t>15.10.2023</t>
  </si>
  <si>
    <t>15.09.2023</t>
  </si>
  <si>
    <t>15.08.2023</t>
  </si>
  <si>
    <t>15.07.2023</t>
  </si>
  <si>
    <t>15.06.2023</t>
  </si>
  <si>
    <t>15.05.2023</t>
  </si>
  <si>
    <t>15.04.2023</t>
  </si>
  <si>
    <t>15.03.2023</t>
  </si>
  <si>
    <t>15.02.2023</t>
  </si>
  <si>
    <t>15.01.2023</t>
  </si>
  <si>
    <t>15.12.2022</t>
  </si>
  <si>
    <t>15.11.2022</t>
  </si>
  <si>
    <t>15.10.2022</t>
  </si>
  <si>
    <t>15.09.2022</t>
  </si>
  <si>
    <t>15.08.2022</t>
  </si>
  <si>
    <t>15.07.2022</t>
  </si>
  <si>
    <t>15.06.2022</t>
  </si>
  <si>
    <t>15.05.2022</t>
  </si>
  <si>
    <t>15.04.2022</t>
  </si>
  <si>
    <t>15.03.2022</t>
  </si>
  <si>
    <t>15.02.2022</t>
  </si>
  <si>
    <t>15.01.2022</t>
  </si>
  <si>
    <t>15.12.2021</t>
  </si>
  <si>
    <t>15.11.2021</t>
  </si>
  <si>
    <t>15.10.2021</t>
  </si>
  <si>
    <t>15.09.2021</t>
  </si>
  <si>
    <t>15.08.2021</t>
  </si>
  <si>
    <t>15.07.2021</t>
  </si>
  <si>
    <t>15.06.2021</t>
  </si>
  <si>
    <t>15.05.2021</t>
  </si>
  <si>
    <t>15.04.2021</t>
  </si>
  <si>
    <t>10.04.2021</t>
  </si>
  <si>
    <t>10.03.2021</t>
  </si>
  <si>
    <t>10.02.2021</t>
  </si>
  <si>
    <t>10.01.2021</t>
  </si>
  <si>
    <t>10.12.2020</t>
  </si>
  <si>
    <t>10.11.2020</t>
  </si>
  <si>
    <t>10.10.2020</t>
  </si>
  <si>
    <t>10.09.2020</t>
  </si>
  <si>
    <t>10.08.2020</t>
  </si>
  <si>
    <t>10.07.2020</t>
  </si>
  <si>
    <t>10.06.2020</t>
  </si>
  <si>
    <t>10.05.2020</t>
  </si>
  <si>
    <t>10.04.2020</t>
  </si>
  <si>
    <t>10.03.2020</t>
  </si>
  <si>
    <t>10.02.2020</t>
  </si>
  <si>
    <t>10.01.2020</t>
  </si>
  <si>
    <t>10.12.2019</t>
  </si>
  <si>
    <t>10.11.2019</t>
  </si>
  <si>
    <t>10.10.2019</t>
  </si>
  <si>
    <t>10.09.2019</t>
  </si>
  <si>
    <t>10.08.2019</t>
  </si>
  <si>
    <t>10.07.2019</t>
  </si>
  <si>
    <t>10.06.2019</t>
  </si>
  <si>
    <t>10.05.2019</t>
  </si>
  <si>
    <t>10.04.2019</t>
  </si>
  <si>
    <t>10.03.2019</t>
  </si>
  <si>
    <t>Days</t>
  </si>
  <si>
    <t>MCLR</t>
  </si>
  <si>
    <t>April 1 to April 15</t>
  </si>
  <si>
    <t>April 15 to May 14</t>
  </si>
  <si>
    <t>May 15 to June 14</t>
  </si>
  <si>
    <t>June 15 to July 14</t>
  </si>
  <si>
    <t>July 15 to Aug 14</t>
  </si>
  <si>
    <t>Aug 15 to Sep 14</t>
  </si>
  <si>
    <t>Sep 15 to Oct 14</t>
  </si>
  <si>
    <t>Oct 15 to Nov 14</t>
  </si>
  <si>
    <t>Nov 15 to Dec 14</t>
  </si>
  <si>
    <t>Dec 15 to Jan 14</t>
  </si>
  <si>
    <t>Jan 15 to Feb 14</t>
  </si>
  <si>
    <t>Feb 15 to March 14</t>
  </si>
  <si>
    <t>March 15 to March 31</t>
  </si>
  <si>
    <t>15.01.2025</t>
  </si>
  <si>
    <t>15.02.2025</t>
  </si>
  <si>
    <t>15.03.2025</t>
  </si>
  <si>
    <t>Auxiliary consumption (Normative)</t>
  </si>
  <si>
    <t>Generation</t>
  </si>
  <si>
    <t>Normative Transit loss of Coal</t>
  </si>
  <si>
    <t>Station Heat Rate (SHR) (Normative)</t>
  </si>
  <si>
    <t>MT</t>
  </si>
  <si>
    <t>S</t>
  </si>
  <si>
    <t xml:space="preserve">LP/SBC Purity </t>
  </si>
  <si>
    <t>mg/Nm3</t>
  </si>
  <si>
    <t xml:space="preserve">Sp. Ammonia Req. </t>
  </si>
  <si>
    <t>(g/kWh)</t>
  </si>
  <si>
    <t>A) FY 2024-25</t>
  </si>
  <si>
    <t>Cost of Coal stock</t>
  </si>
  <si>
    <t>Rs crore</t>
  </si>
  <si>
    <t>Additional Rate of Return on Equity for incremental ramp rate</t>
  </si>
  <si>
    <t>Additional Rate of Return on Equity on account of MTBF</t>
  </si>
  <si>
    <t>Regulation 46.13 of  MERC MYT Regulations 2019
Regulation 47.13 of  MERC MYT Regulations 2024</t>
  </si>
  <si>
    <r>
      <t>Regulation 46.17 (A) as per 2</t>
    </r>
    <r>
      <rPr>
        <vertAlign val="superscript"/>
        <sz val="11"/>
        <rFont val="Calibri"/>
        <family val="2"/>
        <scheme val="minor"/>
      </rPr>
      <t>nd</t>
    </r>
    <r>
      <rPr>
        <sz val="11"/>
        <rFont val="Calibri"/>
        <family val="2"/>
        <scheme val="minor"/>
      </rPr>
      <t xml:space="preserve"> Amendment to MERC MYT Regulations 2019
Regulation 47.18 as per 2nd Amendment to MERC MYT Regulations 2024</t>
    </r>
  </si>
  <si>
    <t>Reg. No. 46.8 of MERC MYT Regulations 2019 (because COD is in FY 2024-25 itself)</t>
  </si>
  <si>
    <t>Reg. No. 46.11 MERC MYT Regulations 2019
Reg. No. 47.11 MERC MYT Regulations 2024</t>
  </si>
  <si>
    <t>Regulation 50.6  of MERC MYT Regulation 2019
Regulation 51.6  of MERC MYT Regulation 2024</t>
  </si>
  <si>
    <t>Reg. No. 46.18 MERC MYT Regulation 2019
Reg. No. 47.20 MERC MYT Regulation 2019</t>
  </si>
  <si>
    <t>Reg. No. 28.1, Annexure I of MERC MYT Regulation 2019
Reg. No. 28.1, Annexure I of MERC MYT Regulation 2024</t>
  </si>
  <si>
    <t>As per Regulation 32 of MEERC MYT Regulations 2019 - : SBI MCLR +150 bps (1 year SBI MCLR as on 31.03.2024 +1.50% considered)
As per Regulation 32 of MEERC MYT Regulations 2024 - : SBI MCLR +150 bps (1 year SBI MCLR as on 15.04.2024 +1.50% considered)</t>
  </si>
  <si>
    <t>Reg. No. 29.2 MERC MYT Regulation 2019 (Base Rate considered)
Reg. No. 29.2 MERC MYT Regulation 2024 (Base Rate considered)</t>
  </si>
  <si>
    <t>&lt;Name of the Generating Company / Business&gt;</t>
  </si>
  <si>
    <t>FY 2018-2019</t>
  </si>
  <si>
    <t>FY 2019-2020</t>
  </si>
  <si>
    <t>FY 2020-2021</t>
  </si>
  <si>
    <t>FY 2021-2022</t>
  </si>
  <si>
    <t>FY 2022-2023</t>
  </si>
  <si>
    <t>FY 2023-2024</t>
  </si>
  <si>
    <t>FY 2024-2025</t>
  </si>
  <si>
    <t>Loan 1 (REC-13399)</t>
  </si>
  <si>
    <t>IDC towards STL earmarked for principal repayment</t>
  </si>
  <si>
    <t>Loan 2 (REC-18246)</t>
  </si>
  <si>
    <t>Loan  (REC-15090) FGD</t>
  </si>
  <si>
    <t>Long Term Loan 3 (REC-15090) FGD</t>
  </si>
  <si>
    <t>Long Term Loan 2 (REC-18246)</t>
  </si>
  <si>
    <t>Long Term Loan 1 (REC-13399)</t>
  </si>
  <si>
    <t>Year : FY 2023-24</t>
  </si>
  <si>
    <t>Form 17: Payment Efficiency</t>
  </si>
  <si>
    <t>&lt;Name of the Generating Company&gt;</t>
  </si>
  <si>
    <t>OTHER THAN BTG BOP</t>
  </si>
  <si>
    <t>SUPPLY : BTG BOP FGD SCR</t>
  </si>
  <si>
    <t>Finance charges</t>
  </si>
  <si>
    <t>Capital Cost as per Revised Estimates</t>
  </si>
  <si>
    <t>Actual Capital Cost on COD (Unit-6)</t>
  </si>
  <si>
    <t>Own Land</t>
  </si>
  <si>
    <t>M/s BHEL</t>
  </si>
  <si>
    <t>Other Works</t>
  </si>
  <si>
    <t>PV</t>
  </si>
  <si>
    <t>CSR</t>
  </si>
  <si>
    <t>Overheads / Consultancy</t>
  </si>
  <si>
    <t>IDC and FC</t>
  </si>
  <si>
    <t>As  on COD of Unit 6</t>
  </si>
  <si>
    <t>(g) = (f) - (c)</t>
  </si>
  <si>
    <t>1 x 660 MW Bhusawal Project Unit 6</t>
  </si>
  <si>
    <t>BTG + BOP + FGD + SCR</t>
  </si>
  <si>
    <t>ICB</t>
  </si>
  <si>
    <t>17.01.2018</t>
  </si>
  <si>
    <t>31.12.2018</t>
  </si>
  <si>
    <t>30.06.2022</t>
  </si>
  <si>
    <t>21.02.2025</t>
  </si>
  <si>
    <t>Esclation in prices upto 20 %</t>
  </si>
  <si>
    <t>Misc orders</t>
  </si>
  <si>
    <t>Mostly DCB</t>
  </si>
  <si>
    <t>Orders to be placed</t>
  </si>
  <si>
    <t>1x660 MW Bhusawal Project - Eshtablishment related Expenditure</t>
  </si>
  <si>
    <t>Procurement of personal steel bed and other items required for temporary chummery at 1x660 MW Bhusawal Project, Deepnagar (PO NO - 4500139820)</t>
  </si>
  <si>
    <t>DCB</t>
  </si>
  <si>
    <t>Work contract for providing services of drivers for day to day office work at 1x660 MW Bhusawal Project (PO NO - 4500137624)</t>
  </si>
  <si>
    <t>PV on labour component payble at actual</t>
  </si>
  <si>
    <t>1x660 MW Bhusawal Project - Other misc_BHEL R&amp;C Expenditure</t>
  </si>
  <si>
    <t>Procurement of lubrication oil through rate contract at 1x660 MW, BTPS at risk &amp; cost of M/s. BHEL. (PO NO - 4500137233)</t>
  </si>
  <si>
    <t>-</t>
  </si>
  <si>
    <t>Procurement of lubrication oil through rate contract at 1x660 MW, BTPS at risk &amp; cost of M/s. BHEL. (PO NO - 4500137237)</t>
  </si>
  <si>
    <t>1x660 MW Bhusawal Project - Other misc Expenditure</t>
  </si>
  <si>
    <t>Procurement of Control Cable for provision of Generator protection Trip on operation of Tee-Differential proteacttion of 400 KV GT bay at 1x660 MW Bhusawal Project (PO NO - 4500135615)</t>
  </si>
  <si>
    <t>Work contract for providing services of computer operators for day-to-day office works at 1x660MW Bhusawal Project (PO NO - 4500136722)</t>
  </si>
  <si>
    <t>Supply , erection and commissioning of high masts in 2x500 MW and 1x660 MW railway siding yard at deepnagar bhusawal (PO NO - 4500135481)</t>
  </si>
  <si>
    <t>Work Contract for providing skilled manpower in Coal Handling Plant for monitoring the site activities &amp; unskilled assistant for Fire Fighting works at 1X660 MW at 1X660 MW Bhusawal Project. (PO NO - 4500136301)</t>
  </si>
  <si>
    <t>Work contract for Boiler balance structure welding works at 1x660MW Bhusawal Project. (PO NO - 4500136467)</t>
  </si>
  <si>
    <t>Deployment of MSSC (MSF) for security services at 1x660 MW Bhusawal Project (PO NO - 4500135502)</t>
  </si>
  <si>
    <t>Work contract for providing Safety Assistants / Safety Sergeants to assist safety works at 1X660 MW Bhusawal Project (PO NO - 4500135358)</t>
  </si>
  <si>
    <t>Work of hiring of vehicles (TATA Sumo/NEO/Scorpio/Bolero) along with drivers for MSF staff at 1X660 MW Bhusawal Project through tenderization (PO NO - 4500135327)</t>
  </si>
  <si>
    <t>Work of photography and video shooting at 1x660 MW Bhusawal Project through tenderization (PO NO - 4500134876)</t>
  </si>
  <si>
    <t>Procurement of Plotter printer original cartridges Canon Ink tank PFI-8120 through GeM portal (PO NO - 4500135027)</t>
  </si>
  <si>
    <t>Work of providing and fixing aluminum partitions on as-and-when required basis at 1x660MW Bhusawal Project (PO NO - 4500135062)</t>
  </si>
  <si>
    <t>hiring consultancy services for analysis of boiler thermal expansion and temperature variation after spiral water wall restoration work at 1x660MW Bhusawal Project (PO NO - 4500135080)</t>
  </si>
  <si>
    <t>Procurement tailored made apron for engineers and covers for chairs at 1x660MW Bhusawal Project office (PO NO - 4500134547)</t>
  </si>
  <si>
    <t>Procurement and installation of MW indicators and frequency displays for Plant Control Room (PCR) along with supply of measuring instruments for 1x660 MW Bhusawal Project (PO NO - 4500134270)</t>
  </si>
  <si>
    <t>Hiring consultancy services to analyse deformation observed in spiral water walls of supercritical boiler at 1x660 MW Bhusawal project &amp; for reviewing repair &amp; rectification action plan submitted by M/s. BHEL.
 (PO NO - 4500133333)</t>
  </si>
  <si>
    <t>Procurement of  Industrial safety helmet  at 1 x 660 MW Bhusawal Project, Deepnagar through GeM portal (PO NO - 4500134188)</t>
  </si>
  <si>
    <t>Providing skilled manpower in Coal Handling Plant for monitoring the site activities &amp; unskilled assistant for Fire Fighting works at 1X660 MW Bhusawal Project by placing limited enquiry. (PO NO - 4500133886)</t>
  </si>
  <si>
    <t>Procurement of Computer and network spares through GeM portal (PO NO - 4500133590)</t>
  </si>
  <si>
    <t>Work contract for hiring of vehicle along with driver for Security staff on round-o-clock at 1x660 MWBhusawal Project (PO NO - 4500133712)</t>
  </si>
  <si>
    <t>Work contract for providing services of unskilled labours for day-to-day office work at 1x660 MW Bhusawal Project.
 (PO NO - 4500133236)</t>
  </si>
  <si>
    <t>Work contract for Hiring services of M/s. CPRI, Nagpur for boiler tube samples metallurgical analysis at 1x660 MW project Bhusawal (PO NO - 4500133345)</t>
  </si>
  <si>
    <t>Work of hiring of SUV (Mahindra TUV/Bolero or equivalent ) along with driver for project staff at 1x660MW Bhusawal Project (PO NO - 4500133256)</t>
  </si>
  <si>
    <t>Work of hiring of vehicle (TATA Indica/Vista/Bolt, or equivalent) along with driver for Superintending Engineers (Project) at 1x660 MW Bhusawal Project (PO NO - 4500133237)</t>
  </si>
  <si>
    <t>Supply and installation of Large Format Display (65 Inches/164 CM) for conference hall at Central Control Room (CCR) at 1x660 MW project office through GeM portal (PO NO - 4500132783)</t>
  </si>
  <si>
    <t>Hiiring services of VNIT, Nagpur for boiler tube samples analysis viz. Tensile Testing, Hardness Testing, Microscopy - Optical+ Sem, With Sample Cutting, machining &amp; Specimen Preparation at 1x660 MW Bhusawal Project. (PO NO - 4500132778)</t>
  </si>
  <si>
    <t>Works of Design, Supply, Installation and Commissioning of IT system for establishing DSM (Deviation Settlement Mechanism) database connectivity at 1x660 MW project Unit-6 through GeM portal (PO NO - 4500132402)</t>
  </si>
  <si>
    <t>Work contract for supplying air coolers on hire basis at 1x660 MW Bhusawal Project (PO NO - 4500132568)</t>
  </si>
  <si>
    <t>Work contract for providing assistance for parking management services at 1X660 MW Bhusawal Project site (PO NO - 4500132257)</t>
  </si>
  <si>
    <t>Deployment of MSSC (MSF) for security services at 1x660 MW Bhusawal Project (PO NO - 4500131919)</t>
  </si>
  <si>
    <t>Procurement of Spares for Bull dozer type BD 155, Bhusawal. (PO NO - 4500130644)</t>
  </si>
  <si>
    <t>Supply  of tarpaulin for covering coal in stockyard during monsoon’, at 1 X 660 MW Project Bhusawal (PO NO - 4500130906)</t>
  </si>
  <si>
    <t>Work contract for operation and maintenance of 33/11 KV Substation and cable laying at 1x660MWBhusawal Project (PO NO - 4500130577)</t>
  </si>
  <si>
    <t>Work contract for hiring of vehicle (TATA Indica/Vista/Bolt) along with driver for Dy. CE (P) at 1x660 MW Bhusawal Project (PO NO - 4500130839)</t>
  </si>
  <si>
    <t>Work contract for providing services of computer operators for day-to-day office works at 1x660MW Bhusawal Project through tenderization (PO NO - 4500130858)</t>
  </si>
  <si>
    <t>Supply, Erection and commissioning of Boom Barrier Gate at 1 X 660 MW Bhusawal Project (PO NO - 4500130833)</t>
  </si>
  <si>
    <t>Procurement Night vision binocular for Security Staff at 1x660MW Bhusawal Project office (PO NO - 4500130273)</t>
  </si>
  <si>
    <t>Design, modification of existing 210 MW ADPL lines to making space for routing of 1 X 660 MW ADPL under existing railway culvert for 1 x 600 MW Bhusawal Project (PO NO - 4500130522)</t>
  </si>
  <si>
    <t>Work of hiring of vehicle (TATA Indica/Vista/Bolt) along with driver for Higher officers  at 1x660 MW Bhusawal Project (PO NO - 4500130322)</t>
  </si>
  <si>
    <t>Work of hiring of SUV (Mahindra TUV/Bolero/Neo or equivalent vehicle ) along with driver for security staff at 1x660MW Bhusawal Project (PO NO - 4500130261)</t>
  </si>
  <si>
    <t>Providing temporary police protection at 1x660 MW Bhusawal Project (PO NO - 4500130186)</t>
  </si>
  <si>
    <t>Work contract for BCW pump (mandatory spares) inspection, replacement of damaged heat barrier pipe and demonstration of procedure for preservation of pump at 1x660 MW Bhusawal Project at risk and cost of M/s BHEL. (PO NO - 4500130143)</t>
  </si>
  <si>
    <t>Work contract for deployment of MSSC (MSF) for security services at 1x660 MW Bhusawal Project (PO NO - 4500129666)</t>
  </si>
  <si>
    <t>works of providing customized furniture in the Central Control Room (CCR) comprising of Conference Room, Shift In-Charge cabin and PCR In-Charge sitting arrangements (PO NO - 4500130078)</t>
  </si>
  <si>
    <t>Transportation of 2.0 Lakh Ton coal from BTPS (O&amp;M) to 1x660MW Bhusawal Project site (PO NO - 4500130031)</t>
  </si>
  <si>
    <t>Transportation of 2.0 Lakh Ton coal from BTPS (O&amp;M) to 1x660MW Bhusawal Project site (PO NO - 4500130005)</t>
  </si>
  <si>
    <t>Procurement of HP printer original cartridges through GeM portal (PO NO - 4500130052)</t>
  </si>
  <si>
    <t>Design, manufacturing, supply &amp; installation of upright panel and allied related components at 1x660 MW Bhusawal Project (PO NO - 4500129999)</t>
  </si>
  <si>
    <t>Work of hiring of vehicle vehicles for VIP  on as-and-when required basis at 1x660 MW Bhusawal Project (PO NO - 4500129502)</t>
  </si>
  <si>
    <t>Work of hiring of vehicle vehicles for VIP  on as-and-when required basis at 1x660 MW Bhusawal Project (PO NO - 4500129500)</t>
  </si>
  <si>
    <t>Work contract of "Maintenance works of Split Air Conditioners such as Breakdown Maintenance, Preventive Maintenance, Servicing, Repairing etc." at 1x660MW Project (PO NO - 4500129404)</t>
  </si>
  <si>
    <t>Supply installation, testing, calibration and commissioning of APEX 150 ABT ENERGY METER for  1x660 MW Project Bhusawal (PO NO - 4500125804)</t>
  </si>
  <si>
    <t>Work contract for hiring of expert services of CPRI for work of material hardness test a site for 1 x 660 MW  Bhusawal Project (PO NO - 4500123604)</t>
  </si>
  <si>
    <t>Work of hiring of SUV (Mahindra TUV/Bolero or equivalent ) along with driver for project staff at 1x660MW Bhusawal Project (PO NO - 4500129645)</t>
  </si>
  <si>
    <t>Work contract for safety audit as per IS 14489:1998 of 1x660MW bhusawal Project site (PO NO - 4500128246)</t>
  </si>
  <si>
    <t>Supply, erection &amp; commissioning of high masts at 1x660 MW Project site Bhusawal (PO NO - 4500127828)</t>
  </si>
  <si>
    <t>Providing temporary police protection at 1x660 MW Bhusawal Project (PO NO - 4500128242)</t>
  </si>
  <si>
    <t>Work contract for providing services of drivers for day to day office work at 1x660 MW Bhusawal Project (PO NO - 4500128111)</t>
  </si>
  <si>
    <t>Work of hiring of vehicles (TATA Sumo/NEO/ Scorpio/Bolero) along with drivers for MSF staff at 1X660 MW Bhusawal Project through tenderization (PO NO - 4500126489)</t>
  </si>
  <si>
    <t>Providing assistance for day to day maintenance of electrical installations at project office, staff quarter and other miscellaneous electrical works at 1 X 660 MW Project ,Bhusawal (PO NO - 4500127085)</t>
  </si>
  <si>
    <t>Work of hiring of SUV (Mahindra TUV/Bolero/Neo or equivalent vehicle ) along with driver for security staff at 1x660MW Bhusawal Project (PO NO - 4500126982)</t>
  </si>
  <si>
    <t>Providing temporary police protection at 1x660 MW Bhusawal Project (PO NO - 4500126933)</t>
  </si>
  <si>
    <t>Work contract for providing services of unskilled labours for day-to-day office work at 1x660 MW Bhusawal Project (PO NO - 4500126430)</t>
  </si>
  <si>
    <t>work contract for providing services of computer operator for day-to-day officeworks at 1x660MWBhusawal Project through tenderization (PO NO - 4500126751)</t>
  </si>
  <si>
    <t>Providing temporary police protection at 1x660 MW Bhusawal Project (PO NO - 4500126767)</t>
  </si>
  <si>
    <t>Work contract for providing assistance for parking management services at 1X660 MW Bhusawal Project site (PO NO - 4500126438)</t>
  </si>
  <si>
    <t>Contract for providing skilled assistants for C&amp;I works at 1x660 MW Bhusawal Project (PO NO - 4500125834)</t>
  </si>
  <si>
    <t>Approval for procurement of ink cartridge for SHARP MX-printer through GeM portal (PO NO - 4500125866)</t>
  </si>
  <si>
    <t>Work for Environmental Parameters Monitoring at 1x660MW, Bhusawal Project (PO NO - 4500125665)</t>
  </si>
  <si>
    <t>Contract for providing skilled assistants for Chemical division (Chemist) works at 1X660 MW Bhusawal Project (PO NO - 4500125634)</t>
  </si>
  <si>
    <t>Supply of plastic chair through GeM portal. (PO NO - 4500125640)</t>
  </si>
  <si>
    <t>Work contract for Desert coolers on hire basisat 1x660 MW Bhusawal Project- office (PO NO - 4500124359)</t>
  </si>
  <si>
    <t>Procurement of ruled registers at 1x660 MW project through GeM portal (PO NO - 4500124194)</t>
  </si>
  <si>
    <t>Procurement of Box files at 1x660 MW project through GeM portal (PO NO - 4500124237)</t>
  </si>
  <si>
    <t>Work of hiring of SUV (Mahindra TUV/Bolero) along with driver for project staff at 1x660MW Bhusawal Project (PO NO - 4500124036)</t>
  </si>
  <si>
    <t>Procurement of electrical consumables at 1x660MW Bhusawal Project (PO NO - 4500124023)</t>
  </si>
  <si>
    <t>Work of hiring of SUV (Mahindra TUV/Bolero/Neo or equivalent vehicle ) along with driver for security staff at 1x660MW Bhusawal Project (PO NO - 4500123847)</t>
  </si>
  <si>
    <t>Supply of various LT power cables at of 1x660 MW Bhusawal Project (PO NO - 4500123607)</t>
  </si>
  <si>
    <t>Work contract Evaluation of castable and pourable  refractory through VNIT Nagpur (PO NO - 4500123542)</t>
  </si>
  <si>
    <t>Procurement of IPR (Jyoti make RE-300 Relay), Terminal Blocks, MCB (16Amps) and C-Channel for Bhusawal Projects 1x660MW (PO NO - 4500123393)</t>
  </si>
  <si>
    <t>Contract for Weld joint preparations for hardness testing at 1X660 MW Bhusawal Project (PO NO - 4500123397)</t>
  </si>
  <si>
    <t>Procurement of ABT meter (as per MSEDCL specification) for Station Transformer 6B (PO NO - 4500123358)</t>
  </si>
  <si>
    <t>Work contract for providing services of unskilled labours for day-to-day housekeeping and other work at 1x660 MW Bhusawal Project site office as and when required basis at the risk and cost of M/s. BHEL (PO NO - 4500123240)</t>
  </si>
  <si>
    <t>work of hiring of vehicle (TATA Indica/Vista/Bolt, or equivalent) along with driver for Superintending Engineers (Project) at 1x660 MW Bhusawal Project through tenderization (PO NO - 4500123306)</t>
  </si>
  <si>
    <t>Work of fogging of chemicals to contain the spread of flies, insects, mosquitos etc. in and around 1x660 MW Project Office complex area (PO NO - 4500123299)</t>
  </si>
  <si>
    <t>1x660 MW Bhusawal Project - Other misc_Paras FGD Expenditure</t>
  </si>
  <si>
    <t>Providing supply, Erection, Testing &amp; Commissioning LT panel along with Electrical accessories, items etc. for Paras Wet Limestone FGD projects (PO NO - 4500123225)</t>
  </si>
  <si>
    <t>Work of hiring of vehicle (TATA Indica/Vista/Bolt) along with driver for Dy. C.E. (Project) and Higher officers  &amp; services of hiring of vehicles for VIP  on as-and-when required basis at 1x660 MW Bhusawal Project (PO NO - 4500123157)</t>
  </si>
  <si>
    <t>Work of hiring of vehicles for VIP  on as-and-when required basis at 1x660 MW Bhusawal Project (PO NO - 4500123164)</t>
  </si>
  <si>
    <t>Contract for various electrical works associated with installation of electrical equipments for provision of construction power supply at Paras TPS FGD Project (PO NO - 4500123214)</t>
  </si>
  <si>
    <t>Work of photography and video shooting at 1x660 MW Bhusawal Project (PO NO - 4500122909)</t>
  </si>
  <si>
    <t>Procurement of Electrical consumables at 1x660MW Project, Bhusawal (PO NO - 4500122483)</t>
  </si>
  <si>
    <t>Deployment of MSSC (MSF) for security services at 
1x660 MW Bhusawal Project (PO NO - 4500122808)</t>
  </si>
  <si>
    <t>procurement of A4 size paper rim through GeM portal (PO NO - 4500122764)</t>
  </si>
  <si>
    <t>Contract for supply, erection &amp; commissioning of open well submersible pumps at Fulgaon water supply station (PO NO - 4500122727)</t>
  </si>
  <si>
    <t>Procurement of safety shoes, Rain suits &amp; gum boots for the employees working at the office of C.E (Project), 1 x 660 MW Bhusawal Project, Deepnagar (PO NO - 4500122554)</t>
  </si>
  <si>
    <t>Work of dismantling, erection &amp; commissioning of street light poles at project office premises &amp; various locations (PO NO - 4500121916)</t>
  </si>
  <si>
    <t>Work contract of Maintenance works of Split Air Conditioners such as Breakdown Maintenance, Preventive Maintenance, Servicing, Repairing etc. at 1x660MW Project (PO NO - 4500121589)</t>
  </si>
  <si>
    <t>shifting of 11KV Over head Line of Bhusawal rural emanating from 132/11Kv Deepnagar EHV S/s at Railway Siding Area (for Railway Over Bridge) of Bhusawal Projects 1x660MW (PO NO - 4500121734)</t>
  </si>
  <si>
    <t>Work contract for deploying skilled Electrical assistance for commissioning activities  at 1X660 MW Bhusawal Project (PO NO - 4500121508)</t>
  </si>
  <si>
    <t>Work of hiring of SUV (Mahindra TUV/Bolero/Neo or equivalent vehicle) along with driver for security staff at 1x660MW Bhusawal Project (PO NO - 4500121609)</t>
  </si>
  <si>
    <t>Work contract for Conducting RLA study of existing River Water Pump House at Bhusawal TPS (PO NO - 4500121428)</t>
  </si>
  <si>
    <t>Work contract for providing services of drivers for day to day office work at 1x660 MW Bhusawal Project (PO NO - 4500121203)</t>
  </si>
  <si>
    <t>Work Contract for operating scanner cum photocopy (xerox) machine at 1X660 MW Bhusawal Project office (PO NO - 4500120393)</t>
  </si>
  <si>
    <t>Work contract for providing services of computer operator for day-to-day officeworks at 1x660MW Bhusawal Project  (PO NO - 4500120597)</t>
  </si>
  <si>
    <t>Procurement of Laptop and Computer spares, networking devices through GeM portal
 (PO NO - 4500120623)</t>
  </si>
  <si>
    <t>Work of hiring of vehicles (TATA Sumo/ Scorpio/Bolero) along with drivers for MSF staff at 1X660 MW Bhusawal Project through tenderization (PO NO - 4500120398)</t>
  </si>
  <si>
    <t>Work contract for operation &amp; Maintenance of 33/11 KV Substation and cable laying at Bhusawal Project (PO NO - 4500120424)</t>
  </si>
  <si>
    <t>Work of hiring of SUV (Mahindra TUV/Bolero) along with driver for project staff at 1x660MW Bhusawal Project (PO NO - 4500120131)</t>
  </si>
  <si>
    <t>Work contract for providing services of unskilled labours for day-to-day office work at 1x660 MW Bhusawal Project (PO NO - 4500120130)</t>
  </si>
  <si>
    <t>work of cutting of grass, bushes, shrubs, small trees, trimming of trees, removing dead trees and cleaning of area 1x660MW Bhusawal Project site at the risk &amp; cost of M/s. BHEL (PO NO - 4500119861)</t>
  </si>
  <si>
    <t>Work contract for hiring of expert services of CPRI for work of material hardness test a site for 1 x 660 MW  Bhusawal Project (PO NO - 4500119851)</t>
  </si>
  <si>
    <t>Works contract for Providing assistance for day to day maintenance of electrical installations at project office, staff quarter and other miscellaneous electrical works at 1 X 660 MW Project , Bhusawal (PO NO - 4500119227)</t>
  </si>
  <si>
    <t>Procurement of plain and printed registers, log books at 1x660MW Bhusawal Project office (PO NO - 4500119221)</t>
  </si>
  <si>
    <t>Work of upgradation of conference hall PA system at 1x660 MW Bhusawal Project Office (PO NO - 4500119157)</t>
  </si>
  <si>
    <t>Work contract for providing parking management services at 1X660 MW Bhusawal Project site (PO NO - 4500119126)</t>
  </si>
  <si>
    <t>Procurement of stationary items at 1x660MW Bhusawal Project office (PO NO - 4500119038)</t>
  </si>
  <si>
    <t>Provision of Air coolers on hire basis at 1 X 660 MW Project , Bhusawal (PO NO - 4500118464)</t>
  </si>
  <si>
    <t>Work contract for providing round the clock services of medical attendant on ambulance at 1x660 MW Bhusawal Project (PO NO - 4500118387)</t>
  </si>
  <si>
    <t>Work of sourcing Raw Water through abandoned pump house at 210MW BTPS (PO NO - 4500118252)</t>
  </si>
  <si>
    <t>Procurement of Box files at 1x660 MW project through GeM portal (PO NO - 4500117971)</t>
  </si>
  <si>
    <t>Procurement of spring files at 1x660 MW project through GeM portal (PO NO - 4500117978)</t>
  </si>
  <si>
    <t>Procurement of plastic chairs at 1x660 MW project through GeM portal (PO NO - 4500118058)</t>
  </si>
  <si>
    <t>Supply and installation of electrically operated safety siren (Hooter) at 1X660 MW Bhusawal Project (PO NO - 4500117789)</t>
  </si>
  <si>
    <t>Procurement of various storage furniture items at  1x660 MW Bhusawal Project through GeM (PO NO - 4500117844)</t>
  </si>
  <si>
    <t>Work Contract for maintenance and providing catering services at Tapi Guest House (old guest house near Tapi river) at BTPS Deepnagar (PO NO - 4500117249)</t>
  </si>
  <si>
    <t>Contract for construction of shed at 1X660 MW Bhusawal Project office. (PO NO - 4500117199)</t>
  </si>
  <si>
    <t>work of providing and fixing aluminum partition at various sections of 1x660 MW Project Office on as and when required basis. (PO NO - 4500117190)</t>
  </si>
  <si>
    <t>Work of engaging MSSC (MSF) security agency at 1x660 MW Bhusawal Project (PO NO - 4500117043)</t>
  </si>
  <si>
    <t>Work of hiring of vehicle (TATA Indica/Vista/Bolt) along with driver for Project higher officials &amp; services of hiring of vehicles on as-and-when required basis at 1x660 MW Bhusawal Project (PO NO - 4500117186)</t>
  </si>
  <si>
    <t>work Contract for hiring of Ambulance (TATA winger/407/ Equivalent) along with driver on round-o-clock basis at 1x660 MW Bhusawal Project (PO NO - 4500116822)</t>
  </si>
  <si>
    <t>Supply of Reusable N-95 face masks and liquid sanitizer for staff working at 1X660 MW Project office (PO NO - 4500116830)</t>
  </si>
  <si>
    <t>Work of fogging of chemicals to contain the spread of flies, insects, mosquitos etc. in and around 1x660 MW Project Office complex area (PO NO - 4500116869)</t>
  </si>
  <si>
    <t>Procurement of original cartridges for Sharp make photocopier machine through GeM portal (PO NO - 4500116903)</t>
  </si>
  <si>
    <t>Procurement of various printer original cartridges through GeM portal (PO NO - 4500116758)</t>
  </si>
  <si>
    <t>work contract for providing services of computer operator for day-to-day office works at 1x660MW Bhusawal Project  (PO NO - 4500116717)</t>
  </si>
  <si>
    <t>Procurement of Electrical consumables at 1x660MW Project, Bhusawal (PO NO - 4500116287)</t>
  </si>
  <si>
    <t>Work contract of "Maintenance works of Split Air Conditioners such as Breakdown Maintenance, Preventive Maintenance, Servicing, Repairing etc." at 1x660MW Project office (PO NO - 4500116142)</t>
  </si>
  <si>
    <t>Procurement of PC, Printers &amp; Laptops etc (Printer) (PO NO - 4500116149)</t>
  </si>
  <si>
    <t>Procurement of PC, Printers &amp; Laptops etc (Desktop PC) (PO NO - 4500116109)</t>
  </si>
  <si>
    <t>Procurement of Electrical consumables at 1x660MW Project, Bhusawal (PO NO - 4500115940)</t>
  </si>
  <si>
    <t>Procurement of Electrical consumables at 1x660MW Project, Bhusawal (PO NO - 4500115958)</t>
  </si>
  <si>
    <t>Procurement of Electrical consumables at 1x660MW Project, Bhusawal (PO NO - 4500115934)</t>
  </si>
  <si>
    <t>Work contract for hiring of vehicle along with driver for Security staff on round-o-clock at 1x660 MW Bhusawal Project - approval for processing new work contract reg (PO NO - 4500115805)</t>
  </si>
  <si>
    <t>Procurement of submersible sewage/mud pumps at 1X660 MW Bhusawal Project (PO NO - 4500115871)</t>
  </si>
  <si>
    <t>Procurement of submersible sewage/mud pumps at 1X660 MW Bhusawal Project (PO NO - 4500115872)</t>
  </si>
  <si>
    <t>Work of shifting of 11KV Double Pole Structure &amp; XLPE cable (Supply, Erection, Installation of 11KV Two Pole Structures, Cable laying, Re-routing) at Railway Siding Area of Bhusawal Project 1x660MW (PO NO - 4500115925)</t>
  </si>
  <si>
    <t>Work of hiring of vehicle (TATA Indica/Vista/Bolt) along with driver for Superintending Engineers (Project) at 1x660 MW Bhusawal Project (PO NO - 4500115807)</t>
  </si>
  <si>
    <t>Contract for providing &amp; fixing of cushion to various chairs at 1X660 MW Bhusawal Project (PO NO - 4500115607)</t>
  </si>
  <si>
    <t>Contract for operating plotter machine and scanner cum photocopy (xerox) machine at 1X660 MW Bhusawal Project office (PO NO - 4500115558)</t>
  </si>
  <si>
    <t>Work contract for providing services of drivers for day to day office work at 1x660 MW Bhusawal Project (PO NO - 4500115528)</t>
  </si>
  <si>
    <t>Procurement of computer keyboard and mouse (combo) set through GeM portal (PO NO - 4500115530)</t>
  </si>
  <si>
    <t>Work contract for providing Safety Assistants / Safety Sergeants to assist safety works at 1X660 MW Bhusawal Project. (PO NO - 4500115292)</t>
  </si>
  <si>
    <t>Work of hiring of vehicles (TATA Sumo/ Scorpio/Bolero) along with drivers for MSF staff at 1X660 MW Bhusawal Project (PO NO - 4500115444)</t>
  </si>
  <si>
    <t>Procurement of printer cartridges &amp; ink bottles through GeM portal. (Cartridges) (PO NO - 4500115226)</t>
  </si>
  <si>
    <t>Work contract for providing &amp; fixing of 3D LED light name board at 1X660 MW Bhusawal Project main gate (PO NO - 4500115300)</t>
  </si>
  <si>
    <t>Procurement of various security items through GeM portal (HHMD) (PO NO - 4500115170)</t>
  </si>
  <si>
    <t>Procurement of various security items through GeM portal (Search light torch) (PO NO - 4500115171)</t>
  </si>
  <si>
    <t>Work contract for operation and maintenance of 33KV/11KV substation and cable laying at 1x660MW Project, Bhusawal. (PO NO - 4500114413)</t>
  </si>
  <si>
    <t>Work contract for providing services of unskilled labours for day-to-day office work at 1x660 MW Bhusawal Project (PO NO - 4500115035)</t>
  </si>
  <si>
    <t>Procurement of 33/11  KV substation transformer control panel spares at 1x660MW Project, Bhusawal (PO NO - 4500114646)</t>
  </si>
  <si>
    <t>Work of erection and commissioning of street light system at super D, Type II building area, Tapi guest house and project office premises (PO NO - 4500114590)</t>
  </si>
  <si>
    <t>Wwork contract for providing cleaning services at security gate of 1X660 MW Bhusawal Project (PO NO - 4500114622)</t>
  </si>
  <si>
    <t>Procurement of various security items through GeM portal (Trolley Mirror) (PO NO - 4500114631)</t>
  </si>
  <si>
    <t>Work contract for providing parking management services at 1X660 MW Bhusawal Project site (PO NO - 4500114521)</t>
  </si>
  <si>
    <t>Supply &amp; installation of 55 nos. of End Point Security Anti-Virus Software with validity of 3 years through Government e-Marketplace (GeM) portal at 1x660MW Bhusawal Project (PO NO - 4500114520)</t>
  </si>
  <si>
    <t>works contract for day to day maintenance of electrical installations at project office, staff quarters and other miscellaneous electrical works at 1x660MW Project, Bhusawal (PO NO - 4500114538)</t>
  </si>
  <si>
    <t>work contract for Provision of Air Coolers on hire basis at 1x660 MW Bhusawal Project (PO NO - 4500113774)</t>
  </si>
  <si>
    <t>Supply ,Erection and commissioning of High Masts at Project Site (PO NO - 4500113326)</t>
  </si>
  <si>
    <t>Work contract for providing services of computer operator for day-to-day office works at 1x660MW Bhusawal Project  (PO NO - 4500113522)</t>
  </si>
  <si>
    <t>Contract for carrying out Safety Audit as per IS 14489 : 1998in 1X660 MW Bhusawal Project (PO NO - 4500113485)</t>
  </si>
  <si>
    <t>Contract for providing Safety Assistants / Safety Sergeants to assist Safety work at 1X660 MW Bhusawal Project (PO NO - 4500113502)</t>
  </si>
  <si>
    <t>Procurement of CCTV items for 1X660 MW MSPGCL project material entry gate through GeM portal (MONITOR / DISPLAY) (PO NO - 4500113025)</t>
  </si>
  <si>
    <t>Procurement of various safety related equipments at 1x660MW Bhusawal Project office (PO NO - 4500113258)</t>
  </si>
  <si>
    <t>Supply, Installation &amp; Testing of 42U capacity server cum network rack alongwith all ancillary system components for 1x660MW Bhusawal Project (PO NO - 4500113043)</t>
  </si>
  <si>
    <t>Work of photography and video shooting at 1x660 MW Bhusawal Project (PO NO - 4500112899)</t>
  </si>
  <si>
    <t>Supply, Installation &amp; Testing of 42U capacity server cum network rack alongwith all ancillary system components for 1x660MW Bhusawal Project (PO NO - 4500112893)</t>
  </si>
  <si>
    <t>Procurement of Line Interactive Uninterruptible Power Source (UPS) and Canon TM-5300 Ink Tank PFI-8120 cartridge for plotter at 1x660 MW MSPGCL Project (PO NO - 4500112775)</t>
  </si>
  <si>
    <t>Wwork of providing and fixing aluminum partition at various sections of 1x660 MW Project Office (PO NO - 4500112785)</t>
  </si>
  <si>
    <t>Work contract for servicing &amp; maintenance of foot operated wash basins installed at 1X660 MW Bhusawal Project (PO NO - 4500112560)</t>
  </si>
  <si>
    <t>Work of engaging MSSC (MSF) security agency at 1x660MW Bhusawal Project. (PO NO - 4500112688)</t>
  </si>
  <si>
    <t>Procurement of plotter paper roll of various sizes through GeM portal (A0) (PO NO - 4500112403)</t>
  </si>
  <si>
    <t>Procurement of plotter paper roll of various sizes through GeM portal (A1) (PO NO - 4500112404)</t>
  </si>
  <si>
    <t>Work of engaging MSSC (MSF) security agency at 1x660MW Bhusawal Project. (PO NO - 4500112257)</t>
  </si>
  <si>
    <t>Procurement and installation of biometric (Face recognition) attendance machine at project office (PO NO - 4500111987)</t>
  </si>
  <si>
    <t>Procurement of Large Format display at 1X660 MW Project Bhusawal - (164 CM) (PO NO - 4500111824)</t>
  </si>
  <si>
    <t>Procurement of LED Street light fixtures at 1x660MW Project, Bhusawal (PO NO - 4500111842)</t>
  </si>
  <si>
    <t>Supply of Reusable N-95 face masks and other healthcare accessories for staff working at 1X660 MW Project office (PO NO - 4500111745)</t>
  </si>
  <si>
    <t>Supply, installation, testing and commissioning of DC system (battery bank with charger) for 33/11KV substation supplying construction power supply at 1X660 MW Project Bhusawal. (PO NO - 4500111658)</t>
  </si>
  <si>
    <t>Procurement of safety shoes, Rain suits &amp; gum boots for the employees working at the office of C.E (Project), 1 x 660 MW Bhusawal Project, Deepnagar (PO NO - 4500111657)</t>
  </si>
  <si>
    <t>Procurement of 33/11KV construction power supply substation spares and electrical consumables at 1x660MW Bhusawal project (PO NO - 4500111609)</t>
  </si>
  <si>
    <t>Procurement and installation of server at project office (PO NO - 4500111515)</t>
  </si>
  <si>
    <t>Procurement of potential and current transformers of various ratings at 1x660MW Project, Bhusawal (PO NO - 4500111458)</t>
  </si>
  <si>
    <t>Work of fabrications of security barricades and material storages racks at 1x660 MW Bhusawal project office (PO NO - 4500111206)</t>
  </si>
  <si>
    <t>Procurement of security helmet through GeM portal (PO NO - 4500111052)</t>
  </si>
  <si>
    <t>Contract for hiring of Ambulance (TATA winger/407) along with driver on round-o-clock basis at 1x660 MW Bhusawal Project. (PO NO - 4500108800)</t>
  </si>
  <si>
    <t>Procurement of reflective tape for security through GeM portal (PO NO - 4500111055)</t>
  </si>
  <si>
    <t>Supply &amp; Installation of Porta Cabin at 1x660MW Bhusawal Project (PO NO - 4500110940)</t>
  </si>
  <si>
    <t>procurement &amp; installation of Automatic hand sanitizer machine &amp; Hands free hand washing points at 1X660 MW Bhusawal Project office complex &amp; site (PO NO - 4500110954)</t>
  </si>
  <si>
    <t>Work contract for hiring of vehicle along with driver for Security staff on round-o-clock at 1x660 MW Bhusawal Project (PO NO - 4500110926)</t>
  </si>
  <si>
    <t>Work contract for construction of anti chamber at CE cabin at 1x660 MW Bhusawal project office (PO NO - 4500110875)</t>
  </si>
  <si>
    <t>Procurement projectoor screen at 1X660 MW Project Bhusawal (PO NO - 4500110803)</t>
  </si>
  <si>
    <t>Procurement of various stationary items (PO NO - 4500110734)</t>
  </si>
  <si>
    <t>Procurement of street light poles at 1x660MW Bhusawal project. (PO NO - 4500110537)</t>
  </si>
  <si>
    <t>Work contract for providing services of drivers for day to day office work at 1x660 MW Bhusawal Project. (PO NO - 4500110534)</t>
  </si>
  <si>
    <t>Supply of LT, DC and control cables for 1X660 MW Project Bhusawal.  (PO NO - 4500110503)</t>
  </si>
  <si>
    <t>Work of providing and fixing mosquito grills to office windows at 1x660MW Bhusawal Project office area (PO NO - 4500110449)</t>
  </si>
  <si>
    <t>work of hiring of vehicles (TATA Sumo/ Scorpio/Bolero) along with drivers for MSF staff at 1X660 MW Bhusawal Project (PO NO - 4500110432)</t>
  </si>
  <si>
    <t>Procurement of instant water heaters (Geysers) for renovated project quarters at Bhusawal Project (PO NO - 4500110440)</t>
  </si>
  <si>
    <t>Supply of various sanitizing items at 1X660 MW Project office (PO NO - 4500110422)</t>
  </si>
  <si>
    <t>Supply and works of alternate cable laying for 11KV construction power supply (PO NO - 4500110346)</t>
  </si>
  <si>
    <t>Procurement of computer tables through GeM portal (PO NO - 4500110348)</t>
  </si>
  <si>
    <t>Work Contract for maintenance and providing catering services at Tapi Guest House (old guest house near Tapi river) at BTPS Deepnagar (PO NO - 4500110367)</t>
  </si>
  <si>
    <t>Work contract for providing services of unskilled labours for day to day office work at 1x660 MW Bhusawal Project (PO NO - 4500110328)</t>
  </si>
  <si>
    <t>Contract for operating newly procured plotter machine and scanner cum photocopy (xerox) machine at 1X660 MW Bhusawal Project office. (PO NO - 4500110252)</t>
  </si>
  <si>
    <t>Contract for providing Safety Assistants / Safety Sergeants to assist Safety work at 1X660 MW Bhusawal Project (PO NO - 4500110275)</t>
  </si>
  <si>
    <t>Procurement of revolving chairs through GeM portal (PO NO - 4500110261)</t>
  </si>
  <si>
    <t>Procurement of A4 paper RIM through GeM (PO NO - 4500110244)</t>
  </si>
  <si>
    <t>Procurement of various printer cartridges at 1X660 MW Project Bhusawal (PO NO - 4500110250)</t>
  </si>
  <si>
    <t>Contract for spraying of disinfectant for maintaining sanitation at 1X660 MW Bhusawal Project office complex. (PO NO - 4500110206)</t>
  </si>
  <si>
    <t>Works contract for day to day maintenance of electrical installations at project office, staff quarters and other miscellaneous electrical works in the project premises. (PO NO - 4500109822)</t>
  </si>
  <si>
    <t>work of hiring of vehicle (TATA Indica/Vista/Bolt) along with driver for Dy. C.E. (Project) &amp; services of hiring of vehicles on as-and-when required basis at 1x660 MW Bhusawal Project (PO NO - 4500109440)</t>
  </si>
  <si>
    <t>Work contract for supplying air coolers on hire basis at 1x660 MW Bhusawal Project. (PO NO - 4500109438)</t>
  </si>
  <si>
    <t>Work contract for operation &amp; maintenance of 33/11KV substation and cable laying at Bhusawal Project (PO NO - 4500109794)</t>
  </si>
  <si>
    <t>Work of hiring of vehicles (Mahindra TUV 300) along with driver at 1X660 MW Bhusawal Project. (PO NO - 4500109070)</t>
  </si>
  <si>
    <t>Work of dismentling, shifting and re-erection of 11KV two pole structure with underground cable in front of 2x500MW Factory gate. (PO NO - 4500108990)</t>
  </si>
  <si>
    <t>Procurement &amp; installation of UTM device (Sophos XG-135) with three years license for the O/o Chief Engineer (Project), 1X660 MW Project Bhusawal through GeM portal (PO NO - 4500109193)</t>
  </si>
  <si>
    <t>Work contract for maintenance of 1.5T &amp; 2T split air conditioners installed at project office. (PO NO - 4500109131)</t>
  </si>
  <si>
    <t>Work contract for providing parking management services at  1x660 MW Bhusawal project office (PO NO - 4500108775)</t>
  </si>
  <si>
    <t>Work contract for hiring of vehicles along with driver for Superintending Engineer (Project) at 1x660 MW Bhusawal Project. (PO NO - 4500108617)</t>
  </si>
  <si>
    <t>Procurement of A4 paper rims at 1x660 MW Bhusawal project office through GeM portal (PO NO - 4500109060)</t>
  </si>
  <si>
    <t>Procurement of New large format Inkjet (colour) plotter for the office of Cheif Engineer at 1x660 MW Bhusawal project office through GeM portal (PO NO - 4500108511)</t>
  </si>
  <si>
    <t xml:space="preserve"> Work contract for cutting of grass, bushes, shrubs, small trees, trimming of trees and removing dead trees at 1x660 MW Bhusawal project office (PO NO - 4500108487)</t>
  </si>
  <si>
    <t>Procurement of Industrial Safety Helmet for the office of Cheif Engineer at 1x660 MW Bhusawal project office through GeM portal (PO NO - 4500108532)</t>
  </si>
  <si>
    <t>Procurement of new scanner cum photocopy machine at project office through GeM portal (PO NO - 4500108454)</t>
  </si>
  <si>
    <t>Procurement of Projector at project office through GeM portal (PO NO - 4500108456)</t>
  </si>
  <si>
    <t>Work of electrification of 03 Nos. of D-type buildings (18 quarters) and 04 Nos. of E-type buildings (24 quarters) alongwith providing &amp; fitting of electrical items, fixtures etc. at BTPS colony (PO NO - 4500108470)</t>
  </si>
  <si>
    <t>Supply &amp; Installation of air conditioners &amp; appliances with accessories for project transit quarter. (PO NO - 4500106506)</t>
  </si>
  <si>
    <t>Work of engaging MSSC (MSF) security agency at 1x660 MW Bhusawal Project. (PO NO - 4500106329)</t>
  </si>
  <si>
    <t>Hiring of vehicle along with driver for Security staff for round the clock at 1x660 MW Bhusawal Project through tenderization
 (PO NO - 4500105522)</t>
  </si>
  <si>
    <t>Procurement of A3 &amp; A4 paper rim through GeM portal (PO NO - 4500117065)</t>
  </si>
  <si>
    <t>Contract for hiring of Ambulance (TATA winger/407) along with driver on round-o-clock basis at 1x660 MW Bhusawal Project. (PO NO - 4500117072)</t>
  </si>
  <si>
    <t>Procurement of Poly Carbonate Shield(MHA) at project office through GeM portal (PO NO - 4500108416)</t>
  </si>
  <si>
    <t>Procurement of poly carbonate lathi at project office through GeM portal (PO NO - 4500108406)</t>
  </si>
  <si>
    <t>Work contract for providing services of computer operators for day to day office work at 1x660 MW Bhusawal Project (PO NO - 4500108386)</t>
  </si>
  <si>
    <t>Work contract for providing services of computer operators for day to day office work at 1x660 MW Bhusawal Project (PO NO - 4500108385)</t>
  </si>
  <si>
    <t>Work contract for providing aluminum partition at 1x660 MW Bhusawal project office (PO NO - 4500108304)</t>
  </si>
  <si>
    <t>Procurement of various transformer protection relays for 33/11KV substation at x1660MW Bhusawal Project. (PO NO - 4500108214)</t>
  </si>
  <si>
    <t>Contract for hiring of vehicle along with driver for MSSC (MSF) staff for round the clock at 1x660 MW Bhusawal Project (PO NO - 4500107936)</t>
  </si>
  <si>
    <t>Procurement of color printer through GeM portal at 1X660 MW Project (PO NO - 4500107871)</t>
  </si>
  <si>
    <t>Procurement of Desktop computers for 1x660MW Bhusawal Project office. (PO NO - 4500107618)</t>
  </si>
  <si>
    <t>Procurement of multifunction printers for Project Office through GeM portal. (PO NO - 4500107569)</t>
  </si>
  <si>
    <t>Contract for providing services of computer operators for day to day office work at 1x660 MW Bhusawal Project. (PO NO - 4500107567)</t>
  </si>
  <si>
    <t>Procurement of Laptops for Project Office through GeM portal (PO NO - 4500107527)</t>
  </si>
  <si>
    <t>PROCUREMENT OF ESSENTIAL SPARES REQUIRED FOR 33KV &amp; 11KV ABB MAKE VCBs AT 33/11KV SUBSTATION. (PO NO - 4500107483)</t>
  </si>
  <si>
    <t>WORK CONTRACT FOR REPAIRING/OVERHAULING OF 33KV &amp; 11KV ABB MAKE VCBs AT 33/11KV SUBSTATION (PO NO - 4500107426)</t>
  </si>
  <si>
    <t>Procurement of ceiling fans for various newly renovated NE-type &amp; D-type quarters at BTPS colony. (PO NO - 4500107263)</t>
  </si>
  <si>
    <t>Work contract for point wiring at 1x660MW Bhusawal Project on as &amp; when requird basis. (PO NO - 4500107261)</t>
  </si>
  <si>
    <t>Work contract for day to day electrical installations at project office, staff quarters &amp; other electrical works at Bhusawal Project Premises. (PO NO - 4500106937)</t>
  </si>
  <si>
    <t>Procurement of All-in-one computers for senior officers at Bhusawal Project office through GeM. (PO NO - 4500106287)</t>
  </si>
  <si>
    <t>Contract for miscellaneous electrical works during renovation &amp; modification of cabins of senior officers at Bhusawal Project (PO NO - 4500106196)</t>
  </si>
  <si>
    <t>Supply of 5 KV Insulation Tester for day to day maintenance of the electrical installations for Bhusawal Project. (PO NO - 4500106160)</t>
  </si>
  <si>
    <t>Procurement of Chairs for Office of Dy. Chief Engineer(project) 1x660 MW Bhusawal Project Office. (PO NO - 4500105965)</t>
  </si>
  <si>
    <t>work of providing, making and fixing of Glazed partition, partition framing, door modification and reception sitting arrangement at 1X660 MW, Bhusawal Project (PO NO - 4500105963)</t>
  </si>
  <si>
    <t>work of providing, making and fixing of Conference sitting arrangement, Removal of old partition, partition framing, Highlighter and back paneling  light arrangement of C.E. cabin at 1X660 MW, Bhusawal Project. (PO NO - 4500105955)</t>
  </si>
  <si>
    <t>Contract for hiring of vehicle along with
driver for Superintending Engineer (Project) at 1x660 MW Bhusawal Project
 (PO NO - 4500105402)</t>
  </si>
  <si>
    <t>Procurement of Desktop Computers for project office (through GeM portal : 6 nos) (PO NO - 4500105252)</t>
  </si>
  <si>
    <t>Procurement &amp; installation of water heaters &amp; AC's with accessories for project Transit quarter BM-23 (PO NO - 4500104831)</t>
  </si>
  <si>
    <t>Contract for providing services of driver for day to day office work at 1x660 MW Bhusawal Project (PO NO - 4500104781)</t>
  </si>
  <si>
    <t>Work contract for providing services of computer operator for day to day office work at 1x660 MW Bhusawal Project through tenderization
 (PO NO - 4500104780)</t>
  </si>
  <si>
    <t>Work of providing establishment &amp; interconnection of LAN Network at 1x660MW project office. (PO NO - 4500104751)</t>
  </si>
  <si>
    <t>Work contract for providing services of unskilled &amp; semi-skilled labours for day to day office work at 1x660 MW Bhusawal Project through tenderization (PO NO - 4500104750)</t>
  </si>
  <si>
    <t>Procurement of 06Nos. All-In-One printer required for Office of Dy. Chief Engineer (Proj.) through GeM (PO NO - 4500104741)</t>
  </si>
  <si>
    <t>Procurement of home appliances for project transit quarter (PO NO - 4500104724)</t>
  </si>
  <si>
    <t>Work contract for maintenance and providing catering services at old guest house (near Tapi river), BTPS Deepnagar through tenderization. (PO NO - 4500104530)</t>
  </si>
  <si>
    <t>Work contract for hiring of vehicles for project staff along with driver &amp; fuel for 1x660 MW Bhusawal Project office through tenderization (PO NO - 4500104383)</t>
  </si>
  <si>
    <t>1x660 MW Bhusawal Project - MCE Expenditure</t>
  </si>
  <si>
    <t>Payment of MCE Insurance Premium to M/s. BHEL - New Delhi (PO NO - 4500103519)</t>
  </si>
  <si>
    <t>Work of maintenance &amp; repair of 1.5/2 T AC &amp; water cooler with RO at  1x660 MW Bhusawal Project office. (PO NO - 4500103365)</t>
  </si>
  <si>
    <t>Supply of general electrical items for routine maintenance work of project office &amp; quarters. (PO NO - 4500103333)</t>
  </si>
  <si>
    <t>Hiring of Air coolers during summer season for 1x660 MW Bhusawal Project (PO NO - 4500103194)</t>
  </si>
  <si>
    <t>Payment of MCE Insurance Premium to M/s. BHEL - New Delhi (PO NO - 4500103166)</t>
  </si>
  <si>
    <t>Procurement of networking materials required for establishment of LAN at 1x660 MW Bhusawal Project (PO NO - 4500103087)</t>
  </si>
  <si>
    <t>Procurement of LED slim panel fixtures for project offices at 1x660MW project building (PO NO - 4500103085)</t>
  </si>
  <si>
    <t>various carpentry works along-with required materials at project transit quarter in BTPS Colony and providing and fixing one way glass partition for Dy. CE cabin, Deepnagar (PO NO - 4500102864)</t>
  </si>
  <si>
    <t>Work of 33/11 KV Substation operation &amp; 11 KV line maintenance contract (PO NO - 4500102832)</t>
  </si>
  <si>
    <t>work contract for providing services of skilled attendant as caretaker for project transit quarters at 1x660 MW Bhusawal Project (PO NO - 4500102755)</t>
  </si>
  <si>
    <t>works by engaging agency for providing services of skilled   manpower as computer operator for assisting day to day office works (PO NO - 4500102583)</t>
  </si>
  <si>
    <t>works by engaging agency for providing services of unskilled manpower for assisting day to day office works (PO NO - 4500102484)</t>
  </si>
  <si>
    <t>Supply of of Executive Revolving Chairs for Office of Chief Engineer (project) 1x660 MW Bhusawal Project Office (PO NO - 4500102270)</t>
  </si>
  <si>
    <t>work of providing &amp; fixing of flooring PVC carpets, vertical blends, windows curtains, sofa cushioning and covering etc. at 1x660 MW Bhusawal Project Office. (PO NO - 4500102253)</t>
  </si>
  <si>
    <t>work of providing, making and fixing of round office table, Side lappy runner unit, Sofa two Seater, Central table, Fancy sofa cornice, Door modification etc.at project officecabin for 1X660 MW, Bhusawal Project (PO NO - 4500102205)</t>
  </si>
  <si>
    <t>work of providing, making and fixing of Back Paneling, Table Cushioning, Displays, Vertical Blinds, CPC carpet at Project Office Cabin for 1X660 MW, Bhusawal Project (PO NO - 4500102200)</t>
  </si>
  <si>
    <t>Work of providing, fixing and constructing 
watchman tower structure as per IB
recommendation for security guards for safety &amp; security of project premises as per scope of work at1x660MW Bhusawal Project Site.
 (PO NO - 4500102125)</t>
  </si>
  <si>
    <t>work of printing of Identity cards of MSPGCL employees posted at the office of C.E (Project), 1 x 660 MW Bhusawal Project, Deepnagar (PO NO - 4500102124)</t>
  </si>
  <si>
    <t>Work contract for day to day electrical installations at project office, staff quarters &amp; other electrical works at Bhusawal Project Premises. (PO NO - 4500102119)</t>
  </si>
  <si>
    <t>Work contract for applying Anti-fire coating for HT/LT cables at substation &amp; batching plant supply cabin. (PO NO - 4500101829)</t>
  </si>
  <si>
    <t>procurement of Tailored apron, Napkin, Towel and Chaircover for engineers of1x660 MW Bhusawal Project Office (PO NO - 4500101816)</t>
  </si>
  <si>
    <t>Work contract for electrical wiring for various aitional points at residensial quarter for CE (P) (PO NO - 4500101701)</t>
  </si>
  <si>
    <t>Extension of 11 KV construction supply from 33/11 KV substation to 1x660 MW site (PO NO - 4500101522)</t>
  </si>
  <si>
    <t>providing &amp; fixing of concrete &amp; steel benches for 1x660 MW Bhusawal Project Office (PO NO - 4500101362)</t>
  </si>
  <si>
    <t>works by engaging agency for providing services of skilled manpower (drivers) for office vehicles. (PO NO - 4500101347)</t>
  </si>
  <si>
    <t>works by engaging agency for providing services of unskilled manpower for assisting day to day office works (PO NO - 4500101306)</t>
  </si>
  <si>
    <t>works by engaging agency for providing services of skilled   manpower as computer operator for assisting day to day office works. (PO NO - 4500101305)</t>
  </si>
  <si>
    <t>Procurement of 33 KV, 3 core, 300 sq.mm XLPE cable for standby  source supply to 33/11 KV substation (PO NO - 4500100763)</t>
  </si>
  <si>
    <t>Supply and erection of safety statue indicating importance of safety at 1x660 MW Bhusawal Project (PO NO - 4500100577)</t>
  </si>
  <si>
    <t>Work contract for overhauling of ceiling fans &amp; replacement of spare parts (PO NO - 4500099989)</t>
  </si>
  <si>
    <t>Work of upgradation of existing 4 nos. of 1.5 T  ACs at bhusawal project office. (PO NO - 4500099277)</t>
  </si>
  <si>
    <t>Work contract for cleaning, screening &amp; refilling of metal stones and painting of  transformers at 33/11 KV substation near 2x500 MW Gate (PO NO - 4500099274)</t>
  </si>
  <si>
    <t>Painting of internal walls of Panel room at Substation along with metering cabins,battery room &amp; structure foundations. (PO NO - 4500099272)</t>
  </si>
  <si>
    <t>Supply of 240 W LED flood lamps for project office premises. (PO NO - 4500099184)</t>
  </si>
  <si>
    <t>Supply of energy efficient LED fixtures for 33/11 KV substation &amp; street lighting of project premises. (PO NO - 4500099183)</t>
  </si>
  <si>
    <t>work of up gradation of existing office PCs (Desktop Computers) for 1x660 MW Bhusawal Project Office. (PO NO - 4500099079)</t>
  </si>
  <si>
    <t>awarding maintenance work of trees (600 Nos.) planted during “Van Mahotsav 2018”.  (PO NO - 4500099065)</t>
  </si>
  <si>
    <t>Erection &amp; commissioning of mini high mast pole along with LED flood lights. (PO NO - 4500098722)</t>
  </si>
  <si>
    <t>work of fabrication and erection of canopy for parking  (PO NO - 4500098626)</t>
  </si>
  <si>
    <t>Expert consultation for SAP (PO NO - 4500098625)</t>
  </si>
  <si>
    <t>Services of Photography and video shooting of various events &amp; Project Milestone Activities (PO NO - 4500098624)</t>
  </si>
  <si>
    <t>work of removing of grass, bushes, shrubs, small trees, trimming of trees and removing dead trees around the 1x660 MW Bhusawal Project Office. 
 (PO NO - 4500098622)</t>
  </si>
  <si>
    <t>Hiring of Vehicles (PO NO - 4500098274)</t>
  </si>
  <si>
    <t>Hiring of Vehicles (PO NO - 4500098273)</t>
  </si>
  <si>
    <t>Painting of structures of Substation along with metering cabin,Gate &amp; fencing (PO NO - 4500098116)</t>
  </si>
  <si>
    <t>Supply of 11 KV, XLPE cable for construction supply from 33/11 KV substation to 1x660 MW site (PO NO - 4500098050)</t>
  </si>
  <si>
    <t>Work contract for modification of 11 KV supply line to project &amp; BHEL office (PO NO - 4500097797)</t>
  </si>
  <si>
    <t>Supply of material for 11 kv line modification for improving stability of supply at project office (PO NO - 4500097649)</t>
  </si>
  <si>
    <t>procurement of safety shoes, Rain suit &amp; gum boots  (PO NO - 4500097456)</t>
  </si>
  <si>
    <t>Work of routine electrical maintenance of project office. (PO NO - 4500097190)</t>
  </si>
  <si>
    <t>work of fabrication and erection of sliding entrance main gate at 1x660 MW Bhusawal Project Office. (PO NO - 4500097157)</t>
  </si>
  <si>
    <t>work contract for tree plantation at 1 x 600 MW project site (PO NO - 4500097155)</t>
  </si>
  <si>
    <t>Work of providing Mobile Toilet/ Urinal Van at 1x660 MW Bhusawal Project Site.  (PO NO - 4500096811)</t>
  </si>
  <si>
    <t>Annual work contract for providing services of unskilled labours for extra miscellaneous office works at 1x660 MW Bhusawal Project. (On As &amp; When basis) (PO NO - 4500096733)</t>
  </si>
  <si>
    <t>Work of repairs &amp; painting of Quarter -Block 19 at BM building aollted for Dy.CE (Project), Bhusawal (PO NO - 4500096664)</t>
  </si>
  <si>
    <t>Repair &amp; maintenance of samsung make 2T AC at project office &amp; upgradation of existing 2T AC into energy saver split AC (PO NO - 4500096663)</t>
  </si>
  <si>
    <t>Work of Renovation (Furniture) of Dy.CE (Project) Cabin by providing Cupboard and Office table for 1X660 MW, Bhusawal Project. (PO NO - 4500096650)</t>
  </si>
  <si>
    <t>Supply of Energy efficient LED Flood light &amp; tube lights for project office &amp; premises. (PO NO - 4500096524)</t>
  </si>
  <si>
    <t>work contract for arranging various kinds of tree saplings and pots to celebrate National Tree Plantation Day: 01 July 2018 at 1 x 660 MW Bhusawal Project office, Deepnagar. (PO NO - 4500096510)</t>
  </si>
  <si>
    <t>work of painting of parking stand shed &amp; supporting structure at 1x660 Bhusawal project office. (PO NO - 4500096504)</t>
  </si>
  <si>
    <t>Work of printing of security related various identity cards and daily report book for the office of Dy. C.E (Project), 1 x 660 MW Bhusawal Project, Deepnagar. (PO NO - 4500096503)</t>
  </si>
  <si>
    <t>Supply of RSJ pole for erection of 33KV line. (PO NO - 4500096347)</t>
  </si>
  <si>
    <t>Procurement of Stationary &amp; general items for day to day use for O/o Dy.CE,Bhusawal project (PO NO - 4500096201)</t>
  </si>
  <si>
    <t>Hiring of vehicle along with driver for Dy. Chief Engineer, 1 x 660 MW Bhusawal Project (FOR 2 MONTHS) (PO NO - 4500096094)</t>
  </si>
  <si>
    <t>Procurement of Stationary &amp; general items for day to day use for O/o Dy.CE,Bhusawal project (PO NO - 4500095891)</t>
  </si>
  <si>
    <t>work contract for providing services of unskilled labours for day to day office work at 1x660 MW Bhusawal Project (PO NO - 4500095850)</t>
  </si>
  <si>
    <t>providing services of drivers for day to day office work at 1x660 MW Bhusawal Project  (PO NO - 4500095702)</t>
  </si>
  <si>
    <t>Servicing &amp; maintenance of 33/11 KV substation near 2x500MW gate. (PO NO - 4500095665)</t>
  </si>
  <si>
    <t>Work contract for providing services of computer operation for day to day office work at 1x660 MW Bhusawal Project  (PO NO - 4500095439)</t>
  </si>
  <si>
    <t>Supply of End termination kit for 3 core, 300 sqmm XLPE cable &amp; insulators for diversion of 33 KV line (PO NO - 4500095068)</t>
  </si>
  <si>
    <t>Erection &amp; commissioning and diversion of 33 KV O/H supply lines to 33/11 KV substation (PO NO - 4500094993)</t>
  </si>
  <si>
    <t>work of providing &amp; fixing of windows curtains, wooden flooring PVC carpet &amp; roll blinds at 1x660 MW Bhusawal Project Office.  (PO NO - 4500094977)</t>
  </si>
  <si>
    <t>Procurement of 01 Nos. computer along with printer required for Office of Dy. Chief Engineer (Proj.). (PO NO - 4500093956)</t>
  </si>
  <si>
    <t>work of supply &amp; commissioning of earthing pits at 1x660 MW Bhusawal Project foundation stone laying area. (PO NO - 4500093519)</t>
  </si>
  <si>
    <t>Repairs &amp; maintenance of Samsung make 2T # Air conditioners at 1x660 MW Project office and up gradation of existing water cooler 60 lit (PO NO - 4500093505)</t>
  </si>
  <si>
    <t>work contract for providing services of unskilled labours for day to day  office work  (PO NO - 4500093492)</t>
  </si>
  <si>
    <t>Work contract for providing services of drivers for day to day office work  (PO NO - 4500093477)</t>
  </si>
  <si>
    <t>work of painting of project office roof (inner side) along the corridor and supporting structure, walls &amp; window grills at 1x660 MW Bhusawal Project Office.  (PO NO - 4500093433)</t>
  </si>
  <si>
    <t>Work of providing CCTV &amp; related IT services for security system for 1x660 MW Bhusawal Project foundation stone laying program.  (PO NO - 4500093184)</t>
  </si>
  <si>
    <t>Work of removing of bushes, shrubs, small trees, trimming of trees and cleaning of the drains and area around the 1x660 MW Bhusawal Project Office.  (PO NO - 4500093026)</t>
  </si>
  <si>
    <t>Erection of chianlin fencing around 500KVA Transformer near 500MW/660MW wall compound (PO NO - 4500092866)</t>
  </si>
  <si>
    <t>Work contract for day to day electrical complaints of Project office &amp; other electrical works in the
Bhusawal Project premises. (PO NO - 4500092863)</t>
  </si>
  <si>
    <t>Work Contract for providing skilled assistance for operating day to day computers in Account, Technical &amp; GAD section (PO NO - 4500092573)</t>
  </si>
  <si>
    <t>Supply of air coolers on hire basis for 1x660 MW Bhusawal Project (PO NO - 4500092433)</t>
  </si>
  <si>
    <t>Hiring of vehicle AC (Swift Dzire) along with driver for 1 x 660 MW Bhusawal Project office. (PO NO - 4500092241)</t>
  </si>
  <si>
    <t>Providing unskilled manpower in Coal Handling Plant for removal of tarpaulin covered on stacked coal at 1X660 MW Bhusawal Project by placing confirmatory order (PO NO - 4500140879)</t>
  </si>
  <si>
    <t>Procurement of license free walkie-talkie sets at 1x660 MW Bhusawal Project by placing confirmatory order (PO NO - 4500140024)</t>
  </si>
  <si>
    <t>Work of printing of logbooks for commissioning activities at 1x660 MW project on confirmatory basis (PO NO - 4500138830)</t>
  </si>
  <si>
    <t>Work of repairing of 20 Mtr. high mast tower near NDCT at 1x660 MW Bhusawal Project on confirmatory basis (PO NO - 4500139234)</t>
  </si>
  <si>
    <t>Procurement of Network Rack for mounting of DSM equipment’s at 1 x 660 MW project on confirmatory basis (PO NO - 4500138090)</t>
  </si>
  <si>
    <t>Work of stacking loading transportation of resins and water filtration sand at project site on confirmatory basis (PO NO - 4500138212)</t>
  </si>
  <si>
    <t>Work of stacking loading transportation of resins and water filtration sand at project site on confirmatory basis (PO NO - 4500138211)</t>
  </si>
  <si>
    <t>Work of repairing of 150KVA, 11KV/415V distribution transformer for water fitration plant at Fulgaon Kathora on confirmatory basis. (PO NO - 4500136845)</t>
  </si>
  <si>
    <t>Procurement of 3 Phase Electronic energy meter &amp; ring type current transformers on confirmatory basis. (PO NO - 4500136535)</t>
  </si>
  <si>
    <t>Work of  hiring tractor with diesel and driver for shifting of insulation material stacked in project sheds at the risk and cost of M/s BHEL by placing confirmatory order. (PO NO - 4500136492)</t>
  </si>
  <si>
    <t>Work contract for dismantling, loading, transportation, unloading and assembly of storage racks from Storage shed at Project premises to storage shed at Major Stores ‘A’ premises on confirmatory basis (PO NO - 4500136322)</t>
  </si>
  <si>
    <t>Work contract for refreshment arrangements at Purna Guest House in view of visit of Hon’ble Member, TPMG, CEA, Hon’ble Director (Projects), MSPGCL and Higher officials &amp; top management of MSPGCL at 1x660 MW Bhusawal Project by placing confirmatory order (PO NO - 4500135820)</t>
  </si>
  <si>
    <t>Work contract for dismantling, loading, transportation, unloading and assembly of storage racks from Storage shed at Project premises to storage shed at Major Stores ‘A’ premises on confirmatory basis (PO NO - 4500135098)</t>
  </si>
  <si>
    <t>Procurement of log books and permit books for commissioning staff  at 1X660 MW Bhusawal Project on confirmatory basis (PO NO - 4500134361)</t>
  </si>
  <si>
    <t>Work contract for replacement of compressor of split air conditioner (2.0 Ton capacity) through Confirmatory order (PO NO - 4500134118)</t>
  </si>
  <si>
    <t>Work of hiring of SUV (Mahindra TUV/Bolero/Neo or equivalent vehicle) along with driver for security staff at 1x660MW Bhusawal Project through Confirmatory order (PO NO - 4500134103)</t>
  </si>
  <si>
    <t>hiring services of M/s. TCR Engineering Services Pvt. Ltd., Navi Mumbai for boiler tube samples analysis viz, Tensile testing, hardness testing, micrstructure analysis with sample cutting machining &amp; specimen preparation at 1x660 MW Bhusawal Project by placing confirmatory order (PO NO - 4500132862)</t>
  </si>
  <si>
    <t>Prior approval for the Work contract for operating scanner cum photocopy (Xerox), Plotter machine at 1X660 MW Bhusawal Project office on confirmatory basis (PO NO - 4500132278)</t>
  </si>
  <si>
    <t>Procurement of license free walkie-talkie sets for AHP package at 1x660 MW Bhusawal Project by placing confirmatory order. (PO NO - 4500131756)</t>
  </si>
  <si>
    <t>Work order for providing consultants &amp; expert services for renewal of PESO CCOE license for storgae of fuel oil (HFO &amp; LDO) at 1x660 MW Bhusawal Project at the risk &amp; cost of M/s. BHEL by placing confirmatory order. (PO NO - 4500131991)</t>
  </si>
  <si>
    <t>Work of Loading, Unloading &amp; transportation of removed non-operational pipeline from Ash Bund to TPS at 1X660MW BSL project by placing confirmatory order (PO NO - 4500130622)</t>
  </si>
  <si>
    <t>Work of hiring of SUV (Mahindra TUV/Bolero or equivalent ) along with driver for project staff at 1x660MW Bhusawal Project on confirmatory basis (PO NO - 4500131717)</t>
  </si>
  <si>
    <t>Work of refreshment arrangements at Purna Guest House in view of visit of Hon’ble CMD, MSPGCL and Higher officials &amp; top management at 1x660 MW Bhusawal Project by placing confirmatory order (PO NO - 4500131748)</t>
  </si>
  <si>
    <t>Work of refreshment arrangements at Purna Guest House in view of visit of MSPGCL Higher officials &amp; top management at 1x660 MW Bhusawal Project by placing confirmatory order (PO NO - 4500131754)</t>
  </si>
  <si>
    <t>Work supply and laying of OFC from 2x500 MW BTPS Server room to 1x660 MW Central Control Room (CCR) at 1x660 MW Project by placing confirmatory order (PO NO - 4500131501)</t>
  </si>
  <si>
    <t>Procurement of license free walkie-talkie at 1x660MW Bhusawal Project through Confirmatory order (PO NO - 4500130852)</t>
  </si>
  <si>
    <t>Work of hiring of SUV (Mahindra TUV/Bolero/Neo or equivalent vehicle) along with driver for security staff at 1x660MW Bhusawal Project through Confirmatory order (PO NO - 4500130761)</t>
  </si>
  <si>
    <t>Work of hiring of vehicle (TATA Indica/Vista/Bolt) along with
driver for Dy. C.E. (Project) and Higher officers &amp; services of hiring of vehicles on as-and-when required basis at 1x660 MW Bhusawal Project through Confirmatory order (PO NO - 4500130627)</t>
  </si>
  <si>
    <t>Work of hiring of vehicle (TATA Indica/Vista/Bolt) along with
driver for Dy. C.E. (Project) and Higher officers &amp; services of hiring of vehicles on as-and-when required basis at 1x660 MW Bhusawal Project through Confirmatory order (PO NO - 4500130521)</t>
  </si>
  <si>
    <t>Work of hiring of SUV (Mahindra TUV/Bolero/Neo or equivalent vehicle) along with driver for security staff at 1x660MW Bhusawal Project through Confirmatory order (PO NO - 4500130315)</t>
  </si>
  <si>
    <t>work of extension of intercom connection from 2x500 MW BTPS premises to 1x660 MW CCR at Project site at 1x660 MW Project by placing confirmatory order (PO NO - 4500128906)</t>
  </si>
  <si>
    <t>Procurement of furniture items for temporary Chummery (Quarter No Super D 13/2 and Super D 15/2) For 1 x 660 MW Bhusawal Project commissioning staff by placing confirmatory order (PO NO - 4500128832)</t>
  </si>
  <si>
    <t>Work contract for refreshment arrangements at Purna Guest House in view of Hon’ble Director (Projects), MSPGCL visit at 1x660 MW Bhusawal Project by placing confirmatory order (PO NO - 4500128838)</t>
  </si>
  <si>
    <t>1x660 MW Bhusawal Project - Eshtablishment related_Ashtech R&amp;C Expenditure</t>
  </si>
  <si>
    <t>Work contract for replacement of OFC Cable damaged during construction work to restore Internet connection of BTPS and colony premises by placing confirmatory order at the risk and cost of M/s Ashtech Vaishnavi Engineering Pvt. Ltd - Thane (PO NO - 4500128833)</t>
  </si>
  <si>
    <t>Work of hiring of vehicles for VIP on as-and-when required basis at 1x660 MW Project Office by placing confirmatory order (PO NO - 4500128648)</t>
  </si>
  <si>
    <t>providing internet connectivity along with router and fiber cable etc. at PCR of 1 x 660 MW Bhusawal Project by placing confirmatory order (PO NO - 4500126259)</t>
  </si>
  <si>
    <t>Procurement and laying of optic fiber cable (OFC) for CCTV camera installed at Project site at 1x660 MW Project by placing confirmatory order. (PO NO - 4500127015)</t>
  </si>
  <si>
    <t>Work contract for VVIP dinner arrangements in view of Hon’ble CMD, MSPGCL visit at 1x660 MW Bhusawal Project by placing confirmatory order (PO NO - 4500124664)</t>
  </si>
  <si>
    <t>Procurement of folding tables to set up conference table in view of Hon’ble CMD, MSPGCL visit at 1x660 MW Bhusawal Project by placing confirmatory order (PO NO - 4500124708)</t>
  </si>
  <si>
    <t>Work contract for hardness testing by UCI machine at 1x660 MW Project by placing confirmatory order (PO NO - 4500124568)</t>
  </si>
  <si>
    <t>Repairing, Rewinding, Lifting, Shifting of 40 HP Water pump of Fulgaon for water supply on confirmatory order basis (PO NO - 4500123261)</t>
  </si>
  <si>
    <t>Works of buffing and cleaning of welded joints at various locations of boiler at 1x660 MW Bhusawal Project by placing confirmatory order (PO NO - 4500122964)</t>
  </si>
  <si>
    <t>Providing "Sukameva" to employees of 1x660 MW Bhusawal Project, Deepnagar by placing confirmatory order (PO NO - 4500122782)</t>
  </si>
  <si>
    <t>Repairing of Submersible pump for installation at Fulgaon  for water supply by placing confirmatory order (PO NO - 4500122346)</t>
  </si>
  <si>
    <t>Providing refreshment at 1x660 MW Project Office by placing confirmatory order (PO NO - 4500122637)</t>
  </si>
  <si>
    <t>Work contract for carrying out cleaning &amp; housekeeping work at Project site in view of visit of Hon. Energy Minister at 1x660 MW Bhusawal Project by placing confirmatory order (PO NO - 4500119601)</t>
  </si>
  <si>
    <t>Procurement of safety helmets and industrial safety shoes in view of visit of Hon Energy minister at 1x660 MW Project Office by placing confirmatory order (PO NO - 4500119553)</t>
  </si>
  <si>
    <t>Procurement of communication device during site visit of Hon. ED (Project)at 1x660 MW Project Office by placing confirmatory order (PO NO - 4500119649)</t>
  </si>
  <si>
    <t>Providing catering services to team of Internal Auditors at 1x660 MW Project Office by placing confirmatory order (PO NO - 4500118027)</t>
  </si>
  <si>
    <t>Providing catering services to team of Internal Auditors at 1x660 MW Project Office by placing confirmatory order (PO NO - 4500118095)</t>
  </si>
  <si>
    <t>Contract for providing and installing CCTV surveillance system at 1X660 MW Project site material entry gate through confirmatory (PO NO - 4500111196)</t>
  </si>
  <si>
    <t>Works of fabrication and installation of disinfectant chambers at 1 x 660 MW Bhusawal Project by placing confirmatory order (PO NO - 4500110202)</t>
  </si>
  <si>
    <t>Confirmatory order for transportation, loading &amp; unloading of various electrical items from koradi to bhusawal project. (PO NO - 4500105689)</t>
  </si>
  <si>
    <t>Providing and fixing of various  car accessories for the newly procured Dezire for CE (Project) (PO NO - 4500107991)</t>
  </si>
  <si>
    <t>CONFIRMATORY ORDER FOR CONSTRUCTION OF SAFETY GRILL FOR WATER COOLER AT BHUSAWAL PROJECT OFFICE. (PO NO - 4500107840)</t>
  </si>
  <si>
    <t>Confirmatory order for Repair and servicing of split Air Conditioners at various sections of 1x660MW Bhusawal Project Office. (PO NO - 4500107833)</t>
  </si>
  <si>
    <t>Confirmatory order for construction of portable platform for vehicles inspection at 1x660 MW project site main gate. (PO NO - 4500107832)</t>
  </si>
  <si>
    <t>Confirmatory order for modification of construction power supply cable trays structure, cable remoing &amp; rerouting on the elavated cable trays at 400 KV switchyard. (PO NO - 4500106467)</t>
  </si>
  <si>
    <t>Work contract for tree plantation at 1 x 600 MW project site through confirmatory order in emergent situation (PO NO - 4500100220)</t>
  </si>
  <si>
    <t>procurement of safety helmets (blue and white) in view of 660 MW Bhusawal Project Foundation Stone laying ceremony through
confirmatory order after execution of work in emergent situation
 (PO NO - 4500096284)</t>
  </si>
  <si>
    <t>Hiring of vehicle AC (Swift Dzire) along with driver for 1 x 660 MW Bhusawal Project office for the period of 20.02.2018 to 17.03.2018. (PO NO - 4500092509)</t>
  </si>
  <si>
    <t>CCC Bhusawal - ESTABLISHMENT</t>
  </si>
  <si>
    <t>Providing 6 Nos skilled &amp; 3 Nos unskilled assistance for computer cleaning work &amp; book keeping dispatch work during vehicle division office as directed by engg. For civil const. division, deepnagar bhusawal (PO NO - 4500093464)</t>
  </si>
  <si>
    <t>02.04.2018</t>
  </si>
  <si>
    <t>Hiring of private AC Taxi (i.e. Zest /Indigo/Swift desireequivalent) along with driver &amp; diesel required for Dy. C.E. C.C.C. Deepnagar, Bhusawal (PO NO - 4500094493)</t>
  </si>
  <si>
    <t>27.04.2018</t>
  </si>
  <si>
    <t>Providing Hot Weather eshtablishment for summer 2018 at civil const. circle, Deepnagar, Bhusawal (PO NO - 4500094491)</t>
  </si>
  <si>
    <t>Providing services of skilled of unskilled assistance for division G.A.D., Account office housekeeping  at new project office shed at BTPS Deepnagar, Bhusawal  (PO NO - 4500094832)</t>
  </si>
  <si>
    <t>14.05.2018</t>
  </si>
  <si>
    <t>maintainance of landscaping gardening in front of project office premises at BTPS Deepnagar, Bhusawal, Dist Jalgaon (PO NO - 4500094675)</t>
  </si>
  <si>
    <t>Providing services of skilled of unskilled assistance for division G.A.D., Account office housekeeping  at new project office shed at BTPS Deepnagar, Bhusawal  (PO NO - 4500096024)</t>
  </si>
  <si>
    <t>26.06.2018</t>
  </si>
  <si>
    <t>CCC Bhusawal - CONSULTANCY</t>
  </si>
  <si>
    <t>Preparation of MVAT/GST register in r/o Bhusawal civil const. circle division deepnagar, bhusawal (PO NO - 4500096025)</t>
  </si>
  <si>
    <t>Providing assistance of maintainance water supply in project premises at Deepnagar, Bhusawal (PO NO - 4500096643)</t>
  </si>
  <si>
    <t>18.07.2018</t>
  </si>
  <si>
    <t>CCC Bhusawal - TENDER CANCELLED</t>
  </si>
  <si>
    <t>Providing services of skilled of unskilled assistance for division G.A.D., Account office housekeeping  at new project office shed at BTPS Deepnagar, Bhusawal  (PO NO - 4500097921)</t>
  </si>
  <si>
    <t>13.08.2018</t>
  </si>
  <si>
    <t>CCC Bhusawal - OTHER MISC</t>
  </si>
  <si>
    <t>Maintenance of miscellanious work for project staff quarters and project office at BTPS Deepnagar Bhusawal  (PO NO - 4500098490)</t>
  </si>
  <si>
    <t>15.09.2018</t>
  </si>
  <si>
    <t>Providing services of unskilled assistance for maintainance of project chemmury BTPS colony under civil const. circle Deepnagar, Bhusawal (PO NO - 4500098486)</t>
  </si>
  <si>
    <t>17.09.2018</t>
  </si>
  <si>
    <t>Work of providing installation &amp; commissioningh of verticle submerciable pump of boarwell and misc. maintainance work at civil const. cicle at BTPS Deepnagar, Bhusawal (PO NO - 4500099614)</t>
  </si>
  <si>
    <t>25.09.2018</t>
  </si>
  <si>
    <t>Work of water proffing for attending leakage from AC corrugated roofing sheet of project office shed at Deepnagar, Bhusawal (PO NO - 4500098485)</t>
  </si>
  <si>
    <t>Renovation  and reparing work of general ladies toilets &amp; other misc work of project Dy. C.E. office at project office complex Deepnagar Bhusawal (PO NO - 4500098487)</t>
  </si>
  <si>
    <t>Preparation of ground in view 72nd Independence Day on 15 Aug 2018 for flag hosting ceremony at project complex at Deepanagr Bhusawal (PO NO - 4500098890)</t>
  </si>
  <si>
    <t>26.09.2018</t>
  </si>
  <si>
    <t>Hiring of vehicle for for the work mortgage deed at Bodwad in between REC PEF &amp; MSPGCL (PO NO - 4500098891)</t>
  </si>
  <si>
    <t>Preparing of sewage water pipeline &amp; chamber of backside project office complex Deepnagar, Bhusawal (PO NO - 4500098489)</t>
  </si>
  <si>
    <t>29.09.2018</t>
  </si>
  <si>
    <t>Providing services of skilled of unskilled assistance for division G.A.D., Account office housekeeping  at new project office shed at BTPS Deepnagar, Bhusawal  (PO NO - 4500099152)</t>
  </si>
  <si>
    <t>12.10.2018</t>
  </si>
  <si>
    <t>Providing drinking water source to BHEL at BTPS Deepnagar, Bhusawal (PO NO - 4500099156)</t>
  </si>
  <si>
    <t>Providing &amp; fixing water meter air valve, sluice valve etc at pump house outlet canal BTPS Deepnagar Bhusawal (PO NO - 4500099148)</t>
  </si>
  <si>
    <t>Extension of the providing construction water supply to BHEL at BTPS Deepnagar Bhusawal (PO NO - 4500099155)</t>
  </si>
  <si>
    <t>Replacement of damaged fall celling at Dy. C.E. (P), Dy. C.E. (C), S.E. (C) Cabins Deepnagar, Bhusawal (PO NO - 4500099726)</t>
  </si>
  <si>
    <t>01.11.2018</t>
  </si>
  <si>
    <t>Workof widening of existing 1x660MW to 2x500MW connecting M/sgatefor M/S. BHEL for 1x660MW replacement unit at BTPS Deepnagar Bhusawal (PO NO - 4500099720)</t>
  </si>
  <si>
    <t>Work of construction of damaged security compound wall along with boundary of 1x660MW repln. Unit at BTPS Deepnagar Bhusawal (PO NO - 4500099729)</t>
  </si>
  <si>
    <t>Work of painting of C.E. (P), Dy. C.E. (P), S.E. (P) &amp; other cabins &amp; renovation of toilets at BTPS Deepnagar Bhusawal (PO NO - 4500099728)</t>
  </si>
  <si>
    <t>Providing &amp; Maintainance of alluminium partion work of making cabins in project office in various section at BTPS Deepnagar (PO NO - 4500099727)</t>
  </si>
  <si>
    <t>Hiring of private AC Taxi (i.e. Zest /Indigo/Swift desireequivalent) along with driver &amp; diesel required for Dy. C.E. C.C.C. Deepnagar, Bhusawal (PO NO - 4500099721)</t>
  </si>
  <si>
    <t>Providing &amp; fixing blinds curtains &amp; carpet for Dy. C.E. cabin at other cabin civil construction circle Deepnagar Bhusawal (PO NO - 4500099997)</t>
  </si>
  <si>
    <t>13.11.2018</t>
  </si>
  <si>
    <t>Construction of chain-link fencing near railway siding of 2x500MW along boundary of 1x660MW replacement unit BTPS Deepnagar Bhusawal (PO NO - 4500100463)</t>
  </si>
  <si>
    <t>07.12.2018</t>
  </si>
  <si>
    <t>Providing services of skilled of unskilled assistance for division G.A.D., Account office housekeeping  at new project office shed at BTPS Deepnagar, Bhusawal  (PO NO - 4500100549)</t>
  </si>
  <si>
    <t>Providing raw water source to project office complex at BTPS Deepnagar Bhusawal (PO NO - 4500100665)</t>
  </si>
  <si>
    <t>13.12.2018</t>
  </si>
  <si>
    <t>Work of cleaning of constructed darin &amp; misc repairing work in premises of project office complex at BTPS Deepnagar (PO NO - 4500100678)</t>
  </si>
  <si>
    <t>Work of providing &amp; errecting GI Chain-link fencing of 1.60 m. hight at back side of civil wing in project office complex at BTPS Deepnagar, Bhusawal (PO NO - 4500100677)</t>
  </si>
  <si>
    <t>Work of rerouting of drinking water supply pipe line to kapil vasti nagar Bhusawal (PO NO - 4500100666)</t>
  </si>
  <si>
    <t>Hiring of diesel taxi car/jeep/ (Tata sumo/ Indica/bolero)along with driver &amp; diesel required of Exect. Engg. At BTPS Deepnagar Bhusawal (PO NO - 4500100670)</t>
  </si>
  <si>
    <t>Providing pump operator for operating pump of pump house at outlet canal at 1x660MW at BTPS Deepnagar Bhusawal (PO NO - 4500100664)</t>
  </si>
  <si>
    <t>Work of cleaning and upkeeping of old (2x500MW) office record at BTPS Deepnagar Bhusawal (PO NO - 4500100944)</t>
  </si>
  <si>
    <t>26.12.2018</t>
  </si>
  <si>
    <t>Work of Plinth protection for E&amp;M project office at Deepnagar, Bhusawal (PO NO - 4500100945)</t>
  </si>
  <si>
    <t>Repairing of general gents  ladies toilets of civil construction circle at deepnagar bhusawal (PO NO - 4500100947)</t>
  </si>
  <si>
    <t>Repairing &amp; renovation of office of Executive Engineer (C) division I&amp;II under civil construction circle Deepnagar Bhusawal (PO NO - 4500100946)</t>
  </si>
  <si>
    <t>Removing grass &amp; cleaning the road side of old pimprisekam road in the premises of 1x660 MW project at BTPS Deepnagar, Bhusawal (PO NO - 4500100955)</t>
  </si>
  <si>
    <t>Work for construction of watchmen cabin for project office complex entrance gate at BTPS Deepnagar Bhusawal (PO NO - 4500100951)</t>
  </si>
  <si>
    <t>09.01.2019</t>
  </si>
  <si>
    <t>Work of construction of new entrance gate &amp; watchmen cabin along with UCR compound wallfor 1x660MW (BHEL) at BTPS Deepnagar Bhusawal (PO NO - 4500102145)</t>
  </si>
  <si>
    <t>07.02.2019</t>
  </si>
  <si>
    <t>Providing of interlocking paving block to the side of approach road to 1x660 MW project office at Deepnagar Bhusawal (PO NO - 4500101818)</t>
  </si>
  <si>
    <t>Work of renovation and repairing of Executive Engineer toilet cabin of project office at BTPS Deepnagar Bhusawal (PO NO - 4500101822)</t>
  </si>
  <si>
    <t>05.03.2019</t>
  </si>
  <si>
    <t>Reparing of toilet and other miscllanious work at 33K.V. Submission  Deepnagar at BTPS Deepnagar Bhusawal (PO NO - 4500102517)</t>
  </si>
  <si>
    <t>07.03.2019</t>
  </si>
  <si>
    <t>Removing grass &amp; cleaning the road side of old pimprisekam road in the premises of 1x660 MW project at BTPS Deepnagar, Bhusawal (PO NO - 4500101821)</t>
  </si>
  <si>
    <t>Contract for the work of Xeroxing at C.C.C. MSPGCL Bhusawal (PO NO - 4500103429)</t>
  </si>
  <si>
    <t>26.03.2019</t>
  </si>
  <si>
    <t>Work of water proffing to terrace for Transit Quarter No. Bm-24 at Deepnagar, Bhusawal (PO NO - 4500103425)</t>
  </si>
  <si>
    <t>Providing services of skilled &amp; driver, unskilled assistance for office under civil construction circle Deepnagar, Bhusawal  (PO NO - 4500103254)</t>
  </si>
  <si>
    <t>Providing services of skilled &amp; unskilled assistance for office under civil construction circle Deepnagar, Bhusawal (PO NO - 4500103257)</t>
  </si>
  <si>
    <t>Providing services of skilled assistance for operating computers under office of Dy. C.E. (C), in C.C.C. Deepnagar, Bhusawal (PO NO - 4500102566)</t>
  </si>
  <si>
    <t>Repairing of area in view Republice Day on 26 jan 2019 for flag hosting ceremony at project complex deepnagar bhusawal (PO NO - 4500103418)</t>
  </si>
  <si>
    <t>Providing services of skilled &amp; unskilled assistance for office misc work  under office of the Dy. Chief Engineer (C) in civil construction circle Deepnagar, Bhusawal (PO NO - 4500103406)</t>
  </si>
  <si>
    <t>Providing services of skilled assistance for driving the departmental vehicle (as driver)office misc work  under office of the Dy. Chief Engineer (C) in civil construction circle Deepnagar, Bhusawal (PO NO - 4500103405)</t>
  </si>
  <si>
    <t>Providing services of skilled assistance for computer operator under office of the Dy. Chief Engineer (C) in civil construction circle Deepnagar, Bhusawal (PO NO - 4500103430)</t>
  </si>
  <si>
    <t>Providing services of skilled &amp; unskilled assistance for office misc work  under office of the Dy. Chief Engineer (C) in civil construction circle Deepnagar, Bhusawal (PO NO - 4500103431)</t>
  </si>
  <si>
    <t>Providing services of skilled assistance for driving the departmental vehicle (as driver)office misc work  under office of the Dy. Chief Engineer (C) in civil construction circle Deepnagar, Bhusawal (PO NO - 4500103407)</t>
  </si>
  <si>
    <t>Providing services of skilled assistance for computer operator under office of the Dy. Chief Engineer (C) in civil construction circle Deepnagar, Bhusawal (PO NO - 4500103402)</t>
  </si>
  <si>
    <t>Work contract maintainance of garden in front of project office complex premises at Deepnagar bhusawal (PO NO - 4500103432)</t>
  </si>
  <si>
    <t>Providing assistance of maintainance water supply in project premises at Deepnagar, Bhusawal (PO NO - 4500103256)</t>
  </si>
  <si>
    <t>Work of Construction approach parking for main entry gate of 1x660 MW from NH-6, Deepnagar, Bhusawal. (PO NO - 4500105520)</t>
  </si>
  <si>
    <t>12.04.2019</t>
  </si>
  <si>
    <t xml:space="preserve"> Work of Providing, Fixing decorative tiles for entrance of office of Project complex at BTPS, Deepnagar, Bhusawal. (PO NO - 4500103427)</t>
  </si>
  <si>
    <t>Work of Repairing works of Projects staff quarters PA ½ &amp; PA 2/2 at BTPS, Deepnagar, Bhusawal. (PO NO - 4500104942)</t>
  </si>
  <si>
    <t>03.05.2019</t>
  </si>
  <si>
    <t>Work of Repairing and renovation of cabins for Dy. CIRO and security staff at BTPS, Deepnagar, Bhusawal. (PO NO - 4500104937)</t>
  </si>
  <si>
    <t>Work of waterproofing to terrace of transit quarter No BM -23 at BTPS, Deepnagar, Bhusawal. (PO NO - 4500104935)</t>
  </si>
  <si>
    <t>Work of Repairing and renovation of toilet blocks in the cabins of Dy. CIRO and security staff at Project office BTPS, Deepnagar, Bhusawal. (PO NO - 4500104933)</t>
  </si>
  <si>
    <t>Work of repairs and maintenance of aluminium doors, windows &amp; replacement of broken glasses as and when required at various places in project office complex at BTPS, Deepnagar, Bhusawal. (PO NO - 4500103420)</t>
  </si>
  <si>
    <t>16.05.2019</t>
  </si>
  <si>
    <t>Work of internal painting to transit quarter No BM-23 at BTPS, Deepnagar, Bhusawal. (PO NO - 4500105207)</t>
  </si>
  <si>
    <t>Work of Repairing &amp; Renovation of Super - D Type Quarters at BTPS Colony Deepnagar Bhusawal.
 (PO NO - 4500105542)</t>
  </si>
  <si>
    <t>07.06.2019</t>
  </si>
  <si>
    <t>Work of Aluminum portion work for making cabins in project office complex at BTPS Deepnagar, Bhusawal.
 (PO NO - 4500105543)</t>
  </si>
  <si>
    <t>Work of replacement of A.C. corrugated roofing sheets by  profile roofing sheets of project office at Deepnagar Bhusawal. (PO NO - 4500105533)</t>
  </si>
  <si>
    <t>Work of painting of BM type Qtrs. 17, 18, 21, 22 &amp; 34 under Civil Construction Circle, Deepnagar, Bhusawal. (PO NO - 4500106085)</t>
  </si>
  <si>
    <t>24.07.2019</t>
  </si>
  <si>
    <t>Work of Hiring of private  A/C taxi (i.e. ZEST/ Indigo CS/swift desire or equivalent) along with driver and diesel required for Dy. C.E. (C), CCC, Bhusawal.
 (PO NO - 4500106086)</t>
  </si>
  <si>
    <t>Work of Providing 10 Mbps (1:1) Internet Leased Line Connectivity at Civil Construction Circle, 1x660 MW Deepngar, Bhusawal.
 (PO NO - 4500106257)</t>
  </si>
  <si>
    <t>03.08.2019</t>
  </si>
  <si>
    <t>Work of Supply of one device Sophos XG 135 at BTPS Deepnagar, Bhusawal. (PO NO - 4500106081)</t>
  </si>
  <si>
    <t>Work for construction of toilet at Div-V, CCC, Deepnagar, Bhusawal. (PO NO - 4500106449)</t>
  </si>
  <si>
    <t>19.08.2019</t>
  </si>
  <si>
    <t>Work of Providing services of unskilled assistance for Sweeping work for Project Civil Division Offices at New Project Office Shed. BTPS Deepnagar, Bhusawal. (PO NO - 4500106393)</t>
  </si>
  <si>
    <t>Work of Providing expertise service for carrying out the modification and renovation, interior decoration &amp; electrification work of VIP (TAPI) Guest House at BTPS
 (PO NO - 4500106227)</t>
  </si>
  <si>
    <t>20.08.2019</t>
  </si>
  <si>
    <t>Work of Providing unskilled assistance for maintenance &amp; cleaning work of Chummery for Project staff at BTPS, Deepnagar, Bhusawal.
 (PO NO - 4500106333)</t>
  </si>
  <si>
    <t>Work of Providing services of Skilled &amp; Unskilled labour at Transit House No. BM-23 &amp; 24 at BTPS, Deepnagar, Bhusawal
 (PO NO - 4500106332)</t>
  </si>
  <si>
    <t>Work of Work of wall paneling to cabin of the Chief Engineer (Project) at Project office complex BTPS Deepnagar, Bhusawal.
 (PO NO - 4500106330)</t>
  </si>
  <si>
    <t>31.08.2019</t>
  </si>
  <si>
    <t>Work of Repairing and maintenance for split air conditioners 1x660 MW Unit at BTPS, Deepnagar, Bhusawal.
 (PO NO - 4500106249)</t>
  </si>
  <si>
    <t>03.09.2019</t>
  </si>
  <si>
    <t>Work of barricading at opening below railway bridge No. 18 in the premises of 1x660 MW Project Deepnagar, Bhusawal. (PO NO - 4500106565)</t>
  </si>
  <si>
    <t>Work of Replacement of Damaged A.C.
 corrugated sheets at parking shed, at BTPS, Deepnagar, Bhusawal. (PO NO - 4500106696)</t>
  </si>
  <si>
    <t>Work of Hiring of Diesel taxi car/ jeep (TATA Indica/ Boleor/ Sumo) alongwith Driver and Diesel required for Executive Engineer (C), CCD-I, MSPGCL, Bhusawal.
 (PO NO - 4500106331)</t>
  </si>
  <si>
    <t>Work of Hiring of private  diesel taxi / car (Jeep/TATA indigo/Bolero/TATA Sumo) along with driver &amp; required diesel for EE(C), CCDn, Deepnagar, Bhusawal.
 (PO NO - 4500106476)</t>
  </si>
  <si>
    <t>Work of Procurement of networing materials required for Establishment of LAN at CCC, at Deepnagar, Bhusawal.
 (PO NO - 4500106765)</t>
  </si>
  <si>
    <t>09.09.2019</t>
  </si>
  <si>
    <t>Work of Repairing of scrap store shed in project office complex at BTPS, Deepnagar, Bhusawal.
 (PO NO - 4500106860)</t>
  </si>
  <si>
    <t>17.09.2019</t>
  </si>
  <si>
    <t>Work of repairing of Chief Engineer (Project) Cabin &amp; Toilet at 1x660 MW Project office, Deepnagar, Bhusawal. (PO NO - 4500106868)</t>
  </si>
  <si>
    <t>18.09.2019</t>
  </si>
  <si>
    <t>Work of renovation of toilets for transit house No. BM-24 at BTPS Deepnagar, Bhusawal. (PO NO - 4500106867)</t>
  </si>
  <si>
    <t>Work of renovation of Kitechen otta, washbasin area &amp; toilets of Qrt no. BM-19 at BTPS, Deepnagar, Bhusawal. (PO NO - 4500106863)</t>
  </si>
  <si>
    <t>Work of repairing of internal doors &amp; windows of Transit quarters at BTPS Deepnagar, Bhusawal. (PO NO - 4500106866)</t>
  </si>
  <si>
    <t>Work of interconnection &amp; establishment of LAN network at CCC, 1x660 MW Deepnagar, Bhusawal. (PO NO - 4500106862)</t>
  </si>
  <si>
    <t>21.09.2019</t>
  </si>
  <si>
    <t>Work of repairing &amp; renovation of Security office at  Project office, BTPS, Deepnagar, Bhusawal. (PO NO - 4500106870)</t>
  </si>
  <si>
    <t>24.09.2019</t>
  </si>
  <si>
    <t>Work of Providing &amp; supplying of kitchen ware items / furniture at Project guest house (PD) at Deepnagar, Bhusawal.
 (PO NO - 4500107005)</t>
  </si>
  <si>
    <t>27.09.2019</t>
  </si>
  <si>
    <t>Work of development of garden near 1x660 MW Project office complex gate at BTPS, Deepnagar, Bhusawa (PO NO - 4500107004)</t>
  </si>
  <si>
    <t>Work of Repairing &amp; maintenance work of project staff guest house PD (2 No's) at BTPS, Deepnagar,Bhusawal. (PO NO - 4500107006)</t>
  </si>
  <si>
    <t>Work of Hiring of private  desile taxi car/ jeep (i.e. TATA Indica, Bolero, TATA Sumo ) along with driver and diesel requried for E.E. (C)-I, CCD, Bhusawal
 (PO NO - 4500107154)</t>
  </si>
  <si>
    <t>09.10.2019</t>
  </si>
  <si>
    <t>Work of Providing hot weather establishment of  for summer 2019 at Civil Construction Circle, Deepnagar, Bhusawal. (PO NO - 4500107155)</t>
  </si>
  <si>
    <t>Work of Providing fixing &amp; commissioning desert coolers for the office of Dy. C.E. (C), CCC, BSL &amp; other CCDn (PO NO - 4500107156)</t>
  </si>
  <si>
    <t>Work of Providing internal painting to CCD-III &amp; Replacement of broken tiles of CCD-II &amp; III at Project old office complex.
 (PO NO - 4500107208)</t>
  </si>
  <si>
    <t>15.10.2019</t>
  </si>
  <si>
    <t>Work of providing pump operator for operating pumps at pump house at outlet canal at 1x660 MW deepnagar, Bhusawal. (PO NO - 4500107085)</t>
  </si>
  <si>
    <t>Work of extension of parking shed in front of Project office at BTPS Deepnagar, Bhusawal. (PO NO - 4500107077)</t>
  </si>
  <si>
    <t>Work of Construction of new toilet block to Sr. Manger Cabin at 1x660 MW Project . (PO NO - 4500107084)</t>
  </si>
  <si>
    <t>Work of Providing expertise service for structural audit by Non Destructive Testing of old / abandoned pump house at BTPS, Deepnagar, Bhusawal (PO NO - 4500107242)</t>
  </si>
  <si>
    <t>16.10.2019</t>
  </si>
  <si>
    <t>Work of Plantation  of saplings in 1x660 MW premises, at Deepnagar, Bhusawal
 (PO NO - 4500107241)</t>
  </si>
  <si>
    <t>Work of barricading at openings below railway bridge no 17 in the premises of 1x660 MW Project Deepnagar, Bhusawal. (PO NO - 4500107240)</t>
  </si>
  <si>
    <t>Work of Providing Services of unskilled assistance &amp; Skilled assistance (drivers) for departmental vehicle  for office of the Civil Construction Circle, Deepnagar Bhusawal.
 (PO NO - 4500107272)</t>
  </si>
  <si>
    <t>22.10.2019</t>
  </si>
  <si>
    <t>Work of Providing Services of unskilled assistance &amp; Skilled assistance (drivers) for departmental vehicle  for office of the Civil Construction Circle, Deepnagar Bhusawal.
 (PO NO - 4500107271)</t>
  </si>
  <si>
    <t>Work of Providing Services of skilled assistance for computer operation &amp; Dispatch work under office of the Dy. Chief Engineer (C) in Civil Construction Circle, Deepnagar, Bhusawal al.
 (PO NO - 4500107274)</t>
  </si>
  <si>
    <t>Work of Providing fixing curtains to project civil office at Deepnagar, Bhusawal. (PO NO - 4500107463)</t>
  </si>
  <si>
    <t>05.11.2019</t>
  </si>
  <si>
    <t>Work of Providing services of technical Assistance (Civil supervisor) for site supervision at Boiler &amp; T.G. Of 1x660 Project Deepnagar , Bhusawa (PO NO - 4500107465)</t>
  </si>
  <si>
    <t>Work of Providing Services of Skilled assistance for preparation of  data for SAP &amp; SRM system in the office of the Civil Construction Circle, Deepnagar Bhusawal
 (PO NO - 4500107462)</t>
  </si>
  <si>
    <t>Work of painting of quarters internally under Civil Construction Circle at BTPS, Deepnagar,  (PO NO - 4500107464)</t>
  </si>
  <si>
    <t>Work of upply and installation of total value licence subscription for sophos XG 135 (3 Years) at BTPS (PO NO - 4500107659)</t>
  </si>
  <si>
    <t>19.11.2019</t>
  </si>
  <si>
    <t>Work of Supply of Stationary in Civil Construction Circle and allied divisions MSPGCL, Bhusawal . (PO NO - 4500107700)</t>
  </si>
  <si>
    <t>22.11.2019</t>
  </si>
  <si>
    <t>Work of Hiring of private  diesel taxi / car (TUV300/Scorpio/Bolero/) along with driver &amp; required diesel for EE(C), CCD-II, Deepnagar, Bhusawal. (PO NO - 4500107668)</t>
  </si>
  <si>
    <t>Work of Supply of Executive office arm chair at CCC 1X660 MW Repl. Unit, at BTPS, Deepnagar Bhusawal
 (PO NO - 4500107669)</t>
  </si>
  <si>
    <t>Work of Construction of  ladies toilet at main entrance gate 1x660  MW Project office Deepnagar, Bhusawal.
 (PO NO - 4500107756)</t>
  </si>
  <si>
    <t>26.11.2019</t>
  </si>
  <si>
    <t>Work of isolation of project office by providing fencing near canteen at BTPS Deepnagar, Bhusawal. (PO NO - 4500107666)</t>
  </si>
  <si>
    <t>Work of providing secondary entrance gate and approach WBM road to 660 MW Project premises at Deepnagar, Bhusawal. (PO NO - 4500107752)</t>
  </si>
  <si>
    <t>Work of Annual Maintenance of Project Staff
 Quarters.
 (PO NO - 4500107744)</t>
  </si>
  <si>
    <t>CCC Bhusawal - ROAD OUTSIDE BOUNDRY</t>
  </si>
  <si>
    <t>Work of Pot Hole repairing of old Pimprisekam Road in the 1x660 MW Premises at BTPS, Deepnagar, Bhusawal.
 (PO NO - 4500107631)</t>
  </si>
  <si>
    <t>27.11.2019</t>
  </si>
  <si>
    <t>Work of Repairing and Renovation of Four Building of New – E-Type Quarters for MSF Person (PO NO - 4500107434)</t>
  </si>
  <si>
    <t>30.11.2019</t>
  </si>
  <si>
    <t>Providing technical Assistance (Civil supervisor) for site supervision at CHP area 1x660 Project Deepnagar , Bhusawal (PO NO - 4500107865)</t>
  </si>
  <si>
    <t>04.12.2019</t>
  </si>
  <si>
    <t>Supply of safety equipments at Civil Construction Circle, 1x660 MW Replacement Unit at BTPS Deepnagar Bhusawal. (PO NO - 4500107886)</t>
  </si>
  <si>
    <t>07.12.2019</t>
  </si>
  <si>
    <t>Providing services of technical Assistance (Civil supervisor) for site supervision at ESP &amp;  Chimney Of 1x660 Project Deepnagar , Bhusawal (PO NO - 4500107892)</t>
  </si>
  <si>
    <t>CCC Bhusawal - BOUNDRY WALL</t>
  </si>
  <si>
    <t>Balance work for construction of UCR masonry security compound wall with concertina coil fencing along boundry of 1x660MW project office at Deepnagar Bhusawal. (PO NO - 4500110902)</t>
  </si>
  <si>
    <t>26.12.2019</t>
  </si>
  <si>
    <t>Engaging  person for SAP / Accounting &amp; SAP reconciliation work for Year 2019-2020 (PO NO - 4500108144)</t>
  </si>
  <si>
    <t>03.01.2020</t>
  </si>
  <si>
    <t>Work of rehabilitation / re-plantation of plants in proposed remote fly ash silo area of 2x500 MW premises at BTPS, Deepnagar, Bhusawal (PO NO - 4500108153)</t>
  </si>
  <si>
    <t>Construction of Chain-link fencing along railway siding of 2x500 MW from BR-17 to existing compound wall near BR-18 (PO NO - 4500107433)</t>
  </si>
  <si>
    <t>06.01.2020</t>
  </si>
  <si>
    <t>Purchasing of New tyers &amp; tubes for Departmental Vehicle (Mahindra Bolero) MH-19-AE-6942 of CCC at BTPS, Deepnagar, Bhusawal. (PO NO - 4500108208)</t>
  </si>
  <si>
    <t>07.01.2020</t>
  </si>
  <si>
    <t>Work of construction of damaged security compound wall along boundary of 1x660 MW Replacement Unit at BTPS, Deepnagar. (As and When required) (PO NO - 4500108062)</t>
  </si>
  <si>
    <t>16.01.2020</t>
  </si>
  <si>
    <t>Providing and Fixing of A.C. corrugated sheets to vehicle shed behind Project office at Deepnagar, Bhusawal. (PO NO - 4500108376)</t>
  </si>
  <si>
    <t>22.01.2020</t>
  </si>
  <si>
    <t>Work of providing &amp; erecting GI chain link fencing of 1.60 m height to periphery of safety man statue at project office at Deepnagar Bhusawal. (PO NO - 4500108377)</t>
  </si>
  <si>
    <t>Hiring of private diesel taxi / jeep (Tata indica/Bolero/Tata Sumo) along with driver and diesel required for Superintending Engineer , CCC, MSPGCL, Bhusawal.. (PO NO - 4500108478)</t>
  </si>
  <si>
    <t>30.01.2020</t>
  </si>
  <si>
    <t>Hiring of private diesel taxi car/jeep (Tata indica/Bolero/Tata Sumo) along with driver and diesel required for Executive Engineer (C ),CCD-I,MSPGCL, Bhusawal. (PO NO - 4500108488)</t>
  </si>
  <si>
    <t>Work of Decorative Granting of newly constructed gate and security cabin of 1x660 MW Project Deepnagar, Bhusawal. (PO NO - 4500108476)</t>
  </si>
  <si>
    <t>01.02.2020</t>
  </si>
  <si>
    <t>Work diversion of PVC agriculture water supply pipe line faling in CHP area from Bhogavati reiver (Gate no. 295) of shri. Pitamber patil land gate no. 277 in village pimprisekam, Bhusawal (PO NO - 4500108680)</t>
  </si>
  <si>
    <t>15.02.2020</t>
  </si>
  <si>
    <t>Hiring of private AC Taxi (i.e Desire/ford/or equivalent) along with driver &amp; diesel required for Dy. C.E. (C), Bhusawal (PO NO - 4500108702)</t>
  </si>
  <si>
    <t>18.02.2020</t>
  </si>
  <si>
    <t>Work of annual Maintenance, servicing, cheking network administration &amp; trouble shooting of network hardware system at 1x660 MW C.C.C., MSPGCL, Bhusawal
 (PO NO - 4500108696)</t>
  </si>
  <si>
    <t>Shifting of Railway sleepers stacked near proposed TP-Z of CHP area of 1x660MW replacement unit project site (PO NO - 4500108853)</t>
  </si>
  <si>
    <t>27.02.2020</t>
  </si>
  <si>
    <t>Hiring of private diesel taxi car/jeep (Tata indica/Bolero/Tata Sumo) along with driver and diesel required for Executive Engineer (C ),CCD-III,MSPGCL, Bhusawal. (PO NO - 4500108919)</t>
  </si>
  <si>
    <t>28.02.2020</t>
  </si>
  <si>
    <t>Work of maintainance of land scaping in front of project inside &amp; outside premises at BTPS Deepnagar (PO NO - 4500109042)</t>
  </si>
  <si>
    <t>04.03.2020</t>
  </si>
  <si>
    <t>Providing unskilled assistance for maintainance fo cleaning work of chummery for project staff at BTPS Deepnagar, Bhusawal (PO NO - 4500109277)</t>
  </si>
  <si>
    <t>17.03.2020</t>
  </si>
  <si>
    <t>Work of concrete platform below watch flower  (PO NO - 4500109311)</t>
  </si>
  <si>
    <t>18.03.2020</t>
  </si>
  <si>
    <t>Interior wall painting &amp; other painting work in the premises of project office (PO NO - 4500109309)</t>
  </si>
  <si>
    <t>Work of annual servicing &amp; maintainance of computers system &amp; allied equipments etc. of civil circle &amp; unit office Deepnagar, Bhusawal (PO NO - 4500109295)</t>
  </si>
  <si>
    <t>20.03.2020</t>
  </si>
  <si>
    <t>Bhusawal 1x660 MW Replacement Project - Providing Services of Skilled assistance for preparation of  data for SAP &amp; SRM system in the office of the Civil Construction Circle, Deepnagar Bhusawal (PO NO - 4500110296)</t>
  </si>
  <si>
    <t>03.06.2020</t>
  </si>
  <si>
    <t>1x660 MW Repacement Unit Bhusawal – Transportation of sleepers  of rail tracks placed at proposed site of Wagon tippler of CHP area 1x660MW replacement unit project site 
 (PO NO - 4500110465)</t>
  </si>
  <si>
    <t>19.06.2020</t>
  </si>
  <si>
    <t>1x660 MW Replacement Project - Contract for Providing pest control services in the CCC and Division offices as and when required at BTPS Deepangar (PO NO - 4500110722)</t>
  </si>
  <si>
    <t>15.07.2020</t>
  </si>
  <si>
    <t>1x660 MW Replacement Unit Bhusawal – Hiring of private  A/C taxi (i.e. Dezire/ford or equivalent) along with driver and diesel requried for Dy. C.E.(C), C.C.C., Bhusawal (PO NO - 4500110748)</t>
  </si>
  <si>
    <t>Bhusawal 1x660 MW Replacement Project  - Work of plinth protection behind Civil and project office 1x660 MW at Depnagar, Bhusawal. (PO NO - 4500110835)</t>
  </si>
  <si>
    <t>29.07.2020</t>
  </si>
  <si>
    <t>: 1x660 MW Replacement Unit Bhusawal – Hiring of private diesel taxi car/jeep (Tata indica/Bolero/Tata Sumo) along with driver and diesel required for Superintending Engineer (C),MSPGCL, Bhusawal. (PO NO - 4500110834)</t>
  </si>
  <si>
    <t>1x660 MW Repl. Unit - Raising of peripheral UCR compound wall of Super D type building no. 13,14 &amp; 15 at BTPS, Deepnagar, Bhusawal.  (PO NO - 4500110839)</t>
  </si>
  <si>
    <t>1x660 MW Repacement Unit Bhusawal – BTPS 1 x 660MW Replacement Unit - Work of Providing and fixing plywood with two side laminate to wardrobe, partitions, closets, worship place, kitchen trolley etc. and other allied works for quarter no. BM-19 at BTPS Colony, Deepnagar, Bhusawal. 
 (PO NO - 4500110840)</t>
  </si>
  <si>
    <t>BTPS 1x660 MW Repl. Unit - Providing of interlocking paving blocks to the front side project canteen at BTPS, Deepnagar, Bhusawal (PO NO - 4500108697)</t>
  </si>
  <si>
    <t>19.08.2020</t>
  </si>
  <si>
    <t>BTPS 1 x 660MW Replacement Unit - Providing Semi-skilled assistance services for day to day sanitization in the Pandemic Covid-19 &amp; providing  related sanitization materials etc at Civil Construction circle New Project office shed, BTPS Deepnagar, Bhusawal (PO NO - 4500111004)</t>
  </si>
  <si>
    <t>BTPS 1x660 MW Replacement Unit – Miscellaneous civil works in various rooms, common toilet of Tapi rest house and work of kitchen sink pipeline with water tank to type-II building no. 4,5 &amp; 6 at Deepnagar Bhusawal. (PO NO - 4500111011)</t>
  </si>
  <si>
    <t>Bhusawal 1x660 MW Replacement Project  - Work of dismantling existing UCR stage behind project office, removing grass and providing brick masonry to garden infront of project office building at Bhusawal (PO NO - 4500111014)</t>
  </si>
  <si>
    <t>BTPS 1 x 660MW Replacement Unit - Refurbishment of quarter no. BM-23 at BTPS Colony , Deepnagar, Bhusawal (PO NO - 4500111003)</t>
  </si>
  <si>
    <t>1x660 MW Replacement Unit Bhusawal –  Work of area grading for parking area near 1x660MW replacement unit gate at Deepnagar,bhusawal (PO NO - 4500111012)</t>
  </si>
  <si>
    <t>1 x 660MW Replacement Unit –    Providing assistance for maintaining water supply in project premises at BTPS Deepnagar Bhusawal (PO NO - 4500111015)</t>
  </si>
  <si>
    <t>20.08.2020</t>
  </si>
  <si>
    <t>Repairing  &amp; maintenance of raw water pump house,G.I pipeline supplying water to BHEL site near outlet canal in BTPS premises, Deepnagar.
 (PO NO - 4500111117)</t>
  </si>
  <si>
    <t>Procurement of Desktop Computers 10 Nos,through GEMS Portal (PO NO - 4500111002)</t>
  </si>
  <si>
    <t>21.08.2020</t>
  </si>
  <si>
    <t>1x660 MW Replacement Unit –
Maintenance of garden in front of Tapi Guest House at BTPS, Deepnagar, Bhusawal                         
 (PO NO - 4500111013)</t>
  </si>
  <si>
    <t>BTPS 1 x 660MW Replacement Unit - Providing 10 Mbps (1:1) Internet Leased line connectivity at Civil Construction Circle, 1x660 MW Deepnagar, Bhusawal. (PO NO - 4500111298)</t>
  </si>
  <si>
    <t>04.09.2020</t>
  </si>
  <si>
    <t>BTPS 1 x 660MW Replacement Unit – Minor repairs to quarter no. BM-24 at BTPS Colony , Deepnagar, Bhusawal (PO NO - 4500111430)</t>
  </si>
  <si>
    <t>15.09.2020</t>
  </si>
  <si>
    <t>Bhusawal 1x660 MW Replacement Project -Work of repairing &amp; renovation of Z. P. School (CBSE) building at BTPS Colony Deepnagar Bhusawal
 (PO NO - 4500111641)</t>
  </si>
  <si>
    <t>25.09.2020</t>
  </si>
  <si>
    <t>1x660 MW Replacement Unit Bhusawal – Hiring of private diesel taxi car/jeep (Mahindra TUV 300/Tata indica/Bolero/Tata Sumo) along with driver and diesel required for Executive Engineer (C ),CCD-I,MSPGCL, Bhusawal (PO NO - 4500111697)</t>
  </si>
  <si>
    <t>01.10.2020</t>
  </si>
  <si>
    <t>1x660 MW Repl. Unit - Work of internal painting to the project office on 'as and when required' basis at BTPS Deepnagar Bhusawal. (PO NO - 4500111695)</t>
  </si>
  <si>
    <t>05.10.2020</t>
  </si>
  <si>
    <t>1x660 MW Repacement Unit Bhusawal – Providing Services of Unskilled assistance for sweeping work for Project Civil Division offices at New Project office shed, BTPS Deepnagar, Bhusawal (PO NO - 4500111699)</t>
  </si>
  <si>
    <t>BTPS 1x660 MW Replacement Unit – Work of providing IT Services at Civil Construction Circle Deepnagar Bhusawal (PO NO - 4500111765)</t>
  </si>
  <si>
    <t>08.10.2020</t>
  </si>
  <si>
    <t>1x660 MW Repacement Unit Bhusawal – Hiring of private A/C taxi (i.e. swift Dezire/Zest/or equvalent) along with driver and diesel requried for E.E.(C), C.C.D-III., Bhusawal. (PO NO - 4500111801)</t>
  </si>
  <si>
    <t>Providing services of skilled assistance for day to day work in A/C section under office of the Dy.Chief Eng(C) Civil construction circle office on temporary basis Deepnagar,Bhusawal (PO NO - 4500111887)</t>
  </si>
  <si>
    <t>16.10.2020</t>
  </si>
  <si>
    <t>Providing services of skilled assistance for day to day work as computer operator in A/C section and HR SCivil construction circle office on temporary basis Deepnagar,Bhusawal (PO NO - 4500111884)</t>
  </si>
  <si>
    <t>Providing services of skilled assistance for day to day work in civil construction circle office on temporary basis Deepnagar,Bhusawal (PO NO - 4500111882)</t>
  </si>
  <si>
    <t>Providing services of skilled assistance for day to day work in A/C section and HR SCivil construction circle office on temporary basis Deepnagar,Bhusawal (PO NO - 4500111883)</t>
  </si>
  <si>
    <t>Providing services of skilled assistance for day to day work in A/C section and HR Civil construction circle office on temporary basis Deepnagar,Bhusawal (PO NO - 4500111885)</t>
  </si>
  <si>
    <t>Providing services of skilled assistance for day to day work in A/C section and HR SCivil construction circle office on temporary basis Deepnagar,Bhusawal (PO NO - 4500111886)</t>
  </si>
  <si>
    <t>Bhusawal 1x660 MW Replacement Project - Work of kitchen sink pipeline with overhead water tank and other minor works for type-II building no. 2 &amp; 3 at Deepnagar Bhusawal (PO NO - 4500111890)</t>
  </si>
  <si>
    <t>1x660 MW Repl. Unit - Work of extension of roof sheets &amp; misc. repairs of watch tower at 1 x 660 MW Deepnagar, Bhusawal (PO NO - 4500111889)</t>
  </si>
  <si>
    <t>22.10.2020</t>
  </si>
  <si>
    <t>1x660 MW Replacement Unit –
Work of pump operator for operating pumps of pump house at outlet canal at BTPS to supply raw water for on-going construction 1 x 660 MW at BTPS, Deepnagar, Bhusawal (PO NO - 4500111969)</t>
  </si>
  <si>
    <t>23.10.2020</t>
  </si>
  <si>
    <t>Bhusawal 1x660 MW Replacement Project -Work of area cleaning, cutting grass, tree branches and supplying, spreading, compacting murum at type II Quarters and project chummery, BTPS Colony, Deepnagar, Bhusawal (PO NO - 4500112001)</t>
  </si>
  <si>
    <t>26.10.2020</t>
  </si>
  <si>
    <t>1x660 MW Repacement Unit Bhusawal – Hiring of private A/C taxi (i.e. Dezire/ford/or equivalent) along with driver and diesel requried for Dy. C.E.(C), C.C.C., Bhusawal (PO NO - 4500112014)</t>
  </si>
  <si>
    <t>28.10.2020</t>
  </si>
  <si>
    <t>1x660 MW Repl. Unit – Construction of Flag post at 1 x 660 MW project complex and misc works at Deepnagar Bhusawal (PO NO - 4500112074)</t>
  </si>
  <si>
    <t>06.11.2020</t>
  </si>
  <si>
    <t>BTPS T.P.S. 1 x 660MW Replacement Unit -Work of painting of quarters internally as &amp; when required under Civil Construction Circle at BTPS, Deepnagar, Bhusawal (PO NO - 4500112073)</t>
  </si>
  <si>
    <t>BTPS 1x660 MW Repl. Unit - Work of dog bailing for 1 x 660 MW railway siding area at Deepnagar Bhusawal. (PO NO - 4500112101)</t>
  </si>
  <si>
    <t>12.11.2020</t>
  </si>
  <si>
    <t>Work of construction of sunshed near watch cabin at 1x660 MW Gate at BTPS Deepnagar (PO NO - 4500112100)</t>
  </si>
  <si>
    <t>Checking location of 500 MW Ash water recovery underground / hidden Pipeline from 500MW Gate to Booster Pump House at TPS Bhusawal (PO NO - 4500112102)</t>
  </si>
  <si>
    <t>BTPS T.P.S. 1 x 660MW Replacement Unit -Work of painting of quarters internally as &amp; when required under Civil Construction Circle at BTPS, Deepnagar, Bhusawal (PO NO - 4500112103)</t>
  </si>
  <si>
    <t>BTPS T.P.S. 1 x 660MW Replacement Unit -Providing technical assistance (Civil supervisor) for site supervision at CHP area 1x660 Project Deepnagar, Bhusawal (PO NO - 4500112158)</t>
  </si>
  <si>
    <t>20.11.2020</t>
  </si>
  <si>
    <t>1x660 MW Repl. Unit – Construction of parking shed near 1 x 660 MW project gate at Deepnagar Bhusawal (PO NO - 4500112160)</t>
  </si>
  <si>
    <t>1x660 MW Replacement Unit Bhusawal – Hiring of private diesel jeep (i.e. TUV300/Scorpio/Bolero) along with driver and diesel required for Civil Construction Division-II, Bhusawal (PO NO - 4500112163)</t>
  </si>
  <si>
    <t>1x660 MW Replacement Project - Providing Services of Skilled assistance for computer operation &amp; Dispatch work under office of the Dy. Chief Engineer (C), in Civil Construction Circle, Deepnagar, Bhusawal (PO NO - 4500112346)</t>
  </si>
  <si>
    <t>24.11.2020</t>
  </si>
  <si>
    <t>1x660 MW Replacement Project - Providing Services of Unskilled assistance &amp; skilled assistance (drivers for departmental vehicle &amp; Site supervisor) for office of the Civil Construction Circle, Deepnagar, Bhusawal (PO NO - 4500112345)</t>
  </si>
  <si>
    <t>Work of PVC Gutter drain water pipes to roof of project office at Deepnagar, Bhusawal (PO NO - 4500112309)</t>
  </si>
  <si>
    <t>BTPS 1 x 660MW Replacement Unit - Additional work of interconnection &amp; establishment of LAN network at Civil Construction Circle, 1x660 MW Deepnagar, Bhusawal (PO NO - 4500112161)</t>
  </si>
  <si>
    <t>1x660 MW Replacement Unit Bhusawal – Hiring of private  A/C taxi (i.e. Dezire/ford or equivalent) along with driver and diesel requried for Dy. C.E.(C), C.C.C., Bhusawal (PO NO - 4500112334)</t>
  </si>
  <si>
    <t>1x660 MW Replacement Unit Bhusawal – Hiring of private  A/C taxi (i.e. Dezire/ford or equivalent) along with driver and diesel requried for Dy. C.E.(C), C.C.C., Bhusawal (PO NO - 4500112335)</t>
  </si>
  <si>
    <t>1x660 MW Repl. Unit – Bhusawal 1x660 MW Replacement Project -Work of providing and fixing M.S.Grill at Project Quarters, BTPS Colony, Deepnagar, Bhusawal (PO NO - 4500112356)</t>
  </si>
  <si>
    <t>25.11.2020</t>
  </si>
  <si>
    <t>Development of garden near 1x660MW office complex entrance at BTPS,Bhusawal (PO NO - 4500112353)</t>
  </si>
  <si>
    <t>Providing services of skilled assistance for day to day work as computer operator in A/C section in Civil construction circle office on temporary basis Deepnagar,Bhusawal (PO NO - 4500112490)</t>
  </si>
  <si>
    <t>07.12.2020</t>
  </si>
  <si>
    <t>Providing services of skilled assistance for day to day work in civil construction circle office on temporary basis Deepnagar,Bhusawal (PO NO - 4500112487)</t>
  </si>
  <si>
    <t>Providing services of skilled assistance for day to day work in civil construction Division - II office on temporary basis Deepnagar,Bhusawal (PO NO - 4500112486)</t>
  </si>
  <si>
    <t>Providing services of skilled assistance for driving departmental vehicle (as driver ) in O/o Dy. CE at CCC office on temporary basis Deepnagar,Bhusawal (PO NO - 4500112488)</t>
  </si>
  <si>
    <t>Providing services of skilled assistance for day to day work as computer operator in CCD-III office on temporary basis Deepnagar,Bhusawal (PO NO - 4500112491)</t>
  </si>
  <si>
    <t>BTPS 1x660 MW Repl. Unit – Hiring of private taxi/jeep (i.e. TUV300/Tata indica/swift equivalent) along with driver and required fuel for  E.E. (C) Admin at 1x660 MW Replacement Project at Deepnagar, Bhusawal. (PO NO - 4500112497)</t>
  </si>
  <si>
    <t>BTPS 1x660 MW Repl. Unit – Development of Garden cum Sitout area near 1x660MW Project New Main Gate, at BTPS, Deepnagar, Bhusawal. (PO NO - 4500112496)</t>
  </si>
  <si>
    <t>BTPS 1x660 MW Repl. Unit –  Work of renovation &amp; maintanance of plumbing system of old projects office complex at BTPS, Deepnagar, Bhusawal.. (PO NO - 4500112530)</t>
  </si>
  <si>
    <t>Work of  repairs and maintenance of aluminum doors, windows  &amp; replacement of broken glasses on 'as and when required' basis at various places in  project office complex at BTPS, Deepnagar (PO NO - 4500112565)</t>
  </si>
  <si>
    <t>14.12.2020</t>
  </si>
  <si>
    <t>1x660 MW Repl. Unit - Removing grass and trimming of trees obstructing to the office bldg of 1x660 MW project at BTPS, Deepnagar, Bhusawal (PO NO - 4500112564)</t>
  </si>
  <si>
    <t xml:space="preserve">  BTPS T.P.S. 1 x 660MW Replacement Unit -Providing technical assistance (Civil supervisor) for site supervision at Chimney 1x660 Project Deepnagar, Bhusawal. (PO NO - 4500112592)</t>
  </si>
  <si>
    <t>15.12.2020</t>
  </si>
  <si>
    <t>BTPS 1 x 660MW Replacement Unit - Work of providing isolation in left side canal  at Sudgaon Pump House in order to start work of laying of 1700 NB dia. Raw water pipeline, from Sudgaon Pump House to BTPS, Deepnagar, Bhusawal (PO NO - 4500112617)</t>
  </si>
  <si>
    <t>16.12.2020</t>
  </si>
  <si>
    <t>BTPS 1x660 MW Repl. Unit - Providing &amp; fixing fly proof two track sliding window at Tapi Guest House, BTPS, Deepnagar, Bhusawal (PO NO - 4500112673)</t>
  </si>
  <si>
    <t>22.12.2020</t>
  </si>
  <si>
    <t>BTPS 1x660 MW Repl. Unit - Providing services of driver for departmental vehicle ie ambasador car no. MH-19-6375 &amp; Bolero MH-19-6943 at civil constrcution  division paras (confirmatory work for the period of dt. 01/11/2020 to dt. 23/12/2020) (PO NO - 4500112740)</t>
  </si>
  <si>
    <t>31.12.2020</t>
  </si>
  <si>
    <t>BTPS 1x660 MW Repl. Unit - Work of Accounting &amp; SAP reconcilation work for the year of 2020-21 (PO NO - 4500112744)</t>
  </si>
  <si>
    <t>BTPS 1x660 MW Repl. Unit - Providing services of skilled assistance asa computer operator for preparation of data for SAP &amp; SRM System in the office of the civil construciton circle, Deepnagar, Bhusawal (PO NO - 4500112879)</t>
  </si>
  <si>
    <t>13.01.2021</t>
  </si>
  <si>
    <t>BTPS 1x660 MW Repl. Unit - Hiring of private AC Taxi (i.e. Desier/Ford/Hundai Accent/or equivalent car) along with driver and required Fuel for Superintending Engineer (C) at 1x660 MW replacement project civil construction circle at Deepnagar, Bhusawal (PO NO - 4500112881)</t>
  </si>
  <si>
    <t>BTPS 1x660 MW Repl. Unit - Work of providing and erecting GI Chain-link fencing of 1.60 mtr. Height to periphery of open space in front of project quarters at Deepnagar, Bhusawal (PO NO - 4500112923)</t>
  </si>
  <si>
    <t>21.01.2021</t>
  </si>
  <si>
    <t>BTPS 1x660 MW Repl. Unit - Hiring of Private Diesel Taxi Car/Jeep (Mahindra TUV 300/TATA Indica/Bolero/TATA Sumo) along with Driver and Diesel required for Executive Engineer (C), CCD-I, MSPGCL, Deepnagar, Bhusawal (PO NO - 4500112942)</t>
  </si>
  <si>
    <t>22.01.2021</t>
  </si>
  <si>
    <t>Providing pump operator for operating pump house at outlet canal (PO NO - 4500112967)</t>
  </si>
  <si>
    <t>25.01.2021</t>
  </si>
  <si>
    <t>Providin two track mosquito jali at project quarters (PO NO - 4500112969)</t>
  </si>
  <si>
    <t>Providing services of skilled assistance ( Driver) for dept vehicle MH 19 AE 6943  (PO NO - 4500112947)</t>
  </si>
  <si>
    <t>27.01.2021</t>
  </si>
  <si>
    <t xml:space="preserve"> BTPS 1x660 MW Repl. Unit – Minor repairing works for MSF qtrs at Deepnagar Bhusawal. (PO NO - 4500112954)</t>
  </si>
  <si>
    <t>Work of extra widening of concrete road for smooth passing of fire tender vehicle in  500MW premises. (PO NO - 4500113012)</t>
  </si>
  <si>
    <t>01.02.2021</t>
  </si>
  <si>
    <t>Providing services of skilled assistance ( Driver) for dept vehicle MH 40 A 8027 (PO NO - 4500113045)</t>
  </si>
  <si>
    <t>04.02.2021</t>
  </si>
  <si>
    <t>Providing services of skilled assistance in  HR section for day to day work Civil construction circle office on temporary basis Deepnagar,Bhusawal (PO NO - 4500113141)</t>
  </si>
  <si>
    <t>11.02.2021</t>
  </si>
  <si>
    <t>Providing housekeeping services in Chummery for project staff  at bhusawal (PO NO - 4500113151)</t>
  </si>
  <si>
    <t>12.02.2021</t>
  </si>
  <si>
    <t>1x660 MW Replacement Unit Bhusawal – Hiring of private  A/C taxi (i.e. Dezire/ford or equivalent) along with driver and diesel requried for Dy. C.E.(C), C.C.C., Bhusawal (PO NO - 4500113202)</t>
  </si>
  <si>
    <t>17.02.2021</t>
  </si>
  <si>
    <t>Supply of Sanitization material in Covid -19 (PO NO - 4500113212)</t>
  </si>
  <si>
    <t>18.02.2021</t>
  </si>
  <si>
    <t>Work of maintainance of landscaping near 1x660MW Premises,Bhusawal (PO NO - 4500113216)</t>
  </si>
  <si>
    <t>Hiring of AC innova car on AS and WHEN basis along with driver and diesel required for higher officiales  of Head office (PO NO - 4500113217)</t>
  </si>
  <si>
    <t>Providing 10 MBPS (11) internet lease line conectivity at civil construction circle 1x660 MW Deepnagar. (PO NO - 4500113427)</t>
  </si>
  <si>
    <t>08.03.2021</t>
  </si>
  <si>
    <t>Work of cleaning grass &amp; murum road to parking shed &amp; constructing brink wall for sepretation of parking load at deepnagar bhusawal (PO NO - 4500113438)</t>
  </si>
  <si>
    <t>09.03.2021</t>
  </si>
  <si>
    <t>work of supply of stationary for civil construction circle and its allied divisions, MSPGCL Bhusawal (PO NO - 4500113374)</t>
  </si>
  <si>
    <t>Work of day to day civil maintainance work of project staff quarters at Deepnagar, Bhusawal (PO NO - 4500113480)</t>
  </si>
  <si>
    <t>12.03.2021</t>
  </si>
  <si>
    <t>Hiring of private diesel taxi (Car/Jeep/Mahendra TUV 300) along with driver &amp; diesel required for Executive Engineer CCD-I MSPGCL, Deepnagar, Bhusawal Period from Dt. 11/12/2019 to Dt. 01/01/2020 (PO NO - 4500113547)</t>
  </si>
  <si>
    <t>15.03.2021</t>
  </si>
  <si>
    <t>Providing doors &amp; door frams for project staff quarters as and when required at BTPS Deepnagar, Bhusawal (PO NO - 4500113634)</t>
  </si>
  <si>
    <t>18.03.2021</t>
  </si>
  <si>
    <t>Providing services of Technical Assistance (Civil Supervisor) for the Supervision at CHP area of 1x660 MW Project, Deepnagar, Bhusawal (PO NO - 4500114559)</t>
  </si>
  <si>
    <t>27.04.2021</t>
  </si>
  <si>
    <t>Providing services of Technical Assistance (Civil Supervisor) for the Supervision at CHP area of 1x660 MW Project, Deepnagar, Bhusawal (PO NO - 4500114561)</t>
  </si>
  <si>
    <t>Providing services of skilled Assistance (Drivers) of departmenatal Vehicle MH-19 AE 6942 for office of Civil Construction Circle, Deepnagar, Bhusawal (PO NO - 4500114560)</t>
  </si>
  <si>
    <t>Work of diversion of drinking water supply G.I. pipe line of 1x660 MW Project, Deepnagar, Bhusawal (PO NO - 4500114570)</t>
  </si>
  <si>
    <t>Hiring of Air Coolers During Summer Season for 1x660 MW Project Civil Construction Circle, Deepnagar, Bhusawal  (PO NO - 4500114562)</t>
  </si>
  <si>
    <t>Work of Replacement of damaged AC Corrugated Sheet of Parking Shed No. 3 at BTPS, Deepnagar, Bhusawal (PO NO - 4500114573)</t>
  </si>
  <si>
    <t>Work of Providing Technical Assistance (Civil Supervisor) for site supervision at NDCT area at 1x660 MW Project, Deepnagar, Bhusawal (PO NO - 4500114581)</t>
  </si>
  <si>
    <t>29.04.2021</t>
  </si>
  <si>
    <t>Work of providing &amp; erecting GI Chain Link Fencing of 1.6 Mtr Height to Periphery of Garden adjacent to Project Office at Deepnagar, Bhusawal (PO NO - 4500114619)</t>
  </si>
  <si>
    <t>Work of Closing of part partion of existing gate and repairing of damaged 1x660 MW gate at BTPS, Deepnagar, Bhusawal (PO NO - 4500114580)</t>
  </si>
  <si>
    <t>Work of stopping water flow in canal at sudgaon pump house in order to start work for lyaing of raw water pipeline from raw warter pump house to BTPS, Deepnagar, Bhusawal (PO NO - 4500114642)</t>
  </si>
  <si>
    <t>Hiring of private diesel AC Car (Dezire/ford or Equivalent) along with driver and diesel required for Dy. Chief Engineer (C), C.C.C. MSPGCL, Bhusawal for the period from Dt. 28/01/2021 to Dt. 17/02/2021 (PO NO - 4500114639)</t>
  </si>
  <si>
    <t>Procurement of UPB (Uninteruptable Power Supply) throuth GEMs Portal. (PO NO - 4500114882)</t>
  </si>
  <si>
    <t>20.05.2021</t>
  </si>
  <si>
    <t>Providing services of Unskilled Assistance for day to day work on Temp Basis at CCD-I, Deepnagar. (PO NO - 4500114886)</t>
  </si>
  <si>
    <t>Providing of fixing new 15 H.P.  Pump in Canal also repair of existing pumps at outlet canal in 500 MW premises BTPS Construction Water Supply 1x660 MW Project, Deepnagar. (PO NO - 4500114897)</t>
  </si>
  <si>
    <t>Hiring of private diesel taxi, AC Car (Dezire/Ford of equivalent) along with driver and diesel required for Dy. C.E. (C), CCC, MSPGCL, Bhusawal, Period from Dt. 16/01/2021 to Dt. 27/01/2021 (PO NO - 4500114885)</t>
  </si>
  <si>
    <t>21.05.2021</t>
  </si>
  <si>
    <t>Providing Technical Assistance (Civil Supervisor) for Site Supervision at W.T. area at 1x660 MW Project, Deepnagar. (PO NO - 4500115095)</t>
  </si>
  <si>
    <t>08.06.2021</t>
  </si>
  <si>
    <t>Work of PVC gutter of rain water pipe to foor of parking shed of project office at Deepnagar, Bhusawal (PO NO - 4500115093)</t>
  </si>
  <si>
    <t>Providing concrete apron to Tem. Staff Quarters at Deepnagar, Bhusawal (PO NO - 4500115092)</t>
  </si>
  <si>
    <t>Hiring of Private A.C. Taxi (i.e Dezire/Ford/equivalent Sedan Car) along with driver and required fuel for Superintending Engineer (C) at 1x660 MW repln. Project Site at Deepnagar. Bhusawal (PO NO - 4500114891)</t>
  </si>
  <si>
    <t>09.06.2021</t>
  </si>
  <si>
    <t>Providing Services of Unskilled Assistance for day to day office work for project civil division No-III at mew project office shed BTPS, Deepnagar. (PO NO - 4500115153)</t>
  </si>
  <si>
    <t>11.06.2021</t>
  </si>
  <si>
    <t>Providing Technical Assistance (Civil Supervisor) for Site Supervision at Chimney 1x660 MW Project, Deepnagar, Bhusawal (PO NO - 4500115152)</t>
  </si>
  <si>
    <t>Work of Construction of security office at entrance gate of Tapi Guast House Deepnagar, Bhusawal (PO NO - 4500115145)</t>
  </si>
  <si>
    <t>Work of Providing day to day Sanitization of Offices in Pandamic Covid-19 at office of the Dy. Chief Engineer (C), CCC, 1x660 MW Project, Deepnagar. (PO NO - 4500115218)</t>
  </si>
  <si>
    <t>18.06.2021</t>
  </si>
  <si>
    <t>Providing and Fixing Sanitory Pipeline and alied work Bellow E-47 Building (MSF) at Deepnagar, Bhusawal. (PO NO - 4500115216)</t>
  </si>
  <si>
    <t>Work of repairing Pat Hole of Colony Road from M/s. BHEL Office to 2x210 MW  Project at BTPS, Deepnagar, Bhusawal (PO NO - 4500115217)</t>
  </si>
  <si>
    <t>Work of Removing grass and Laying of GI Pipeline for proposed garden adjacent to security Cabin of 1x660 MW project office at BTPS, Deepnagar. (PO NO - 4500115214)</t>
  </si>
  <si>
    <t>Work of Pot Hole Repairing of Pimprisekam Road adjacent to 1x660 MW Premises Compound wall at BTPS, Deepnagar, Bhusawal. (PO NO - 4500115213)</t>
  </si>
  <si>
    <t>Providing Pump Operator for Operating Pumps at Pumps HouseOutlet Canal at BTPS to Supply raw water for on going Construction at 1x660 MW , Deepnagar (PO NO - 4500115233)</t>
  </si>
  <si>
    <t>21.06.2021</t>
  </si>
  <si>
    <t>Work of Water Proffing Before on set of Manson to temporary Project Quarters at Deepnagar, Bhuisawal (PO NO - 4500115232)</t>
  </si>
  <si>
    <t>Construction of shed for MSF Quards Fouling near 1x660 MW Project Gate at Deepnagar, Bhusawal. (PO NO - 4500115234)</t>
  </si>
  <si>
    <t>Replacement of Damaged AC Corugated Shed of Temp staff quarters at Deepnagar, Bhusawal (PO NO - 4500115267)</t>
  </si>
  <si>
    <t>23.06.2021</t>
  </si>
  <si>
    <t>Hiring of Private Diesel Taxi Car Jeep (Mahindra TUV/TATA Indica/Bolero/TATA Sumo) along with driver and diesel required for Executive Engineer (C), Civil Const. Division-I MSPGCL, Bhusawal (PO NO - 4500115304)</t>
  </si>
  <si>
    <t>25.06.2021</t>
  </si>
  <si>
    <t>Work of removing grass and wild shrubs etc along road of pimprisekam road bhusawal (PO NO - 4500115391)</t>
  </si>
  <si>
    <t>05.07.2021</t>
  </si>
  <si>
    <t>Work of providing plumber with helper for attending day to day complaints of project quarters at deepnagar. (PO NO - 4500115389)</t>
  </si>
  <si>
    <t>Providing services of office supporting staff for day to day misl. Work in office of the Dy. Chief Engineer (C), Bhusawal (PO NO - 4500115390)</t>
  </si>
  <si>
    <t>Construction of murum road for vehicle movement of farmers &amp; mahagenco vihicle near existing canal in village pimprisekam. (PO NO - 4500115467)</t>
  </si>
  <si>
    <t>08.07.2021</t>
  </si>
  <si>
    <t>Providing and fixing guard railing near 1X660 MW project gate and labour gate on pimprisekam road at Deepnagar, Bhusawal (PO NO - 4500115465)</t>
  </si>
  <si>
    <t>Work of removing grass along boundary wall of 1X660 MW project etc at BTPS, Deepnagar, Bhusawal (PO NO - 4500115464)</t>
  </si>
  <si>
    <t>Work of providing &amp; laying ceramic file flooring to security office and other (Civil &amp; E&amp;M) section at project office complex  Deepnagar. (PO NO - 4500115507)</t>
  </si>
  <si>
    <t>14.07.2021</t>
  </si>
  <si>
    <t>Providing Technical assistance (Civil Supervisior) for site supervision at Transformer yard ESP control room air compressor house roads &amp; drain &amp; various building in BTG area at Deepnagar. (PO NO - 4500115483)</t>
  </si>
  <si>
    <t>Work of Concreting between existing road and parking shed at project office Bhusawal (PO NO - 4500115660)</t>
  </si>
  <si>
    <t>28.07.2021</t>
  </si>
  <si>
    <t>Work of providing &amp; fixing gypsum board false celing for project quarters &amp; project office at BTPS Deepnagar (PO NO - 4500115657)</t>
  </si>
  <si>
    <t>Work of painting of quarters internaly as and when under Civil Construction Circle at BTPS Deepnagar (PO NO - 4500115661)</t>
  </si>
  <si>
    <t>Work of repairing &amp; strenthening of RCC Chajjas of type-II project quarters Deepnagar, Bhusawal (PO NO - 4500115658)</t>
  </si>
  <si>
    <t>29.07.2021</t>
  </si>
  <si>
    <t>Work of providing &amp; Installing 3.0 H.P. pump and CPVC pipe line for garden adjacent to 1X660 MW project office at BTPS Deepnagar, Bhusawal (PO NO - 4500115659)</t>
  </si>
  <si>
    <t>Providing assistance maintaining water supply in project office primises at BTPS, Deepnagar (PO NO - 4500115769)</t>
  </si>
  <si>
    <t>06.08.2021</t>
  </si>
  <si>
    <t>Confirmatory work of providing unskilled labour for dewatering of concrete drain construction of cofferdam to stop water in darin required for finding out lekages in construction water supply pipe line at BTPS Deepnagar (PO NO - 4500115826)</t>
  </si>
  <si>
    <t>10.08.2021</t>
  </si>
  <si>
    <t>Annual maintainance servicing checking networking administration &amp; trouble shooting of network hardware system at 1x660 MW, CCC MSPGCL, Bhusawal (PO NO - 4500115772)</t>
  </si>
  <si>
    <t>25.08.2021</t>
  </si>
  <si>
    <t>Haring of private diesel taxi car/jeep(MahendraTUV300/TATA Indigo/Bolero/TATA Sumo) along with driver &amp; Diesel required for Exect. Engg. (C) CCD-I Bhusawal for the period from 27/01/2020 to 31/01/2021 &amp; 14/07/2020 to 24/07/2020 (PO NO - 4500115518)</t>
  </si>
  <si>
    <t>Work of driling borewell for raw water supply to 660MW project site at Deepnagar, Bhusawal (PO NO - 4500115937)</t>
  </si>
  <si>
    <t>27.08.2021</t>
  </si>
  <si>
    <t>Work of providing water supply, sanitary arrangment &amp; other miscelleneous work for building no. new F-09 for MSF at BTPS, Deepnagar (PO NO - 4500115936)</t>
  </si>
  <si>
    <t>Providing &amp; Supplying Clean water by 5000 Lit. tankers for construction of 1x660 MW project office at BTPS, Deepnagar (PO NO - 4500116003)</t>
  </si>
  <si>
    <t>Renovation of Cabin of the Dy. Chief Engineer (C), C. C. Office, Deepnagar, Bhusawal (PO NO - 4500116004)</t>
  </si>
  <si>
    <t>Work of removing dense shrubs weeds along project office approach road of 1x660MW Project office at BTPS, Deepnagar, Bhusawal (PO NO - 4500115999)</t>
  </si>
  <si>
    <t>01.09.2021</t>
  </si>
  <si>
    <t>Hiring Services of Skilled as Computer Typist at Account Section Civil Construction Circle office, Deepnagar, Bhusawal (PO NO - 4500116061)</t>
  </si>
  <si>
    <t>07.09.2021</t>
  </si>
  <si>
    <t>Work of Providing &amp; Fixing 2HP pump in existing borewell of project office Complex at Deepnagar, Bhusawal (PO NO - 4500116055)</t>
  </si>
  <si>
    <t>Hiring of private diesel taxi (i.e. XUV 300/TUV 300/Mahindra Scorpio/Hundai/Maruti Vista or equivalent) along with driver &amp; required fuel for E.E. (C), admin at 1x660MW repln. Project CCC., Bhusawal (PO NO - 4500116363)</t>
  </si>
  <si>
    <t>30.09.2021</t>
  </si>
  <si>
    <t>Work of painting of office internally as &amp; when required under CCC, at BTPS Deepanagar, Bhusawal (PO NO - 4500116057)</t>
  </si>
  <si>
    <t>Work of Internal painting to quarters (2 Nos) in building No. F-9 for MSF Staff at BTPS colony Deepnagar, Bhusawal (PO NO - 4500116056)</t>
  </si>
  <si>
    <t>Work of providi9ng of unskilled labour and Misc work at 1x660MW office at Deepanagar, Bhusawal (PO NO - 4500116062)</t>
  </si>
  <si>
    <t>Providing services of skilled assistance as a computer operator for preparation data for SAP &amp; SRM syatem in the office of the civil construction circle, Deepnagar, Bhusawal (PO NO - 4500116426)</t>
  </si>
  <si>
    <t>06.10.2021</t>
  </si>
  <si>
    <t>Repairing and renovation of 03 Qtrs in building no. E-37 for MSF at BTPS Colony, Deepnagar, Bhusawal (PO NO - 4500116508)</t>
  </si>
  <si>
    <t>21.10.2021</t>
  </si>
  <si>
    <t>Hiring of private diesel taxi car i.e. (XUV 300/TUV 300/Mahindra Scorpio / Hundai/Venue Maruti Vitara Brezza) along with driver and required fuel for E.E. (C), CCD-III at 1x660 Mw Repln. Project civil construction circle at Deepnagar, Bhusawal (PO NO - 4500116428)</t>
  </si>
  <si>
    <t>Development of garden in open space in front of temp project quarters at BTPScolony Deepnagar, Bhusawal (PO NO - 4500116756)</t>
  </si>
  <si>
    <t>18.11.2021</t>
  </si>
  <si>
    <t>Work of Stainless Steel Railing infront of VIP suits at Tapi Rest House Deepnagar, Bhusawal (PO NO - 4500116849)</t>
  </si>
  <si>
    <t>30.11.2021</t>
  </si>
  <si>
    <t>Work of fixing Septi Tank of Soak Pite Minor Repairing of Toilet of Project Canteen at BTPS, Deepnagar, Bhusawal (PO NO - 4500116807)</t>
  </si>
  <si>
    <t>Providing and fixing kitchen trolley &amp; misc. work for Qtr. BM-19 &amp; BM-20 at BTPS, Deepnagar, Bhusawal (PO NO - 4500116809)</t>
  </si>
  <si>
    <t>Providing and fixing two track sliding mousquito jali at temp. project qtr. BTPS, Deepnagar, Bhusawal (PO NO - 4500116839)</t>
  </si>
  <si>
    <t>Work of removing dense grass srups weeds on as and when required basis around project qtr. Deepnagar (PO NO - 4500116848)</t>
  </si>
  <si>
    <t>Work of UCR Drain along Road to Project office under C.C.C. at BTPS, Deepnagar, Bhusawal (PO NO - 4500116808)</t>
  </si>
  <si>
    <t>Hiring of Private Diesel AC Car i.e. (Dezire/Ford or equivalent) along with driver and Diesel required for Dy. C.E. C.C.C., MSPGCL, Bhusawal from Period at (Dt. 03/06/2021 to Dt. 09/06/2021) (PO NO - 4500116914)</t>
  </si>
  <si>
    <t>02.12.2021</t>
  </si>
  <si>
    <t>Providing and Fixing Eco Roof Sheet over Project PA Type Quarters at BTPS Colony, Deepnagar, Bhusawal (PO NO - 4500116607)</t>
  </si>
  <si>
    <t>03.12.2021</t>
  </si>
  <si>
    <t>Providing and fixing two track sliding Mousquito Jali at Tapi Rest House,  BTPS, Deepnagar, Bhusawal (PO NO - 4500116917)</t>
  </si>
  <si>
    <t>Hiring of private Desiel AC Taxi (i.e. XUV 300/ TUV 300/ Mahendra scarpio/ Hundai/ Venue maruti/ Vitra Brezza) along wilth drive &amp; required fuel for E.E.(C) CCD-I at 1X660 MW replacement project C.C.C. at Deepnagar. (PO NO - 4500116945)</t>
  </si>
  <si>
    <t>06.12.2021</t>
  </si>
  <si>
    <t>Hiring of private Desiel AC Taxi (i.e. XUV 300/  Venue maruti/ Vitra Brezza/TUV-300/ Mahendra scarpio) along wilth drive &amp; required fuel for E.E.(C) CCD-II at 1X660 MW replacement project C.C.C. at Deepnagar. (PO NO - 4500116946)</t>
  </si>
  <si>
    <t>Providing services of skilled assistance for computer operation &amp; Dispatch work at office of the Dy.C.E. (C) CCC Deepnagar Bhusawal. (PO NO - 4500116889)</t>
  </si>
  <si>
    <t>07.12.2021</t>
  </si>
  <si>
    <t>Work of Water Proffing to the Terrace of VIP Suits at Tapi Rest House, Deepnagar, Bhusawal (PO NO - 4500116983)</t>
  </si>
  <si>
    <t>08.12.2021</t>
  </si>
  <si>
    <t>Work of Repaire and Maintainace of Alluminium Doors and Partition on as when required basis at various Division / Section in Project Office Complex at BTPS, Deepnagar, Bhusawal (PO NO - 4500116918)</t>
  </si>
  <si>
    <t>Renovation and re-painting  of Circle Account and HR Section at 1x660 MW Civil Construction Circle, Office Deepnagar, Bhusawal (PO NO - 4500116938)</t>
  </si>
  <si>
    <t>Providing unskilled assistance for monitoring of curing at 1x660 MW replacement unit Civil Construction Circle Deepnagar, Bhusawal (PO NO - 4500116942)</t>
  </si>
  <si>
    <t>Work of plain cement concrete behaind VIP suits of Tapi rest House, Deepnagar, Bhusawal (PO NO - 4500117069)</t>
  </si>
  <si>
    <t>16.12.2021</t>
  </si>
  <si>
    <t>Providing 10 MBPS (1:1) Internet Leased line Connectivity at Civil Construction Circle 1x660 MW, Deepnagar, Bhusawal (PO NO - 4500116984)</t>
  </si>
  <si>
    <t>22.12.2021</t>
  </si>
  <si>
    <t>Work of Plinth Protection  to Project Canteen and Concreting below Chainlink Fencing around Canteen, at Deepnagar, Bhusawal (PO NO - 4500117201)</t>
  </si>
  <si>
    <t>29.12.2021</t>
  </si>
  <si>
    <t>Work of external painting to temporary project quarters at Deepnagar, Bhusawal (PO NO - 4500117202)</t>
  </si>
  <si>
    <t>Procurement of multiflication printer for office of Dy. Chief Engineer (C), C.C.C., Deepnagar, Bhusawal (PO NO - 4500117285)</t>
  </si>
  <si>
    <t>03.01.2022</t>
  </si>
  <si>
    <t>Confimatory work of providing pump operator for operating pumps at pump house oulet canal at BTPS to supply raw water for ongoing constn. Of 1x660 MW Project, Deepnagar. (Period from Dt. 25/10/2021 to Dt. 15/11/2021) (PO NO - 4500117297)</t>
  </si>
  <si>
    <t>05.01.2022</t>
  </si>
  <si>
    <t>Confirmatory work of providing services of Technical Assistance (Civil Supervisor) for supervision at NDCT area at 1X660 MW Project Deepnagar period 01-09-21 To 27-09-21 (PO NO - 4500117363)</t>
  </si>
  <si>
    <t>06.01.2022</t>
  </si>
  <si>
    <t>Providing and fixing tiles to step of temp staff quarters at BTPS Deepnagar (PO NO - 4500117362)</t>
  </si>
  <si>
    <t>Work of cleaining undergraound drains inspection chambur removing chocks from nhani trap wash basin sink we as &amp; when required basis along with cutting down branches of trees at project quarters at BTPS Deepnagar. (PO NO - 4500117376)</t>
  </si>
  <si>
    <t>Providing services of unskilled assistance for Dy. Chief Engg.(C), Civil Const. Circle, Deepnagar, Bhusawal (PO NO - 4500117383)</t>
  </si>
  <si>
    <t>17.01.2022</t>
  </si>
  <si>
    <t>Providing services of unskilled assistance for Dy. Chief Engg.(C), Civil Const. Circle, Deepnagar, Bhusawal (PO NO - 4500117386)</t>
  </si>
  <si>
    <t>Work of hiring of Xerox Machine for day to day Xeroxing of document at C.C.C. M.S.P.G.C.L., Bhusawal (PO NO - 4500117449)</t>
  </si>
  <si>
    <t>18.01.2022</t>
  </si>
  <si>
    <t>Work of repairing major pot holes of colony road from BHEL office to Shaktigad Chowk at BTPS, Deepnagar, Bhusawal. (PO NO - 4500117292)</t>
  </si>
  <si>
    <t>Supply of sanitization material for pandamic Covid-19 at Civil Constn. Circle &amp; it allied division 1x660 MW Project, Deepnagar, Bhusawal (PO NO - 4500117472)</t>
  </si>
  <si>
    <t>Providing cutting down branches removing grass cleaning &amp; misc. work at Tapi Rest House Deepnagar, Bhusawal (PO NO - 4500117497)</t>
  </si>
  <si>
    <t>Engaging expert services for SAP reconcilation for Final Accounting work for FY-2021-22, Deepnagar, Bhusawal (PO NO - 4500117450)</t>
  </si>
  <si>
    <t>21.01.2022</t>
  </si>
  <si>
    <t>Work of Construction of new toilet at 500MW gate for security staff at Deepnagar, Bhusawal (PO NO - 4500117612)</t>
  </si>
  <si>
    <t>05.02.2022</t>
  </si>
  <si>
    <t>Work of repairing/replacing sewaqge pipe line at Tapi rest house Deepnagar, Bhusawal (PO NO - 4500117611)</t>
  </si>
  <si>
    <t>Plantation of royal palm for tale palm and required decorative plant sapling trees in 1x660 MW at Deepnagar, Bhusawal (PO NO - 4500117609)</t>
  </si>
  <si>
    <t>Annual maintenance of garden near project office complex gate at Deepnagar, Bhusawal (PO NO - 4500117610)</t>
  </si>
  <si>
    <t>Providing day to day sanitizatiuon at Cabin, Partition, Furniuture &amp; allied toilet at C.C.C., 1X660 MW, Project, Deepnagar. (PO NO - 4500117747)</t>
  </si>
  <si>
    <t>11.02.2022</t>
  </si>
  <si>
    <t>Shifting of existing drinking water pipe line of peri urban Khadke water supply scheme (of MJP) near 1X660 MW railway, siding, 1X660 MW Project, Deepnagar, Bhusawal. (PO NO - 4500117622)</t>
  </si>
  <si>
    <t>Supply of safty equipment of civil construction circle 1X660 MW Repl. Unit Deepnagar Bhusawal. (PO NO - 4500117800)</t>
  </si>
  <si>
    <t>Xeroxing photocopying of offical documents of Civil construction Bhusawal Period 13/04/21 To 16/06/2021 (PO NO - 4500117827)</t>
  </si>
  <si>
    <t>17.02.2022</t>
  </si>
  <si>
    <t>Replacement of damaged files of temp staff Qtrs at BTPS Deepnagar Bhusawal. (PO NO - 4500117823)</t>
  </si>
  <si>
    <t>24.02.2022</t>
  </si>
  <si>
    <t>Work of minor repair and internal painting BM-24 Qtr BTPS Deepnagar. (PO NO - 4500117820)</t>
  </si>
  <si>
    <t>Maintenance of plumbing system of old project office complex at BTPS Deepnagar Bhusawal. (PO NO - 4500117821)</t>
  </si>
  <si>
    <t>Work of cleaning of constructed drain &amp; reparing works in the premises of project complex at Deepnagar, Bhusawal (PO NO - 4500117926)</t>
  </si>
  <si>
    <t>28.02.2022</t>
  </si>
  <si>
    <t>Providing assistance (Civil Supervisor) for site supervision at water treatment area at 1x660 MW project, Deepnagar, Bhusawal (PO NO - 4500117927)</t>
  </si>
  <si>
    <t>Maintenace of project office complex &amp;other misc reparing works as and when required at Deepnagar, Bhusawal (PO NO - 4500117924)</t>
  </si>
  <si>
    <t>Providing services of skilled Assistance (Drivers) of departmenatal Vehicle MH-19 AE 6942 for office of Civil Construction Circle, Deepnagar, Bhusawal (PO NO - 4500117999)</t>
  </si>
  <si>
    <t>Providing services of skilled Assistance (Drivers) of departmenatal Vehicle MH-40 AE 8027 for office of Civil Construction Circle, Deepnagar, Bhusawal (PO NO - 4500118000)</t>
  </si>
  <si>
    <t>CCC Bhusawal - RAILWAY SIDING</t>
  </si>
  <si>
    <t>Re-routing of S&amp;T Cables and Lacation boxes of 2X500 MW Railway Siding fouling in the route of 1X660 MW Railway Siding at Deepnagar, Bhusawal (PO NO - 4500118073)</t>
  </si>
  <si>
    <t>02.03.2022</t>
  </si>
  <si>
    <t>Hiring of private Innova AC Car on 'as and when' required basis along with driver and diesel required for Higher Official Head Office MSPGCL, Mumbai (PO NO - 4500117982)</t>
  </si>
  <si>
    <t>03.03.2022</t>
  </si>
  <si>
    <t>Work of replacement of damaged tiles &amp; misc-repairs of chummery at PD - 4/2 at BTPS Deepnagar, Bhusawal (PO NO - 4500118013)</t>
  </si>
  <si>
    <t>07.03.2022</t>
  </si>
  <si>
    <t>Construction of temporary road for formers along 1x660 MW railway siding at Deepnagar, Bhusawal (PO NO - 4500118108)</t>
  </si>
  <si>
    <t>08.03.2022</t>
  </si>
  <si>
    <t>Work of replacement of damaged tiles &amp; misc-repairs of chummery at PD - 4/2 at BTPS Deepnagar, Bhusawal PVC Pipe Line of farmers fouling in 1X660 MW railway siding area under CCC, Deepnagar, Bhusawal (PO NO - 4500118106)</t>
  </si>
  <si>
    <t>Work of construction of Pipe Culvert on Railway Side Road (Rly Br. No. 15) 1X660 MW at Deepnagar, Bhusawal (PO NO - 4500118103)</t>
  </si>
  <si>
    <t>Work of Waterproffing of Building No - New F-09 for MSF at BTPS Deepnagar, Bhusawal (PO NO - 4500117983)</t>
  </si>
  <si>
    <t>09.03.2022</t>
  </si>
  <si>
    <t>Providing Pump Operator for Operating Pumps at Pumps HouseOutlet Canal at BTPS to Supply raw water for on going Construction at 1x660 MW , Deepnagar (PO NO - 4500118115)</t>
  </si>
  <si>
    <t>Providing housekeeping services for chummery for project staff at Deepnagar, Bhusawal (PO NO - 4500118114)</t>
  </si>
  <si>
    <t>Hiring of Private A.C. Taxi (i.e Amaze/Dezire/Aspire/equivalent Sedan Car) along with driver and required fuel for Superintending Engineer (C) at 1x660 MW repln. Project Site at Deepnagar. Bhusawal (PO NO - 4500118116)</t>
  </si>
  <si>
    <t>16.03.2022</t>
  </si>
  <si>
    <t>Hiring of Private A.C. Taxi (i.e Maruti/Ertiga/Mahindra XUV 700/Hyundai Alcazar/ MG Hector plus/ Kia cornival equivalent Sedan Car) along with driver and required fuel for Dy. C.E. (C) at 1x660 MW repln. Project Site at Deepnagar. Bhusawal (PO NO - 4500118270)</t>
  </si>
  <si>
    <t>Providing services of skilled assistance as a computer operator for preparation data for SAP &amp; SRM syatem in the office of the civil construction circle, Deepnagar, Bhusawal (PO NO - 4500118440)</t>
  </si>
  <si>
    <t>25.03.2022</t>
  </si>
  <si>
    <t>Plumbing of Sanitary works of Tapi rest house at Deepnagar Bhusawal (PO NO - 4500118515)</t>
  </si>
  <si>
    <t>31.03.2022</t>
  </si>
  <si>
    <t>Providing &amp; instalation of mobile network signal booster at civil construction circle at BTPS Deepnagar. (PO NO - 4500118109)</t>
  </si>
  <si>
    <t>Work of diversion of agriculture pipeline in MJP water line to village khadka At 1x660 MW railway siding area under CCC, at Deepnagar, Bhusawal. (PO NO - 4500118711)</t>
  </si>
  <si>
    <t>Work of Brick Wall (Hedging) at entry of Tapi Rest House BTPS Deepnagar, Bhusawal (PO NO - 4500118777)</t>
  </si>
  <si>
    <t>01.04.2022</t>
  </si>
  <si>
    <t>Providing 300mm dia RCC for laying pipline of farmers near Railway Br. No. 15 in 1x660 MW Railway Siding area undre C.C.C., Deepnagar, Bhusawal (PO NO - 4500118789)</t>
  </si>
  <si>
    <t>Providing &amp; fixing of carpet &amp; Verticle blinds at Dy. C.E., S.E., &amp; E.E. Admin Cabin at Civil Construction circle at Deepnagar, Bhusawal (PO NO - 4500118436)</t>
  </si>
  <si>
    <t>07.04.2022</t>
  </si>
  <si>
    <t>Transporation of rail sleepers stocked at proposed ROB pier No. 4 (Abutment of 1x660 MW Railway siding at Deepnagar, Bhusawal (PO NO - 4500118794)</t>
  </si>
  <si>
    <t>20.04.2022</t>
  </si>
  <si>
    <t>Repairing of 'PA' - Type Project Quarters for Superintending Engineer (C), 1x660 MW Project at BTPS, Deepnagar, Bhusawal (PO NO - 4500118877)</t>
  </si>
  <si>
    <t>26.04.2022</t>
  </si>
  <si>
    <t>Annual maintenance servicing checking network administration &amp; troubles shooting of network hardware system at 1X660 MW (PO NO - 4500118871)</t>
  </si>
  <si>
    <t>02.05.2022</t>
  </si>
  <si>
    <t>Providing 10 MBPS(1:1) inter net leased line conectivity at CCC 1X660MW Period 8/10/2021 to 7/11/2021 (PO NO - 4500118870)</t>
  </si>
  <si>
    <t>Rejuvenation of Cabin of the S.E. (Civil) Deepnagar Bhusawal. (PO NO - 4500119269)</t>
  </si>
  <si>
    <t>Providing of erecting GI chainlink fencing of 1.60 m hight from 2X500 MW Gate to purna rest house gate at Deepnagar Bhusawal. (PO NO - 4500119271)</t>
  </si>
  <si>
    <t>Prepairation of area in view of 75th Republic Day 26th Jan 2022 for Flag hoisting cerermony at project office Deepangar (PO NO - 4500119303)</t>
  </si>
  <si>
    <t>Work of construction shed for DEMD at 1X660 MW project office gate of misc work at main project gate at Deepnagar (PO NO - 4500119270)</t>
  </si>
  <si>
    <t>Removing dense, bushes &amp; grass along boundary wall of 1X660 MW project at BTPS Deepangar, Bhusawal. (PO NO - 4500119267)</t>
  </si>
  <si>
    <t>Work of shifting of farmers pipeline at Gat No. 278 fouling in railway bridge No. 16 at 1X660 MW Railway siding area under CCC, Deepnagar, Bhusawal. (PO NO - 4500119268)</t>
  </si>
  <si>
    <t>Work of fabrication and erection of structural steel staircase at Tapi rest house Deepnagar, Bhusawal. (PO NO - 4500118878)</t>
  </si>
  <si>
    <t>Providing unskilled assistance for sweeping work at Civil Construction Circle, Deepnagar (PO NO - 4500119333)</t>
  </si>
  <si>
    <t>Providing &amp; fixing new 5HP pump in existing open well for water supply at 660MW gate security cabin at Deepnagar, Bhusawal. (PO NO - 4500119348)</t>
  </si>
  <si>
    <t>04.05.2022</t>
  </si>
  <si>
    <t>Work of locating &amp; repairing of 100 mm construction water supply pipeline for 1X660 MW Project site Deepnagar. (PO NO - 4500119349)</t>
  </si>
  <si>
    <t>Work of water proffing and other misc work at 33/11KV Substation at BTPS Deepnagar, Bhusawal. (PO NO - 4500119328)</t>
  </si>
  <si>
    <t>Providing &amp; fixing of zebrablinds to doors windows along with floor carpet at all EE Divisions cabin Civil Construction Circle Deepnagar, Bhusawal. (PO NO - 4500119359)</t>
  </si>
  <si>
    <t>05.05.2022</t>
  </si>
  <si>
    <t>Providing &amp; fixing RCC Covers over drain in the premises of project office complex at 1X660 MW replacement project Deepnagar, Bhusawal. (PO NO - 4500119347)</t>
  </si>
  <si>
    <t>Hiring of private AC Taxi (i.e., Maruti Eritga / Maruti Dizire / XL6 or equivalent) along with driver &amp; fuel for CCC at 1X660 MW replacement project CCC at Deepnagar. (PO NO - 4500119346)</t>
  </si>
  <si>
    <t>Providing services of unskilled assistance for day to day office work for civil construction  Div-III at New project office shed bhusawal. (PO NO - 4500119329)</t>
  </si>
  <si>
    <t>06.05.2022</t>
  </si>
  <si>
    <t>Hiring services of skilled as computer typist at account section civil construction Circle, Deepnagar, Bhusawal. (PO NO - 4500119331)</t>
  </si>
  <si>
    <t>Repairing of approch road of railway Br. No.8B of 2X500 MW Railway Siding at Deepnagar Bhusawal (PO NO - 4500119453)</t>
  </si>
  <si>
    <t>10.05.2022</t>
  </si>
  <si>
    <t>Providing unskilled assistance for monitoring of curing at 1X660 MW Replacement Unit CCC, Deepnagar, Bhusawal. (PO NO - 4500119454)</t>
  </si>
  <si>
    <t>Providing sliding gate at 660 MW Project gate, Deepnagar, Bhusawal. (PO NO - 4500119451)</t>
  </si>
  <si>
    <t>Providing Technical Assistance (Civil Supervisor) for site supervision at Chimney area 1X660 MW Project, Deepnagar, Bhusawal. (PO NO - 4500119426)</t>
  </si>
  <si>
    <t>Work of repairing/ replacing PVC sewage pipeline at temporary project quarters at Deepnagar, Bhusawal. (PO NO - 4500119490)</t>
  </si>
  <si>
    <t>12.05.2022</t>
  </si>
  <si>
    <t>Providing &amp; erecting barbed wire fencing anti-climbing arrangement around 1x660 MW project office complex, BTPS, Deepnagar, Bhusawal. (PO NO - 4500119428)</t>
  </si>
  <si>
    <t>19.05.2022</t>
  </si>
  <si>
    <t>Hiring of Desert coolers during summer season for 1x660 MW Civil Construction Circle, and its allied Divisions/ sections, Deepnagar, Bhusawal. (PO NO - 4500119509)</t>
  </si>
  <si>
    <t>Work of servicing &amp; maintenance of computers &amp; printers under Civil Construction Circle, Deepnagar, Bhusawal. (PO NO - 4500119536)</t>
  </si>
  <si>
    <t>Pothole repairing &amp; surface coating of colony road Deepnagar, Bhusawal (PO NO - 4500119558)</t>
  </si>
  <si>
    <t>Repairing of renovation of existing ladies tiolet at Civil Construction Circle BTPS Deepnagar. (PO NO - 4500119611)</t>
  </si>
  <si>
    <t>30.05.2022</t>
  </si>
  <si>
    <t>Providing 300 mm dia RCC pipe below 1x660 MW railway siding area for laying or farmer pipe line unde civil construction circle deepnagar. (PO NO - 4500119562)</t>
  </si>
  <si>
    <t>Work Providing of fixing RCC cover open drain adjucent to bulkar road up to project office road deepnagar. (PO NO - 4500119702)</t>
  </si>
  <si>
    <t>31.05.2022</t>
  </si>
  <si>
    <t>Diversion of underground PVC agricluture water supply pipeline falling along with route of retaining wall at bhogavati river in (GATM0295) at shri Pitamber Patil in Village Pimprisekam Bhusawal. (PO NO - 4500119689)</t>
  </si>
  <si>
    <t>Work of providing painting to existing chainlink fencing at project office complex Deepnagar, Bhusawal. (PO NO - 4500119687)</t>
  </si>
  <si>
    <t>Maintenance of resurfacing of existing BT road along 1*600 MW boundary from NH-6 to Bhagvati river for village pimprisekam at Deepnagar. (PO NO - 4500119729)</t>
  </si>
  <si>
    <t>02.06.2022</t>
  </si>
  <si>
    <t>Work of External painting to temporary project gtrs PD-3, PD-4 and PE-5 to PE-9 at Deepnagar (PO NO - 4500119685)</t>
  </si>
  <si>
    <t>Work of repair and maintenance of aluminium partation on as when required basis at various division/section in project office complex at BTPS Deepnagar Bhusawal. (PO NO - 4500119563)</t>
  </si>
  <si>
    <t>03.06.2022</t>
  </si>
  <si>
    <t>Work of Internal painting to project Quters on as when required basis at Deepnagar Bhusawal. (PO NO - 4500119701)</t>
  </si>
  <si>
    <t>Supply of 07 Nos Airconditioners 1.5 Tone capicity for cabin of Dy.C.E.(C)S.E(C) &amp; E.E(C) at 1*660MW xplacement project Deepnagar Bhusawal.   (PO NO - 4500119754)</t>
  </si>
  <si>
    <t>07.06.2022</t>
  </si>
  <si>
    <t>Providing Servises of skilled assistsnce (oriuer) for depatmental Vehicle 
MH-19-6942 for office for the C.C.C. Deepnagar. (PO NO - 4500119781)</t>
  </si>
  <si>
    <t>Work of removing grass along chain link fencing of 2*500MW railway line for BR-17+0. Existing compund wall near BR-18 of inside peripheral of 1*660MW project site compound wall at BTPS Deepnagar. (PO NO - 4500119613)</t>
  </si>
  <si>
    <t>10.06.2022</t>
  </si>
  <si>
    <t>Work of plain cement concrete behind VIP suites at left side of Tapi rest house Deepnagar Bhusawal. (PO NO - 4500119819)</t>
  </si>
  <si>
    <t>13.06.2022</t>
  </si>
  <si>
    <t>Day to day Civil maintenance work of project staff quarters at Deepnagar, Bhusawal. (PO NO - 4500118299)</t>
  </si>
  <si>
    <t>17.06.2022</t>
  </si>
  <si>
    <t>Work of tree plantation along both side of pimprisekam road (PO NO - 4500120312)</t>
  </si>
  <si>
    <t>22.07.2022</t>
  </si>
  <si>
    <t>Work of silt removes &amp; construction of coffer dam in 500 MW old inlet canal near abandoned pump house at BTPS Deepnagar. (PO NO - 4500120010)</t>
  </si>
  <si>
    <t>Work of Internal &amp; External Painting along with other misc work of project canteen at 1x660 MW Project Office, Deepnagar. (PO NO - 4500120320)</t>
  </si>
  <si>
    <t>27.07.2022</t>
  </si>
  <si>
    <t>Annual maintenance contract of painting and related work for 26 jan, 15 aug and other required event, 1 x 660 MW CCC, Deepnagar, Bhusawal. (PO NO - 4500120612)</t>
  </si>
  <si>
    <t>08.08.2022</t>
  </si>
  <si>
    <t>Maintenance of garden in front of temporary project quarters at, BTPS, Deepnagar,Bhusawal. (PO NO - 4500120596)</t>
  </si>
  <si>
    <t>Work of shifting of rail sleepers fouling in the alignment of proposed ROB embankment of 1 x 660 MW Railway siding at Deepnagar, Bhusawal. (PO NO - 4500120594)</t>
  </si>
  <si>
    <t>Work of removing dense shrubs, weeds &amp; grass along Pimprisekam road (PO NO - 4500120649)</t>
  </si>
  <si>
    <t>10.08.2022</t>
  </si>
  <si>
    <t>Work of construction of pipe culvert on Fulgaon side patrolling road along 2x500 MW Railway siding, Deepnagar, Bhusawal. (PO NO - 4500120652)</t>
  </si>
  <si>
    <t>Hiring of private diesel Taxi car/jeep (i.e., Mahindra TUV 300 / Tata Indica /Bolero/ Tata Sumo) along with driver &amp; diesel for Executive Engineer (C), CCD-I, MSPGCL, Bhusawal. (PO NO - 4500120690)</t>
  </si>
  <si>
    <t>Work of removing dense, grass, shrubs weeds on as when required basis around project office Deepnagar Bhusawal. (PO NO - 4500120564)</t>
  </si>
  <si>
    <t>17.08.2022</t>
  </si>
  <si>
    <t>Hiring of private AC Taxi (i.e., Swift Dezire/ ford aspire or equivalent) along with driver &amp; disel required for E.E. (C),CCD-III, Bhusawal. (PO NO - 4500120825)</t>
  </si>
  <si>
    <t>18.08.2022</t>
  </si>
  <si>
    <t>Providing Technical Assistance (Civil Supervisor) for site supervision at NDCT area 1X660 MW Project, Deepnagar, Bhusawal. (PO NO - 4500120628)</t>
  </si>
  <si>
    <t>Providing &amp; Fixing aluminium partitions at chemical lab building for the office purpose of 1x660 MW project Deepnagar, Bhusawal. (PO NO - 4500120866)</t>
  </si>
  <si>
    <t>19.08.2022</t>
  </si>
  <si>
    <t>Providing Execative office table or &amp; revolving chair at Civil Construction Circle Division - III at Deepnagar. (PO NO - 4500120648)</t>
  </si>
  <si>
    <t>Hiring of private A.C. Taxii.e. (Amaze/Desire/Aspire/equivalent sedan car) along with driver &amp; required fuel for E.E.(C) CCC, Bhusawal. (PO NO - 4500120932)</t>
  </si>
  <si>
    <t>26.08.2022</t>
  </si>
  <si>
    <t>Providing Supervisor for site supervision at Railway siding area at 1x660 MW Project Deepnagar, Bhusawal. (PO NO - 4500120857)</t>
  </si>
  <si>
    <t>Work of water proffing at terrace of the type-II building no.2 at BTPS Deepnagar. (PO NO - 4500120889)</t>
  </si>
  <si>
    <t>Constructin of cofferdam &amp; return to canal for construction water supply at 1x660 MW Project site Deepnagar, Bhusawal. (PO NO - 4500120887)</t>
  </si>
  <si>
    <t>Providing assistance for maintening water supply in project office premises at BTPS Deepnagar. (PO NO - 4500120884)</t>
  </si>
  <si>
    <t>Providing Execative chair for Execative Engineer(C) CCD-I BTPS Deepnagar. (PO NO - 4500120930)</t>
  </si>
  <si>
    <t>Providing brick work cheek dam &amp; cleaining of approch sump near ashbund pump house (PO NO - 4500120886)</t>
  </si>
  <si>
    <t>02.09.2022</t>
  </si>
  <si>
    <t>Hiring of private AC Taxi i.e (Desire/Amaze/Aspire/equivalent sedam car) along with driver of reqired fuel for E.E. (C) -Div-ll at CCC, Bhusawal. (PO NO - 4500120892)</t>
  </si>
  <si>
    <t>Annaul maintenance, servicing cheking network administration &amp; trouble shooting of network hardware system at 1x660MW, CCC, MSPGCL, Bhusawal.  (PO NO - 4500121178)</t>
  </si>
  <si>
    <t>07.09.2022</t>
  </si>
  <si>
    <t>Providing 10MBPS (1:1) internet leased line connectivity at civil construction circle, 1x660MW Deepnagar, Bhusawal. (PO NO - 4500121175)</t>
  </si>
  <si>
    <t>Providing 10MBPS (1:1) internet leased line connectivity at civil construction circle, 1x660MW Deepnagar, Bhusawal. (PO NO - 4500121174)</t>
  </si>
  <si>
    <t>Providing 10MBPS (1:1) internet leased line connectivity at civil construction circle, 1x660MW Deepnagar, Bhusawal. (PO NO - 4500121177)</t>
  </si>
  <si>
    <t>Work of plantation of ornamental plants &amp; their maintenance from 500MW gate to project office road divider at Deepnagar, Bhusawal. (PO NO - 4500121164)</t>
  </si>
  <si>
    <t>Work of removing grass, thorny, shrubs along 1 x 660 MW Project inside boundary at BTPS, Deepnagar, Bhusawal. (PO NO - 4500121165)</t>
  </si>
  <si>
    <t>Work of Maintenance of kitchen trolleys on as and when required basis for project quarters at BTPS colony, Deepnagar, Bhusawal. (PO NO - 4500121181)</t>
  </si>
  <si>
    <t>Work of internal painting to project office divisions at Deepnagar, Bhusawal. (PO NO - 4500121166)</t>
  </si>
  <si>
    <t>Providing services of unskilled assistance for sweeping and cleaning of wosh rooms of security cabins at 1x660 MW Project gate, near BHEL office and near project office gate at BTPS, Deepnagar, Bhusawal. (PO NO - 4500121217)</t>
  </si>
  <si>
    <t>09.09.2022</t>
  </si>
  <si>
    <t>Work of Construction of toilet for security cabin at secondory entance gate of 1x660 MW at BTPS, deepnagar, Bhusawal. (PO NO - 4500121269)</t>
  </si>
  <si>
    <t>13.09.2022</t>
  </si>
  <si>
    <t>Providing unskilled assistance for monitoring of curring at 1x660 MW Replacemant Unit CCC, Deepnagar, Bhusawal. (PO NO - 4500121282)</t>
  </si>
  <si>
    <t>14.09.2022</t>
  </si>
  <si>
    <t>Providing Services of unskilled assistance for sweeping work at CCC, Deepnagar, Bhusawal. (PO NO - 4500121283)</t>
  </si>
  <si>
    <t>Providing &amp; fixing mosquito proof mesh to windows of civil division office at Deepnagar, Bhusawal. (PO NO - 4500121284)</t>
  </si>
  <si>
    <t>Work of repairing &amp; strengthing of RCC parapet wall of Type II Qtr's at Deepnagar, Bhusawal. (PO NO - 4500121289)</t>
  </si>
  <si>
    <t>16.09.2022</t>
  </si>
  <si>
    <t>Providing 10 MBPS(1:1) inter net leased line conectivity at CCC 1X660MW Deepnagar, Bhusawal. (PO NO - 4500121288)</t>
  </si>
  <si>
    <t>Work of water proffing before onset of mansoon to temporary of Type-II project quarter at Deepnagar, Bhusawal. (PO NO - 4500121292)</t>
  </si>
  <si>
    <t>Providing or fixing masquito jali aluminium doors to project quarters at BTPS Deepnagar, Bhusawal. (PO NO - 4500121480)</t>
  </si>
  <si>
    <t>28.09.2022</t>
  </si>
  <si>
    <t>Work of repairing chain link fencing &amp; UCR masonry &amp; deweeding at tapi guest house deepnagar, bhusawal. (PO NO - 4500121968)</t>
  </si>
  <si>
    <t>18.10.2022</t>
  </si>
  <si>
    <t>Work of providing &amp; fixing of HDPE container of 2000 liters capacity supplying water to general toilet of Civil Project Circle office at Deepnagar. (PO NO - 4500121965)</t>
  </si>
  <si>
    <t>Carring out total station survey and quantity estimation of 210 MW and 2X500 MW ash bund near village at BTPS, Bhusawal. (PO NO - 4500121967)</t>
  </si>
  <si>
    <t>Hiring of private Ac taxi (i.e. Sedan/ SUV) along with driver and fuel for Civil Consultant at 1X660 MW Repl. Project CCC, Deepnagar, Bhusawal. (PO NO - 4500122046)</t>
  </si>
  <si>
    <t>Hiring of private taxi along with driver &amp; required fuel for EE (C)-II at 1x660 MW Repl. Unit Deepnagar, Bhusawal (PO NO - 4500122199)</t>
  </si>
  <si>
    <t>21.10.2022</t>
  </si>
  <si>
    <t>Providing services of skilled assistance (Driver) for departmental vehicle MH-40-A-8027 for office of the CCC, Deepnagar, Bhusawal. (PO NO - 4500122201)</t>
  </si>
  <si>
    <t>27.10.2022</t>
  </si>
  <si>
    <t>Providing Technical assistance (Civil Supervisor) &amp; Skilled assistance for AHP structure, 13 KM Ash Disposal pipeline (ADPL) &amp; CSR work (Phase-I, 12 Village) of 1X660 MW Project, Deepnagar, Bhusawal. (PO NO - 4500122205)</t>
  </si>
  <si>
    <t>Supply of stationary for civil construction circle division MSPGCL Bhusawal. (PO NO - 4500121434)</t>
  </si>
  <si>
    <t>03.11.2022</t>
  </si>
  <si>
    <t>Hiring services of skilled as computer Operator at account section civil construction Circle, Deepnagar, Bhusawal. (PO NO - 4500122330)</t>
  </si>
  <si>
    <t>Annual work contract of Video Shooting and Photography for 1x660 MW project under civil construction circle, Deepnagar, Bhusawal (PO NO - 4500122440)</t>
  </si>
  <si>
    <t>09.11.2022</t>
  </si>
  <si>
    <t>Praparation of an estimate for fire fighting system for proposed CD and E-type residential bulding through consultant Deepnagar, Bhusawal (PO NO - 4500122461)</t>
  </si>
  <si>
    <t>Work of clearing the clocks from underground drinage line including inspection chamber for project office and project Qtr's at BTPS Deepnagar, Bhusawal (PO NO - 4500122591)</t>
  </si>
  <si>
    <t>16.11.2022</t>
  </si>
  <si>
    <t>Work of waterproffing to project officer's Cabin attach Toilet slab at Deepnagar, Bhusawal (PO NO - 4500122719)</t>
  </si>
  <si>
    <t>23.11.2022</t>
  </si>
  <si>
    <t>Providing 10 MBPS (1:1) Internet Leased Line Connectivity at Civil Construction Circle 1x660 MW Deepnagar, Bhusawal 
(Period for Dt. 23/08/2022 to Dt. 22/09/2022) (PO NO - 4500122755)</t>
  </si>
  <si>
    <t>24.11.2022</t>
  </si>
  <si>
    <t>Work of sevicing &amp; maintenace of computers &amp; printers under civil construction circle, Deepnagar, Bhusawal. (PO NO - 4500122993)</t>
  </si>
  <si>
    <t>06.12.2022</t>
  </si>
  <si>
    <t>Work of Supplying Clean Water by Tanker for Trees Planted along Pimprisekam road at Deepnagar, Bhusawal. (PO NO - 4500123272)</t>
  </si>
  <si>
    <t>29.12.2022</t>
  </si>
  <si>
    <t>Providing services of skilled assistance (Driver) for departmental vehicle MH-19-AE-6942 for office of the CCC, Deepnagar, Bhusawal. (PO NO - 4500123260)</t>
  </si>
  <si>
    <t>Providing services of unskilled assistance for day to day menial / petty work for Civil Construction Division No. III at new project office shed BTPS Deepnagar, Bhusawal (PO NO - 4500123303)</t>
  </si>
  <si>
    <t>05.01.2023</t>
  </si>
  <si>
    <t>Providing Diesel Taxi (Bolero/New Mahindra TUV SUV or equivalents)along with Driver &amp; Diesel required for CSR work at CCD-III MSPGCL, Deepnagar, Bhusawal. (PO NO - 4500123442)</t>
  </si>
  <si>
    <t>12.01.2023</t>
  </si>
  <si>
    <t>Providing Pump Operator for Operating Pumps at Pump House Outlet Canal at BTPS to Supply Raw Water for on poing of 1x660 MW Proj. Deepnagar, Bhusawal. (PO NO - 4500123436)</t>
  </si>
  <si>
    <t>16.01.2023</t>
  </si>
  <si>
    <t>Providing &amp; laying RCC Pipe on Service road near BR. No.-15 of 1x660 MW Reailway Siding at Deepnagar, Bhusawal. (PO NO - 4500123441)</t>
  </si>
  <si>
    <t>Work of Construction of Pipe Culvert on Railway side road near L.C. gate Pimprisekam at Deepnagar, Bhusawal. (PO NO - 4500123440)</t>
  </si>
  <si>
    <t>Providing Tech-Assistance (Civil Supervisor) for Supervision at CHP, FGD &amp; Allied Structure 1x660 MW Project Deepnagar, Bhusawal. (PO NO - 4500123420)</t>
  </si>
  <si>
    <t>17.01.2023</t>
  </si>
  <si>
    <t>Work of Soil Investigation for proposed Residential Building at 1x660 MW replacement Project, Civil Construction Circle, at Deepnagar, Bhusawal. (PO NO - 4500123492)</t>
  </si>
  <si>
    <t>Work of Providing Office Assistance at office of the Dy. Chief Engineer (C), Civil Construction Circle, 1x660 MW, Deepnagar, Bhusawal.  (PO NO - 4500123421)</t>
  </si>
  <si>
    <t>18.01.2023</t>
  </si>
  <si>
    <t>Work of Providing Office Assistance at office of the Dy. Chief Engineer (C), Civil Construction Circle, 1x660 MW, Deepnagar, Bhusawal.  (PO NO - 4500123423)</t>
  </si>
  <si>
    <t>Work of Providing Office Assistance at office of the Dy. Chief Engineer (C), Civil Construction Circle, 1x660 MW, Deepnagar, Bhusawal.  (PO NO - 4500123422)</t>
  </si>
  <si>
    <t>Hiring of private AC Taxi (i.e. Desire, Amaze, Aspire, or equivalent Sedan Car) along with Driver &amp; required Fuel for Superintending Engineer (C), at 1x660 MW project C. C. C. Deepnagar, Bhusawal. (PO NO - 4500123410)</t>
  </si>
  <si>
    <t>Providing unskilled assistance for monitoring of curing at 1X660 MW Replacement Unit CCC, Deepnagar, Bhusawal. (PO NO - 4500123609)</t>
  </si>
  <si>
    <t>25.01.2023</t>
  </si>
  <si>
    <t>Work of providing furniture in visitor room at office of Chief Engineer (P), 1x660 MW project office. (PO NO - 4500123633)</t>
  </si>
  <si>
    <t>27.01.2023</t>
  </si>
  <si>
    <t>Work of removing existing Coffer Dam &amp; Cleaning of Canal as an when required near intake Water Pump House BTPS, Deepnagar, Bhusawal. (PO NO - 4500123611)</t>
  </si>
  <si>
    <t>31.01.2023</t>
  </si>
  <si>
    <t>Providing 15 Mbps (1:1) Internet Leased Line Connectivity at Civil Construction Circle , 1x660 MW Deepnagar, Bhusawal. (PO NO - 4500123723)</t>
  </si>
  <si>
    <t>03.02.2023</t>
  </si>
  <si>
    <t>Hiring of private AC taxi (i.e. Amaze/Dezire/Mahindra Boloero/TUV) or  equivalent along with Driver and required Fuel for Dy. CE (C) at 1x660 MW Replacement Prject, Civil Construction Circle, at Deepnagar, Bhusawal. (PO NO - 4500123709)</t>
  </si>
  <si>
    <t>Engaging expert services for SAP reconcilation for final accounting wor for FY 22-23 Deepnagar, Bhusawal (PO NO - 4500123807)</t>
  </si>
  <si>
    <t>08.02.2023</t>
  </si>
  <si>
    <t>Work of removing grass, thorny, shrubs along 1 x 660 MW Project inside boundary at BTPS, Deepnagar, Bhusawal. (PO NO - 4500123820)</t>
  </si>
  <si>
    <t>14.02.2023</t>
  </si>
  <si>
    <t>Work of internal painting to project quarters of (ECP) BM, PD &amp; PE ect BTPS Deepnagar. (PO NO - 4500123822)</t>
  </si>
  <si>
    <t>Work of removing grass, dense, shrubs, along canal road &amp; Pimprisekam road (PO NO - 4500123892)</t>
  </si>
  <si>
    <t>Work of Hiring of Xerox machine for day to day Xeroxing of Documents at CCC, MSPGCL, Bhusawal. (PO NO - 4500123923)</t>
  </si>
  <si>
    <t>17.02.2023</t>
  </si>
  <si>
    <t>Confirmatory work of reparing damaged divider wall of road from 2X500 MW gate to bulker gate road at 1X660 MW Repln. Unit, Deepnagar, Bhusawal (PO NO - 4500124008)</t>
  </si>
  <si>
    <t>24.02.2023</t>
  </si>
  <si>
    <t>Work of concrete road near BHEL office gate from existing 500 MW concrete road at BTPS, Deepnagar, Bhusawal (PO NO - 4500124056)</t>
  </si>
  <si>
    <t>01.03.2023</t>
  </si>
  <si>
    <t>Work of maintenance of landscaping in front of 1X660 MW project office premises at Deepnagar. (PO NO - 4500124038)</t>
  </si>
  <si>
    <t>03.03.2023</t>
  </si>
  <si>
    <t>Conducting structural audit &amp; residulel life assessment or river water pump house building near pimprisekam at BTPS, Bhusawal. (PO NO - 4500123981)</t>
  </si>
  <si>
    <t>Providing unskilled assistance sweeping work at Civil Construction Circle, Deepnagar. (PO NO - 4500124076)</t>
  </si>
  <si>
    <t>Annual Maintainance, Servicing. Checking, Network, Administration &amp; trouble shooting of Network Hardware System at 1X660 MW CCC, MSPGCL, Bhusawal. (PO NO - 4500124171)</t>
  </si>
  <si>
    <t>09.03.2023</t>
  </si>
  <si>
    <t>Work of cleaning overhead N.D.P. water tanks at 1X660 MW project office complex BTPS, Deepnagar, Bhusawal (PO NO - 4500124172)</t>
  </si>
  <si>
    <t>10.03.2023</t>
  </si>
  <si>
    <t>Work of providing or fixing new 20 HP pump for construction water supply to 660MW project Deepnagar. (PO NO - 4500124180)</t>
  </si>
  <si>
    <t>Work of carrying out soil investigation for proposal construction of permant store shed within existing major store premises at BTPS Deepnagar. (PO NO - 4500124185)</t>
  </si>
  <si>
    <t>Confirmatory work Hiring of services to carryout detailed Engineering or topographical survey for crossing of ADPL lines between OHE451/16KMS to OHE451/20 KMS between BSL &amp; VRN rail stations. (PO NO - 4500124259)</t>
  </si>
  <si>
    <t>Work of replacement of old broken cement tiles of staircase in super D building No 13,14 &amp; 15 respectively at BTPS Deepnagar. (PO NO - 4500124283)</t>
  </si>
  <si>
    <t>20.03.2023</t>
  </si>
  <si>
    <t>Hiring of Desert coolers during summer season for 1x660 MW Civil Construction Circle, and its allied Divisions/ sections, Deepnagar, Bhusawal. (PO NO - 4500124530)</t>
  </si>
  <si>
    <t>27.03.2023</t>
  </si>
  <si>
    <t>Supply of HP Make Computer with access Dries Laptop (HP Hevey Envy 360) Make large format Display (LED) (samsung Make) for video conferencing system at civil construction circle through Gems portal through PAC at 1x6660MW CCC office Bhusawal.  (PO NO - 4500124071)</t>
  </si>
  <si>
    <t>CCC Bhusawal - RISK AND COST</t>
  </si>
  <si>
    <t>Work of Repairing the existing Road crossing &amp; drains damaged near 500 MW plant entry gate on risk &amp; cost basis, BTPS, Deepnagar, Tal- Bhusawal. (PO NO - 4500124705)</t>
  </si>
  <si>
    <t>28.03.2023</t>
  </si>
  <si>
    <t>Sprinkiting of water on concret round surface and areas with dust by water tanker at 1x660 MW project Deepnagar.  (PO NO - 4500124553)</t>
  </si>
  <si>
    <t>29.03.2023</t>
  </si>
  <si>
    <t>Providing services of skilled assistants as a Computer operator for prepairation of data for SAP or SRM system in the office of CCC Deepnagar, Bhusawal (PO NO - 4500124774)</t>
  </si>
  <si>
    <t>Hiring of private AC taxi (i.e. Swift Desire/ford Aspire or equivalent) along with driver and diesel required for E.E.(C), CCD-III, Bhusawal (PO NO - 4500124559)</t>
  </si>
  <si>
    <t>Providing Platform, access road and approaches for additional parking area near project office at BTPS, Deepnagar, Bhusawal. (PO NO - 4500124775)</t>
  </si>
  <si>
    <t>Confirmatory Work of repairing of damaged MTP Pipeline near 2x500 MW panel room at 1X660 MW replacement unit Deepnagar, Bhusawal. (PO NO - 4500124777)</t>
  </si>
  <si>
    <t>Providing Designer Cement Concrete Tiles in Garden of Tapi guest house at BTPS, Deepnagar, Bhusawal. (PO NO - 4500124793)</t>
  </si>
  <si>
    <t xml:space="preserve">CCC Bhusawal - ESTABLISHMENT </t>
  </si>
  <si>
    <t>Work of external painting to 1X660 MW project office building at Deepngar, Bhusawal. (PO NO - 4500126072)</t>
  </si>
  <si>
    <t>11.05.2023</t>
  </si>
  <si>
    <t>Plumbing Sanitiray and miscollancous work for Type-II building No.1 at Deepngar, Bhusawal. (PO NO - 4500126105)</t>
  </si>
  <si>
    <t>12.05.2023</t>
  </si>
  <si>
    <t>Annual maintenance servicing checking network administration or trouble shooting of network hardware system at 1X660 MW CCC Bhusawal. (PO NO - 4500126141)</t>
  </si>
  <si>
    <t>Annual maintenance servicing checking network administration or trouble shooting of network hardware system at 1X660 MW CCC Bhusawal. (PO NO - 4500126142)</t>
  </si>
  <si>
    <t>Providing 10 MBPS(1:1) internet leased line connectivity at CCC 1X660 MW Deepnagar. (PO NO - 4500126139)</t>
  </si>
  <si>
    <t>Repairing of toilet blocks in civil construction division at CCC Deepnagar, Bhusawal. (PO NO - 4500126135)</t>
  </si>
  <si>
    <t>18.05.2023</t>
  </si>
  <si>
    <t>Work catch side drain along existing pimprisekam road from NH-6 to ROB start point at outside of 660 MW compound wall (PO NO - 4500126134)</t>
  </si>
  <si>
    <t>Work of removing of dense grass shrubs weeds on as and when required basis around project office and project quarters at Deepnagar, Bhusawal. (PO NO - 4500126069)</t>
  </si>
  <si>
    <t>23.05.2023</t>
  </si>
  <si>
    <t>Maintenance of plantation near 1x660 MW Project gate at Deepnagar, Bhusawal (PO NO - 4500126138)</t>
  </si>
  <si>
    <t>24.05.2023</t>
  </si>
  <si>
    <t>Providing or fixing HDPE contaner of 2000 liters capacity supplying water to general tiolet of E &amp; M office at Deepnagar. (PO NO - 4500126768)</t>
  </si>
  <si>
    <t>23.06.2023</t>
  </si>
  <si>
    <t>Work of connectivity construction of parpet wall for project quarters building at BTPS Deepnagar. (PO NO - 4500127497)</t>
  </si>
  <si>
    <t>11.07.2023</t>
  </si>
  <si>
    <t>Work of providing aprroach road near NH-6 box culvert crossing ADPL line at deepnagar. (PO NO - 4500127217)</t>
  </si>
  <si>
    <t>18.07.2023</t>
  </si>
  <si>
    <t>Providing unskilled assistance for monitoring of curing at 1x660 MW Repl. Unit,Civil Construction Circle, Deepnagar, Bhusawal. (PO NO - 4500127550)</t>
  </si>
  <si>
    <t>27.07.2023</t>
  </si>
  <si>
    <t>CCC Bhusawal - 
RISK &amp; COST</t>
  </si>
  <si>
    <t>Work of Providing &amp; instualation PVC portable urinals (toilet) block at various elevation of main power house at 1x660 MW Project. (PO NO - 4500127825)</t>
  </si>
  <si>
    <t>02.08.2023</t>
  </si>
  <si>
    <t>Hiring services of skilled as computer typists at account section civil construction Circle, Deepnagar. (PO NO - 4500127777)</t>
  </si>
  <si>
    <t>Confirmatory work of housekeeping at main power house transfarmer yard &amp; surrounding area of main power block at 1x660 MW project. (PO NO - 4500127779)</t>
  </si>
  <si>
    <t>Work of Providing Chainlink-Fencing behind Project Staff Quarters (PD - PE) at BTPS, Deepnagar, Bhusawal (PO NO - 4500127829)</t>
  </si>
  <si>
    <t>04.08.2023</t>
  </si>
  <si>
    <t>Work of repairing of pipe culvert constructed across mohammad pura nallah of 2x500 MW railway siding patroling road at Deepnagar, Bhusawal. (PO NO - 4500127830)</t>
  </si>
  <si>
    <t>Providing supervisor for site supervision at Railway siding area of 1X660 MW project Deepnagar. (PO NO - 4500127865)</t>
  </si>
  <si>
    <t>18.08.2023</t>
  </si>
  <si>
    <t>Work of rerouting of farmers PVC water pipeline fouling in ROB approach (Towards Bhogavati river) of 1X660 MW railway siding area under CCC., Deepnagar, Bhusawal. (PO NO - 4500128119)</t>
  </si>
  <si>
    <t>23.08.2023</t>
  </si>
  <si>
    <t>CCC Bhusawal - RAILWAY SIDING WORKS</t>
  </si>
  <si>
    <t>Renovation of Existing yard master service building at 2x500 MW railway siding at Deepnagar, Bhusawal. (PO NO - 4500128121)</t>
  </si>
  <si>
    <t>24.08.2023</t>
  </si>
  <si>
    <t>CCC Bhusawal - TOWNSHIP AND COLONY</t>
  </si>
  <si>
    <t>Work of providing &amp; laying sevage pipeline at back side of building no NE 41 To NE 48 &amp; Building NE 32 To NE 40 Deepnagar. (PO NO - 4500128317)</t>
  </si>
  <si>
    <t>01.09.2023</t>
  </si>
  <si>
    <t>Hiring of disel taxi car i.e. (Indica/Bolero/Swift Dizer) along with driver &amp; required fuel for staff of CCD-III 1X660 MW Replacement unit Bhusawal. (PO NO - 4500128776)</t>
  </si>
  <si>
    <t>21.09.2023</t>
  </si>
  <si>
    <t>Work of providing GPS co ordinates, site Elevation, Location Map of chimney and project site for NOC from AAI at 1x660 MW project Deepnagar, BSL (PO NO - 4500128803)</t>
  </si>
  <si>
    <t>27.09.2023</t>
  </si>
  <si>
    <t>Work of providing office assistance at office of the Dy. C.E. 1x660 MW Deepnagar, Bhusawal. (PO NO - 4500128829)</t>
  </si>
  <si>
    <t>22.09.2023</t>
  </si>
  <si>
    <t>Hiring of private disel taxi car (i.e. sedan/suv) along with driver &amp; fuel for civil consultant at 1x660 MW Replacement project CCC, Deepnagar. (PO NO - 4500128831)</t>
  </si>
  <si>
    <t>18.10.2023</t>
  </si>
  <si>
    <t>Work of NDT testing for type II Qtrs, Building No 1 along with detail report at 1x660 MW project at BTPS Deepnagar Bhusawal. (PO NO - 4500129360)</t>
  </si>
  <si>
    <t>19.10.2023</t>
  </si>
  <si>
    <t>Annual maintenance of Garden near project office complex gate Deepnagar, Bhusawal. (PO NO - 4500129389)</t>
  </si>
  <si>
    <t>Hiring of private disel taxi jeep (Mahundra TUV 300/Bolero/Neo) along with Driver and Disel required for CSR work &amp; other outside work at CCD-III MSPGCL, Bhusawal. (PO NO - 4500129388)</t>
  </si>
  <si>
    <t>Confirmatory work of providing services of unskilled assistance for sweeping and cleaning of wash rooms of security cabins at 1x660 MW project gate, near BHEL office and near project office gate, BTPS Deepnagar, Bhusawal. (PO NO - 4500128042)</t>
  </si>
  <si>
    <t>23.10.2023</t>
  </si>
  <si>
    <t>Confirmatory work of providing services of unskilled assistance for sweeping and cleaning of wash rooms of security cabins at 1x660 MW project gate, near BHEL office and near project office gate, BTPS Deepnagar, Bhusawal. (PO NO - 4500129773)</t>
  </si>
  <si>
    <t>17.11.2023</t>
  </si>
  <si>
    <t>Bhusawal 1x660 MW Replacement Project - Work of Tree Plantation in Pimprisekam Shivar along Village Roads. (PO NO - 4500130072)</t>
  </si>
  <si>
    <t>30.11.2023</t>
  </si>
  <si>
    <t>Providing Technical Assistance (Civil Supervisor) for site supervision at CHP, FGD and allied stucture 1x660 MW Project, Deepnagar, Bhusawal. (PO NO - 4500130132)</t>
  </si>
  <si>
    <t>01.12.2023</t>
  </si>
  <si>
    <t>Work of Dewatering at PRDS site and diversion of unseasonal rain water runoff at construction site of 1x660 MW replacement unit, Deepnagar, BSL. (PO NO - 4500129832)</t>
  </si>
  <si>
    <t>Hiring of private AC taxi disel taxi car i.e (Amaze/Aspire equivalent Sedan Car) along with Driver and required Fuel for S.E.(C), at 1x660 MW Proj. Repl. Unit, Deepnagar, Bhusawal. (PO NO - 4500130294)</t>
  </si>
  <si>
    <t>06.12.2023</t>
  </si>
  <si>
    <t>Repairing of Pot Holes of Internal Roads used for Coad Transportation from 2x500 MW to 660 MW Project at Deepnagar, Bhusawal. (PO NO - 4500130271)</t>
  </si>
  <si>
    <t>12.12.2023</t>
  </si>
  <si>
    <t>Work of Painting of Quarters Internally 'as and when' required under Civil Construction Circle at BTPS Deepnagar, Bhusawal (PO NO - 4500130348)</t>
  </si>
  <si>
    <t>Hiring of private AC taxi disel taxi car i.e (Amaze/Dezir/Ford equivalent Car) along with Driver and required Fuel for Dy. C.E. (C), at 1x660 MW Proj. Repl. Unit, Deepnagar, Bhusawal. (PO NO - 4500130343)</t>
  </si>
  <si>
    <t>Providing Services of skilled assistance (Driver) for Departmental Vehicle MH-40-A-8027 for office of the civil construction circle, Deepnagar, Bhusawal. (PO NO - 4500130487)</t>
  </si>
  <si>
    <t>18.12.2023</t>
  </si>
  <si>
    <t>Providing Technical Assistance (Civil Supervisor) for site supervision at NDCT area 1x660 MW Project, Deepnagar, Bhusawal. (PO NO - 4500130426)</t>
  </si>
  <si>
    <t>19.12.2023</t>
  </si>
  <si>
    <t>Hiring of Private AC Taxi (i.e. Amaze/Aspire/equivalent sedan car) along with Driver &amp; required Fuel for staff of CCD-II, 1x660 MW Repln. Proj. Deepnagar, Bhusawal. (PO NO - 4500130572)</t>
  </si>
  <si>
    <t>22.12.2023</t>
  </si>
  <si>
    <t>Providing Supervisor for Site Supervision at Railway Siding area of 1X660 MW Project at Deepnagar, Bhusawal. (PO NO - 4500130813)</t>
  </si>
  <si>
    <t>10.01.2024</t>
  </si>
  <si>
    <t>Providing &amp; Fixing Aluminium Composite Panel (ACP) to Internals Wall of CCR / CER at 17.00 Mtr of Main Power House at BTPS, Deepnagar, Bhusawal. (PO NO - 4500130867)</t>
  </si>
  <si>
    <t>Work of cleanining of tiolets of civil construction circle at its allied division deepnagar (PO NO - 4500130859)</t>
  </si>
  <si>
    <t>11.01.2024</t>
  </si>
  <si>
    <t>Work of providing chainlink fencing for isolation of Railway siding work for 1x660 MW Project Deepnagar. (PO NO - 4500130913)</t>
  </si>
  <si>
    <t>16.01.2024</t>
  </si>
  <si>
    <t>Confirmatory work of providing services of unskilled assistance for sweeping and cleaning of wash rooms of security cabins at 1x660 MW project gate, near BHEL office and near project office gate, BTPS Deepnagar, Bhusawal. (PO NO - 4500130977)</t>
  </si>
  <si>
    <t>17.01.2024</t>
  </si>
  <si>
    <t>Bhusawal 1x660 MW Replacement Project - Work of dewatering at construction site of 1X660 MW Replacement Project, Deepnagar, Bhusawal. (PO NO - 4500130965)</t>
  </si>
  <si>
    <t>19.01.2024</t>
  </si>
  <si>
    <t>Repairing of rail side patrolling road (North Side) towards fulgaon upto Mohammad hallah at Deepnagar, Bhusawal. (PO NO - 4500130994)</t>
  </si>
  <si>
    <t>Providing unskilled labour at Pump House Oulet Canel and Project Office Complex for Maintaining Water Supply at BTPS, Deepnagar, Bhusawal. (PO NO - 4500131020)</t>
  </si>
  <si>
    <t>Providing Plinth Protection and work to SD-14 and 15 Building under 660 MW Replacement Project, Bhusawal. (PO NO - 4500130240)</t>
  </si>
  <si>
    <t>23.01.2024</t>
  </si>
  <si>
    <t>Work of Providing Hydrolic Excavator and Manpower for Excavation of Dewatering Pits, Diversion of Monsoon Runoff at Construction Site of 1x660 MW Project Bhusawal. (PO NO - 4500130966)</t>
  </si>
  <si>
    <t>Providing Skilled Services for Preparation of Data in SAP and SRM System in Office of the Dy. C.E. (C), C.C.C., Deepnagar, Bhusawal. (PO NO - 4500131169)</t>
  </si>
  <si>
    <t>30.01.2024</t>
  </si>
  <si>
    <t>Work of Removing Grass along Project Office Road upto Ganapati Mandir at BTPS, Deepnagar, BSL. (PO NO - 4500131140)</t>
  </si>
  <si>
    <t>31.01.2024</t>
  </si>
  <si>
    <t>Providing Services of Skilled Assistance for (AHP) Structure 13 km Ash Disposal Pipeline (ADPL) and CSR Works (Phase-II, 15 Villages) of 1x660 MW Project at Deepnagar, Bhusawal. (PO NO - 4500131105)</t>
  </si>
  <si>
    <t>Hiring of Private AC Taxi Car/Jeep (Mahindra TUV 300 / Tata Indica / Bolero / Tata Sumo) along with Driver and Diesel required for Civil Staff, of C.C.D-I, MSPGCL, Bhusawal. (PO NO - 4500131202)</t>
  </si>
  <si>
    <t>01.02.2024</t>
  </si>
  <si>
    <t>Hiring of Private AC Taxi (i.e. Swift/Dezire/Ford/ Aspire of equivalent car) along with Driver &amp; required Fuel for CCD-III, 1x660 MW Repln. Proj. Deepnagar, Bhusawal. (PO NO - 4500131325)</t>
  </si>
  <si>
    <t>06.02.2024</t>
  </si>
  <si>
    <t>Work of providing RCC Bridge across ADP Lines in Gate No.483 at Velhala Village, Tal-Bhusawal. (PO NO - 4500131327)</t>
  </si>
  <si>
    <t>08.02.2024</t>
  </si>
  <si>
    <t>Work of Shifting and Rerouting of 100mm construction Water Supply Pipeline near Bunker Gate at BTPS Deepnagar. (Confirmatory Work Order) (PO NO - 4500131195)</t>
  </si>
  <si>
    <t>22.02.2024</t>
  </si>
  <si>
    <t>Hiring of private AC taxi (i.e. XUV -300, TUV-300,/ Mahindra Scorpio/ Hundai Venue/ Maruti Vistara Brezza) along with driver &amp; required fuel for E. E. (C), C.C.D.-I at 1x660 MW Project, Deepnagar, Bhusawal (PO NO - 4500131838)</t>
  </si>
  <si>
    <t>13.03.2024</t>
  </si>
  <si>
    <t>Providing of unskilled assistance for sweeping work at C.C.C., Deepnagar, Bhusawal (Period 29/10/23 to 07/12/2023) (PO NO - 4500131815)</t>
  </si>
  <si>
    <t>Hiring of Private AC Taxi (i.e. Amaze/Aspire/equivalent sedan car) along with Driver &amp; required Fuel for S. E. (C), C.C.C, 1x660 MW Repln. Proj. Deepnagar, Bhusawal. (PO NO - 4500131814)</t>
  </si>
  <si>
    <t>Work of supplying clean water by taker for Trees Planted along Pimprisekam Road, at 1x660 MW Project, Deepnagar, Bhusawal (PO NO - 4500132179)</t>
  </si>
  <si>
    <t>20.03.2024</t>
  </si>
  <si>
    <t>Providing Services of skilled assistance (Driver) for Departmental Vehicle 
MH-19-AE-6942 for office of the civil construction circle, Deepnagar, Bhusawal. (PO NO - 4500132401)</t>
  </si>
  <si>
    <t>28.03.2024</t>
  </si>
  <si>
    <t>Work of Plantation of Ornamental and their maintenance from 500 MW gate of Prject office road divider at Deepanagar, Bhusawal. (PO NO - 4500132287)</t>
  </si>
  <si>
    <t>Work of Housekeeping at Main Power House, Transformer Yard at 1x600 MW Project at BTPS, Deepnagar, Bhusawal,Period of Work Dtd. 17/01/2024 to 18/01/2024. (PO NO - 4500132457)</t>
  </si>
  <si>
    <t>24.04.2024</t>
  </si>
  <si>
    <t>Work of External Painting for Project Quarters Type-II Building No.2 to 6 Super D Building No. 13 to 15 at Deepnagar, Bhusawal. (PO NO - 4500133449)</t>
  </si>
  <si>
    <t>25.04.2024</t>
  </si>
  <si>
    <t>Hiring of Private Diesel AC taxi jeep (Mahindra TUV300/Bolero Neo/equivalent) along with driver and diesel required for CSR work at CCD-III MSPGCL, BSL. (PO NO - 4500133704)</t>
  </si>
  <si>
    <t>07.05.2024</t>
  </si>
  <si>
    <t>Work of Providing Profiled Sheets to Chajja of Project Type Quarters at BTPS, Deepnagar, Bhusawl. (PO NO - 4500134003)</t>
  </si>
  <si>
    <t>24.05.2024</t>
  </si>
  <si>
    <t>Providing Unskilled Labour at Pump House Outlet Canal of Project Office Complex for Maintenace Water Supply at BTPS, Deepnagar, Bhusawal. (PO NO - 4500134343)</t>
  </si>
  <si>
    <t>29.05.2024</t>
  </si>
  <si>
    <t>Work of Topographical Survey for Proposed Interconnection Rute of Coal Conveyor of 1x660 MW &amp; 2x500 MW unit at BTPS, Bhusawal, Period of work Dtd. 01/11/2023 to 04/11/2023 order as per office note inward no. 00511/Dtd. 1/03/2024  (PO NO - 4500134572)</t>
  </si>
  <si>
    <t>06.06.2024</t>
  </si>
  <si>
    <t>Work of Clearing the Chocks from underground drainage line including inspection chamber for project office and project qtrs at BTPS, Deepnagar, Bhusawal. (PO NO - 4500134484)</t>
  </si>
  <si>
    <t>Work of Providing Office Assistants at Office of Dy. Chief Engineer (C), Civil Construction Circle, 1x660 MW Project at BTPS, Deepnagar, Bhusawal. (PO NO - 4500135035)</t>
  </si>
  <si>
    <t>25.06.2024</t>
  </si>
  <si>
    <t>Work of Providing Office Assistants at Office of Dy. Chief Engineer (C), Civil Construction Circle, 1x660 MW Project at BTPS, Deepnagar, Bhusawal. (PO NO - 4500135036)</t>
  </si>
  <si>
    <t>Work of Providing Office Assistants at Office of Dy. Chief Engineer (C), Civil Construction Circle, 1x660 MW Project at BTPS, Deepnagar, Bhusawal. (PO NO - 4500135037)</t>
  </si>
  <si>
    <t>Work of Painting of Flag area of Cleaning work for 26 Jan (Republic Day) at 1x660 MW C.C.C Deepnagar, Bhusawal. (PO NO - 4500131820)</t>
  </si>
  <si>
    <t>11.07.2024</t>
  </si>
  <si>
    <t>Work of Installation of Air Conditioner in Senior Manager (F&amp;A) Cabin at Civil Const. Circle MSPGCL, Deepnagr, Bhusawal (PO NO - 4500135426)</t>
  </si>
  <si>
    <t>23.07.2024</t>
  </si>
  <si>
    <t>Hiring of Private Diesel Taxi Car (Innova) and Dezire or Euqivalent along with Driver and Diesel / Petrol required for VVIP/VIP entertainment at CCC, MSPGCL, "as and when" required, Deepnagar, Bhusawal. (PO NO - 4500135740)</t>
  </si>
  <si>
    <t>Work of Providing Unskilled Labour and Tractor for Housekeeping and Transportation of Debris from various area on Risk and Cost of M/s. BHEL such as: 1) BTG area Main Plant, House Building, Transformer Yard, Boiler area and ESP are at 660 MW, BTPS, 2) BOP area DM Plant area, PT Plant, Clearifier Pump House, STP/ETP area and AHP area at 660 MW BTPS, Deepnagar, Bhusawal. (PO NO - 4500135756)</t>
  </si>
  <si>
    <t>26.07.2024</t>
  </si>
  <si>
    <t>Work of Pre Mansoon Readiness - Work and repairing of drainage Chambers at 1x660MW Project Deepnagar, Bhusawal. (PO NO - 4500136227)</t>
  </si>
  <si>
    <t>13.08.2024</t>
  </si>
  <si>
    <t>Hiring of Private Diesel AC taxi jeep (Swift/Ford/or-equivalent) along with driver and diesel required for CCD-III BSL. (Period of Dtd.19/01/2024 to Dtd. 07/02/2024) (PO NO - 4500136245)</t>
  </si>
  <si>
    <t>28.08.2024</t>
  </si>
  <si>
    <t>Work of cleaning of toilet and housekeeping work at civil construction circle and its allied division bsl RFX No. 3000050124 (PO NO - 4500136763)</t>
  </si>
  <si>
    <t>12.09.2024</t>
  </si>
  <si>
    <t>Work of providing furniture platform at DM Plant &amp; SWAS lab at project site on risk &amp; cost basis of M/s. BHEL Deepnagar, Bhusawal. (PO NO - 4500136764)</t>
  </si>
  <si>
    <t>17.09.2024</t>
  </si>
  <si>
    <t>Providing and fixing chainlink fencing to temporary quarters of 1x660MW, Deepnagar, Bhusawal. (PO NO - 4500137085)</t>
  </si>
  <si>
    <t>27.09.2024</t>
  </si>
  <si>
    <t>Work of Servicing and Maintenance of Computer and Priters under Civil Constn Circle, Deepnagar, Bhusawal. (PO NO - 4500137412)</t>
  </si>
  <si>
    <t>04.10.2024</t>
  </si>
  <si>
    <t>Sprinkling of water over road surface by water tanker from 500 MW unit CHP to 660 MW Project Stacler , Deepnagar, Bhusawal. (PO NO - 4500138318)</t>
  </si>
  <si>
    <t>11.12.2024</t>
  </si>
  <si>
    <t>REC-13399</t>
  </si>
  <si>
    <t>REC Limited</t>
  </si>
  <si>
    <t>INR</t>
  </si>
  <si>
    <t>Monthly Interest</t>
  </si>
  <si>
    <t xml:space="preserve">Interest is applicable as per REC interest rate circular </t>
  </si>
  <si>
    <t>Commercial Operation Date + 6 month subject to maximum of 5 years</t>
  </si>
  <si>
    <t>From the date of first disbursement i.e. 29.11.2018</t>
  </si>
  <si>
    <t>Now 180 monthly installment as per Reschedule letter 7.6.2022 earlier it was 60-Quarterly installments</t>
  </si>
  <si>
    <t>31.12.2023</t>
  </si>
  <si>
    <t xml:space="preserve">Monthly </t>
  </si>
  <si>
    <t>REC-18246</t>
  </si>
  <si>
    <t>As this is additional loan, there was no morotorium period. Repayment started immediately after 1st drawl on similar line of main loan REC-13399</t>
  </si>
  <si>
    <t xml:space="preserve">180 monthly installment </t>
  </si>
  <si>
    <t>30.06.2024</t>
  </si>
  <si>
    <t>REC-15090 (FGD)</t>
  </si>
  <si>
    <t>31.10.2024</t>
  </si>
  <si>
    <t>section</t>
  </si>
  <si>
    <t>remark</t>
  </si>
  <si>
    <t>Actual/estimated Transit loss of Coal</t>
  </si>
  <si>
    <t>Financing Ratio</t>
  </si>
  <si>
    <t>Debt</t>
  </si>
  <si>
    <t>Dep rate for FY 24-25</t>
  </si>
  <si>
    <t>Dep rate - FY 25-26 onwards</t>
  </si>
  <si>
    <t xml:space="preserve">Actual/estimated Specific secondary fuel oil consumption approved </t>
  </si>
  <si>
    <t>Gross generation @ 85% PLF for Oil calculation</t>
  </si>
  <si>
    <t>Calorific Value (As Fired) Raw</t>
  </si>
  <si>
    <t>Station Heat Rate (SHR) (Actual/estimated)</t>
  </si>
  <si>
    <t>Impact of Reagent Cost (Rs. kWh)</t>
  </si>
  <si>
    <t>Reagent Cost</t>
  </si>
  <si>
    <t>Limestone</t>
  </si>
  <si>
    <t>Ammonia</t>
  </si>
  <si>
    <t>Total Variable Cost (Rs. KWh) (2+3)</t>
  </si>
  <si>
    <t>Fixed Charges (Rs.kWh) (1/net generation*10)</t>
  </si>
  <si>
    <t>Total tariff (Rs. kWh) (4+5)</t>
  </si>
  <si>
    <t>Actual/Estimated Availability</t>
  </si>
  <si>
    <t>Auxiliary consumption (Actual/Estimated)</t>
  </si>
  <si>
    <t>Actual/Estimated PLF</t>
  </si>
  <si>
    <t>Raw Coal</t>
  </si>
  <si>
    <t>Imported Coal</t>
  </si>
  <si>
    <t>GCV of coal</t>
  </si>
  <si>
    <t>Quantity of coal</t>
  </si>
  <si>
    <t>As per FUP</t>
  </si>
  <si>
    <t>Water expenses</t>
  </si>
  <si>
    <t>Actual/estimated Gross Generation</t>
  </si>
  <si>
    <t>Actual/estimated  Net Generation</t>
  </si>
  <si>
    <t>FY</t>
  </si>
  <si>
    <t xml:space="preserve">From </t>
  </si>
  <si>
    <t>To</t>
  </si>
  <si>
    <t xml:space="preserve">Rate </t>
  </si>
  <si>
    <t>Wtd Avg. Base Rate</t>
  </si>
  <si>
    <t>IoWC Rate</t>
  </si>
  <si>
    <t>Working of IoWC Rate:</t>
  </si>
  <si>
    <t>As on date of filing (31.07.2025)</t>
  </si>
  <si>
    <t>`</t>
  </si>
  <si>
    <t>FY 2024-25 CoD 
(22.02.25) to 31.03.25</t>
  </si>
  <si>
    <t>Unit 6 / Station BTPS</t>
  </si>
  <si>
    <t>05-03-2025 To 15-03-2025</t>
  </si>
  <si>
    <t>July-27 To Aug-27</t>
  </si>
  <si>
    <t>July-29 To Aug-30</t>
  </si>
  <si>
    <t>PG Test Preparations</t>
  </si>
  <si>
    <t>Siemens DCS Software update</t>
  </si>
  <si>
    <t>FGD Installation and AOH</t>
  </si>
  <si>
    <t>AOH</t>
  </si>
  <si>
    <t>COH</t>
  </si>
  <si>
    <t>Availability 84% is expected due to FGD installation work in FY 2026-27</t>
  </si>
  <si>
    <t>Details of trip report is attched (After format F-17)</t>
  </si>
  <si>
    <t>Depends on Forced Outage</t>
  </si>
  <si>
    <t>Energy Charge per unit without reagent cost (ex-bus) (8/1.7*(1-1.11)*10)</t>
  </si>
  <si>
    <t>Energy Charge per unit with Reagent cost  (ex-bus)</t>
  </si>
  <si>
    <t xml:space="preserve">Energy Charge per unit including reagent cost (ex-bus) </t>
  </si>
  <si>
    <t>Impact of Reagent cost</t>
  </si>
  <si>
    <t>Net Generation (for billing at scheduled generation) (MU)</t>
  </si>
  <si>
    <t>Energy charge - reagent cost
(Rs.kWh)</t>
  </si>
  <si>
    <t xml:space="preserve">Energy charge - reagent cost
</t>
  </si>
  <si>
    <t>Energy Charge Rate ex-bus (without reagent cost) (Rs./kWh)</t>
  </si>
  <si>
    <t>Non-Pithead</t>
  </si>
  <si>
    <t>45 Days Outage for FGD Installation and AOH FY 2026-27</t>
  </si>
  <si>
    <t>(22.02.25) to 31.03.25 (Actuals )</t>
  </si>
  <si>
    <t>Cost of services procured</t>
  </si>
  <si>
    <t>MAHAGENCO</t>
  </si>
  <si>
    <t>Name of Unit - Bhusawal Unit 06</t>
  </si>
  <si>
    <t>Physical Progress (%)</t>
  </si>
  <si>
    <t>Actual Capex till FY 2024-25</t>
  </si>
  <si>
    <t>Actual Progress till FY 2024-25</t>
  </si>
  <si>
    <t>Actual Capitalization till FY 2024-25</t>
  </si>
  <si>
    <t>Change in Scope of Work</t>
  </si>
  <si>
    <t>Any other reason</t>
  </si>
  <si>
    <t>Nil</t>
  </si>
  <si>
    <t>Procurement of cup-lock scaffolding for boiler (Aluminium)</t>
  </si>
  <si>
    <t>Fabrication of mainteance platform front and rear side of Z Panel at boiler first pass.</t>
  </si>
  <si>
    <t>Procurement of ID, FD, PA rotor assy with blades</t>
  </si>
  <si>
    <t>Upgradation of coal feeder drive system</t>
  </si>
  <si>
    <t xml:space="preserve">Slurry series pumps assy SAM tubro make </t>
  </si>
  <si>
    <t xml:space="preserve">HP LP seal water pump,BALP pumps assy SAM turbo make </t>
  </si>
  <si>
    <t xml:space="preserve">Ash sluury lines  upto ash bund and FLY ash lines upto silos repalcement </t>
  </si>
  <si>
    <t>Compressor  CAC ,TAC and IAC HP/LP element</t>
  </si>
  <si>
    <t>Complete set of Ejector and jet pump assy </t>
  </si>
  <si>
    <t>Complete set of clinker grinder </t>
  </si>
  <si>
    <t>Complete set of Fluid coupling assy for Slurry pump</t>
  </si>
  <si>
    <t>ESP FLY ash Fluidizing Blower assy </t>
  </si>
  <si>
    <t>ESP Fly ash Dome valves Assy</t>
  </si>
  <si>
    <t>HSCD silo Rotary feeder assy </t>
  </si>
  <si>
    <t>Procurement of ESP field controllers.</t>
  </si>
  <si>
    <t>Procurement of Inverter and converter trolleys of ABLE Pump at 1x660MW.</t>
  </si>
  <si>
    <t>Procurement of various ratings for  HT breaker at BTPS 1x660MW.</t>
  </si>
  <si>
    <t>Procurement of various ratings for  LT breaker at BTPS 1x660MW.</t>
  </si>
  <si>
    <t>Procurement of HT Motors of various ratings at 1x660 MW.</t>
  </si>
  <si>
    <t>Procurement of LT Motors of various ratings at 1x660 MW.</t>
  </si>
  <si>
    <t>Procurement of Dry type transformers of varoius ratings at 1x660MW.</t>
  </si>
  <si>
    <t>Procurement of generator bushings</t>
  </si>
  <si>
    <t>Procurement of generator bar</t>
  </si>
  <si>
    <t xml:space="preserve">Procurement of DAVR field breaker </t>
  </si>
  <si>
    <t>Procurement of various numerical protection relay</t>
  </si>
  <si>
    <t>Procurement of HT/LT cables</t>
  </si>
  <si>
    <t>Installation of QBD Line and Fittings on All Conveyor Belts for Deluge Valve Automation System .</t>
  </si>
  <si>
    <t>Laying of Fire Hydrant Pipeline  from Pent House To Wagon Tippler.</t>
  </si>
  <si>
    <t>Provision Of Fire Station Building For 660 MW.</t>
  </si>
  <si>
    <t>Provision Of Fire Protection System including installation of Deluge Valves and Spray system for Belt Conveyor 08</t>
  </si>
  <si>
    <t>Procurement of Portable Petrol Driven Pump for  Fire Protection and Dewatering Purpose.</t>
  </si>
  <si>
    <t>Provision of Standby Discharge Header with Associated Spray System and Fire Hydrant Network at Pump House-660 MW,Unit.</t>
  </si>
  <si>
    <t>Max DNA DCS and SIMENSE DCS system Cards</t>
  </si>
  <si>
    <t>Implementation of water flow monitoring system of various locations</t>
  </si>
  <si>
    <t>Upgradation of LVS screen</t>
  </si>
  <si>
    <t>Procurement of  brought out / imported equipment, those are not covered in Madetory spare list .</t>
  </si>
  <si>
    <t>procurement of advance "furnace flame monitoring" and teting equipments</t>
  </si>
  <si>
    <t>Upgradtion of Coal feeder system with advance module</t>
  </si>
  <si>
    <t>Procurement of High pressure Governing system spares</t>
  </si>
  <si>
    <t>Upgradation of Ash Level sensor with advance technology</t>
  </si>
  <si>
    <t xml:space="preserve">Supply &amp; installation of Meggitt vibration equipment sensors </t>
  </si>
  <si>
    <t>Procurement of NDCT Strainers at 1x660 MW,BTPS,Deepnagar.</t>
  </si>
  <si>
    <t>Procurement of Low Pressure (LP) Turbine Rotor at 1x660 MW,BTPS,Deepnagar.</t>
  </si>
  <si>
    <t xml:space="preserve">Procurement of omplete Cartidge assemblies for TDBFP at 1x660 MW ,BTPS,Deepnagar.
</t>
  </si>
  <si>
    <t>Procurement of pump assy for ETP, STP &amp; PTP</t>
  </si>
  <si>
    <t>Procurement of Cartidges of MDBFP.</t>
  </si>
  <si>
    <t>Procurement of TDBFP Turbine Rotor at 1x660 MW unit, BTPS ,Deepnagar.</t>
  </si>
  <si>
    <t>Procurement of Screw element replacement for IAC/SAC. (for maintaining healthiness and reliability of system).</t>
  </si>
  <si>
    <t>Work of erection, fabrication &amp; modification of rails of Non-DM Clarifier Bridge at 1 X660 MW ,BTPS, Deepnagar.</t>
  </si>
  <si>
    <t xml:space="preserve">Alkali regeneration unit Conesep assembly </t>
  </si>
  <si>
    <t xml:space="preserve">Procurement of Hyrdraulic motor and pumps for SAC and Clamping </t>
  </si>
  <si>
    <t>Procurement of slewing Bearing for Stacker Reclaimer.</t>
  </si>
  <si>
    <t xml:space="preserve">Revamping &amp; modification of Crusher Dishcarge Chutes </t>
  </si>
  <si>
    <t>Procurement of Various types of Hyrdraulic Cylinders for WT Clamping ,Side Beam,Stacker Reclaimer</t>
  </si>
  <si>
    <t>Replacement of RPG with Flap gates</t>
  </si>
  <si>
    <t>Replacement of Chute plates with hardox material in impact zone for all Chutes in CHP</t>
  </si>
  <si>
    <t>Bulldozer Spares such as Final Drive, toruque converter, hydraulic pump, steering pump, pilot pump, touch screen display, injector pump and other spares</t>
  </si>
  <si>
    <t>Locomotive Spares such as Final Drive, toruque converter, Cardon shaft, In board/Outboard Assy, Air compressors,  screen display, fuel injector pump and other spares</t>
  </si>
  <si>
    <t xml:space="preserve">HCSD ABEL pumps Repalcement </t>
  </si>
  <si>
    <t xml:space="preserve">Provision of additonal thrird series of ash slurry lines with required complte pumps with Electrical and CNI equipemnts errection  </t>
  </si>
  <si>
    <t>Procurement of generator CT</t>
  </si>
  <si>
    <t>Complete Replacement of VGF(vibrating Grizzly Feeder)  with Wobbler feeder</t>
  </si>
  <si>
    <t xml:space="preserve">Procurement of  Wagon Tippler drives </t>
  </si>
  <si>
    <t>Work of erection, fabrication &amp; modification of rails of DM &amp; ETP Clarifier Bridge at 1 X660 MW ,BTPS, Deepnagar.</t>
  </si>
  <si>
    <t>Fixed Portion of Other Coal Handling related chages</t>
  </si>
  <si>
    <t>Income from Rental from staff quarters</t>
  </si>
  <si>
    <t>Income from Rental from contractors</t>
  </si>
  <si>
    <t>Raw</t>
  </si>
  <si>
    <t>Washed</t>
  </si>
  <si>
    <t>Imported</t>
  </si>
  <si>
    <t>Bhusawal 6</t>
  </si>
  <si>
    <t>WCL, MCL, Imported</t>
  </si>
  <si>
    <t>NOT APPLICABLE</t>
  </si>
  <si>
    <t>Cross check</t>
  </si>
  <si>
    <t>Actual amount will be submitted at the time of Final True Up</t>
  </si>
  <si>
    <t>Qty in Cubic Meter</t>
  </si>
  <si>
    <t>22.02.2025 to 31.03.2025</t>
  </si>
  <si>
    <t>1x660MW</t>
  </si>
  <si>
    <t>Sources to fulfill above requirement (To be filled by Civil 660)</t>
  </si>
  <si>
    <t>210MW reservation</t>
  </si>
  <si>
    <t>500MW Concessional rate water reservation</t>
  </si>
  <si>
    <t>Proposed STP (M/s Vishwaraj)</t>
  </si>
  <si>
    <t xml:space="preserve">Other 8.08Mm3 Concessional rate water reservation as per MOU Dtd 27.12.2024 for 1x660MW </t>
  </si>
  <si>
    <t>Rate of Water (To be filled by Accounts)Rs per m3</t>
  </si>
  <si>
    <t>500MW Concessional water supply</t>
  </si>
  <si>
    <t>Proposed STP (M/s Vishwaraj) Rs per m3</t>
  </si>
  <si>
    <t xml:space="preserve">Other 8.08Mm3 (7.00+1.08 losses) Concessional rate water reservation as per MOU Dtd 27.12.2024 for 1x660MW </t>
  </si>
  <si>
    <t>Cost of water</t>
  </si>
  <si>
    <t>Total Cost of water at 1x660MW U6 in Rs</t>
  </si>
  <si>
    <t>Total Cost of water at 1x660MW U6 in Cr</t>
  </si>
  <si>
    <t>1.Total water requirement of 660MW is 19.5 Mm3 &amp; expected receipt of water from STP is 29.2Mm3,so from FY 2028-29 100% water considered from STP only.</t>
  </si>
  <si>
    <t xml:space="preserve">2.DM &amp; Drinking water is considered from other Concessional rate water reservation as per MOU Dtd 27.12.2024 for 1x660MW </t>
  </si>
  <si>
    <t xml:space="preserve">Actual Water Requirement </t>
  </si>
  <si>
    <t>Return on Equity on capitalisation within original scope of work of the Project</t>
  </si>
  <si>
    <t>Return on Equity on capitalisation beyond original scope of work of the Project</t>
  </si>
  <si>
    <t>Base Rate of Return on Equity (1 yr SBI MCLR+3.5%, subject to ceiling of 14% - Reg 29.1)</t>
  </si>
  <si>
    <t>Add: Return on Equity Capital (within Original scope)</t>
  </si>
  <si>
    <t>Add: Return on Equity Capital (Beyond Original scope)</t>
  </si>
  <si>
    <t>Additional capitalisation (within original scope)</t>
  </si>
  <si>
    <t>Additional capitalisation (Beyond original scope)</t>
  </si>
  <si>
    <t xml:space="preserve">Additional ROE </t>
  </si>
  <si>
    <t>Total ROE on capitalistion beyond scope of work</t>
  </si>
  <si>
    <t>Loan 1 13399</t>
  </si>
  <si>
    <t>Loan 2 - 18246</t>
  </si>
  <si>
    <t>Loan 3 - 15090 FGD</t>
  </si>
  <si>
    <t>….......</t>
  </si>
  <si>
    <t>FY 2024-25 (Provisional true Up)</t>
  </si>
  <si>
    <t>April-March      (Un-Audited )</t>
  </si>
  <si>
    <t>Flexible Operation - training expenses</t>
  </si>
  <si>
    <t>Flexible Operation - Training expenses</t>
  </si>
  <si>
    <t>Experience sharing for High Flexibility
Operation in collaboration with
EPRI/JICA, /IGEN, CEMPEEP etc.</t>
  </si>
  <si>
    <t>Submitted for MSPGCL in MYT Petition</t>
  </si>
  <si>
    <t>Projected Expenses towards Dry and pond Ash Utilisation</t>
  </si>
  <si>
    <t>Dry and pond ash disposal expenses</t>
  </si>
  <si>
    <t>Ash disposal expenses</t>
  </si>
  <si>
    <t>Income from sale of rejected coal</t>
  </si>
  <si>
    <t>Overheads</t>
  </si>
  <si>
    <t>Consultancy</t>
  </si>
  <si>
    <t>Preoperative exp</t>
  </si>
  <si>
    <t>Consultancy charges</t>
  </si>
  <si>
    <t>Balance Work Reg:24….</t>
  </si>
  <si>
    <t>Balance Work</t>
  </si>
  <si>
    <t>Additional works</t>
  </si>
  <si>
    <t xml:space="preserve">Estimate </t>
  </si>
  <si>
    <t>balance work</t>
  </si>
  <si>
    <t>Actual IDC for balance works</t>
  </si>
  <si>
    <t>Estimated IDC for balance works</t>
  </si>
  <si>
    <t>idc as per loan section (FGD)</t>
  </si>
  <si>
    <t>Capitalisatin proposed against DPR</t>
  </si>
  <si>
    <t>Initial spares -FGD</t>
  </si>
  <si>
    <t>Initial spares- Main plant</t>
  </si>
  <si>
    <t>Unbilled infirm power</t>
  </si>
  <si>
    <t>LD of Rs.541,16,04,011 is recoverable from retention amount available as per provision in contract agreement and retention amount towards IDC 5% of Rs.159,24,53,835 Total amount of Rs. 779,02,34,576 is hold to retain LD amount and IDC 5% as per contract agreement.</t>
  </si>
  <si>
    <t>Procurement of main drive gearbox for APH</t>
  </si>
  <si>
    <t>Raising of Ash Bund</t>
  </si>
  <si>
    <t>Scapholding and Sky climber</t>
  </si>
  <si>
    <t>Link Conveyor/ Portable Conveyor</t>
  </si>
  <si>
    <t>Portable Stacker Recliaimer</t>
  </si>
  <si>
    <t>Gypsom Storage/ Disposal System</t>
  </si>
  <si>
    <t>Admin Building</t>
  </si>
  <si>
    <t>Coal Heap Compactor</t>
  </si>
  <si>
    <t>Boiler Circulating Pump</t>
  </si>
  <si>
    <t>Components of tariff (as approved in MYT Order (Case No. 187 of 2024)</t>
  </si>
  <si>
    <t>Capitalisation towards FGD and SCR(excl. IDC)</t>
  </si>
  <si>
    <t>Capital Cost Approval Petition Formats - Bhusawal Unit 6</t>
  </si>
  <si>
    <t>Capital Cost Approval Petition Formats - Bhusawal unit 6</t>
  </si>
  <si>
    <t>MYT Petition Formats- Bhusawal Unit 6</t>
  </si>
  <si>
    <t>FUP for FY 2026-27 onwards</t>
  </si>
  <si>
    <t>MCL RSR Coal</t>
  </si>
  <si>
    <t>WCL and other Raw coal</t>
  </si>
  <si>
    <t>Imported coal</t>
  </si>
  <si>
    <t>Rate (Rs./MT)</t>
  </si>
  <si>
    <t>Qty (MT)</t>
  </si>
  <si>
    <t>GCV ARB (kcal/kg)</t>
  </si>
  <si>
    <t>Working of WCL and other Rawl coal required</t>
  </si>
  <si>
    <t>SHR norm</t>
  </si>
  <si>
    <t>Heat required</t>
  </si>
  <si>
    <t>SFOC</t>
  </si>
  <si>
    <t>Oil cons</t>
  </si>
  <si>
    <t>Heat from oil</t>
  </si>
  <si>
    <t>Balance heat from coal</t>
  </si>
  <si>
    <t>Heat from RSR coal</t>
  </si>
  <si>
    <t>Balance heat from (WCL &amp; other) raw coal</t>
  </si>
  <si>
    <t>Qty required of (WCL &amp; Other) raw coal</t>
  </si>
  <si>
    <t>Heat content</t>
  </si>
  <si>
    <t>Price after transit loss</t>
  </si>
  <si>
    <t>Other variable cost</t>
  </si>
  <si>
    <t>Raw Coal Price for FY 2026-27 with esc of 3%</t>
  </si>
  <si>
    <t>Raw Coal Price FY 25-26</t>
  </si>
  <si>
    <t>Plant &amp; Equipment (FGD)</t>
  </si>
  <si>
    <t>Plant &amp; Equipment (SCR)</t>
  </si>
  <si>
    <t>Civil</t>
  </si>
  <si>
    <t>Actual-unaudited</t>
  </si>
  <si>
    <t>Actual 
(un-audited)</t>
  </si>
  <si>
    <t>Total Cummulative  capitalisation towards SCR (excl. IDC)</t>
  </si>
  <si>
    <t>Note:In above table, nromative capacity charges for FY 2025-26 are considered same as actual (un-audited). Only FY 25-26 Fuel Cost normative is calculated as per norms</t>
  </si>
  <si>
    <t>WCL+MCL</t>
  </si>
  <si>
    <t>3228.75</t>
  </si>
  <si>
    <t>ADD CAP DPR for Reliability improvement of Boiler &amp; it’s auxiliaries of 660MW,Unit-6 at BTPS</t>
  </si>
  <si>
    <t>Procurement of main drive gearbox assembly for APH</t>
  </si>
  <si>
    <t>ADD CAP DPR for Reliability improvement schemes for AHP 660MW,Unit-6 at BTPS</t>
  </si>
  <si>
    <t/>
  </si>
  <si>
    <t>Add cap DPR schemes of Reliability improvement of various electrical systems,660 MW,U-6, BTPS</t>
  </si>
  <si>
    <t>Add cap DPR schemes of Reliability improvement schemes for fire protection system for 660MW, U-6, BTPS</t>
  </si>
  <si>
    <t>Add CAP DPR schmes of Upgradation of various system &amp; reliability improvement of 660MW,U-6, BTPS</t>
  </si>
  <si>
    <t>Add cap schemes of Reliability improvement schemes for Turbine side auxiliaries for 660MW, U-6, BTPS</t>
  </si>
  <si>
    <t>CAPEX DPR for Reliability improvement schemes for 660MW,U-6 at BTPS</t>
  </si>
  <si>
    <t xml:space="preserve">This reservationns comes after completion of proposed STP  (M/s Vishwaraj) WIP
-As per letter No. to CE-II/KRD/Tech/No.01172 Dtd.22.07.2025,proposed date of completion 23.01.2028,Expected water 80 MLD </t>
  </si>
  <si>
    <t>As per letter No. to CE-II/KRD/Tech/No.01172 Dtd.22.07.2025 rate for FY 2024-25 (base rate) excluding power is 69.5 per cubic meter,accordingly 11% rise in every year is considered including power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</si>
</sst>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 #,##0.00_ ;_ * \-#,##0.00_ ;_ * &quot;-&quot;??_ ;_ @_ "/>
    <numFmt numFmtId="164" formatCode="_(* #,##0.00_);_(* \(#,##0.00\);_(* &quot;-&quot;??_);_(@_)"/>
    <numFmt numFmtId="165" formatCode="_-* #,##0.00_-;\-* #,##0.00_-;_-* &quot;-&quot;??_-;_-@_-"/>
    <numFmt numFmtId="166" formatCode="0.00_)"/>
    <numFmt numFmtId="167" formatCode="&quot;ß&quot;#,##0.00_);\(&quot;ß&quot;#,##0.00\)"/>
    <numFmt numFmtId="168" formatCode="0.0"/>
    <numFmt numFmtId="169" formatCode="_(* #,##0_);_(* \(#,##0\);_(* &quot;-&quot;??_);_(@_)"/>
    <numFmt numFmtId="170" formatCode="_-* #,##0_-;\-* #,##0_-;_-* &quot;-&quot;??_-;_-@_-"/>
    <numFmt numFmtId="171" formatCode="_ * #,##0_ ;_ * \-#,##0_ ;_ * &quot;-&quot;??_ ;_ @_ "/>
    <numFmt numFmtId="172" formatCode="0\ &quot;Days&quot;"/>
    <numFmt numFmtId="173" formatCode="0\ &quot;Month&quot;"/>
    <numFmt numFmtId="174" formatCode="0.000"/>
    <numFmt numFmtId="175" formatCode="_ * #,##0.0_ ;_ * \-#,##0.0_ ;_ * &quot;-&quot;??_ ;_ @_ "/>
    <numFmt numFmtId="176" formatCode="_ * #,##0.000_ ;_ * \-#,##0.000_ ;_ * &quot;-&quot;??_ ;_ @_ "/>
    <numFmt numFmtId="177" formatCode="_(* #,##0.000_);_(* \(#,##0.000\);_(* &quot;-&quot;??_);_(@_)"/>
    <numFmt numFmtId="178" formatCode="_(* #,##0.00000_);_(* \(#,##0.00000\);_(* &quot;-&quot;??_);_(@_)"/>
    <numFmt numFmtId="179" formatCode="0.000%"/>
    <numFmt numFmtId="180" formatCode="0.0%"/>
    <numFmt numFmtId="181" formatCode="0.0000"/>
    <numFmt numFmtId="182" formatCode="0.000000000000000%"/>
    <numFmt numFmtId="183" formatCode="[$-14009]dd/mm/yy;@"/>
    <numFmt numFmtId="184" formatCode="0.0000%"/>
    <numFmt numFmtId="185" formatCode="0.0000000000000000"/>
    <numFmt numFmtId="186" formatCode="_(* #,##0.0000_);_(* \(#,##0.0000\);_(* &quot;-&quot;??_);_(@_)"/>
    <numFmt numFmtId="187" formatCode="&quot;₹&quot;\ #,##0.00"/>
  </numFmts>
  <fonts count="9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Times New Roman"/>
      <family val="1"/>
    </font>
    <font>
      <b/>
      <sz val="11"/>
      <name val="Times New Roman"/>
      <family val="1"/>
    </font>
    <font>
      <sz val="10"/>
      <name val="Times New Roman"/>
      <family val="1"/>
    </font>
    <font>
      <b/>
      <sz val="10"/>
      <name val="Times New Roman"/>
      <family val="1"/>
    </font>
    <font>
      <b/>
      <sz val="11"/>
      <color indexed="8"/>
      <name val="Times New Roman"/>
      <family val="1"/>
    </font>
    <font>
      <b/>
      <sz val="12"/>
      <name val="Times New Roman"/>
      <family val="1"/>
    </font>
    <font>
      <b/>
      <sz val="14"/>
      <name val="Times New Roman"/>
      <family val="1"/>
    </font>
    <font>
      <b/>
      <sz val="10"/>
      <color indexed="9"/>
      <name val="Times New Roman"/>
      <family val="1"/>
    </font>
    <font>
      <sz val="12"/>
      <name val="Arial"/>
      <family val="2"/>
    </font>
    <font>
      <sz val="12"/>
      <name val="Times New Roman"/>
      <family val="1"/>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vertAlign val="superscript"/>
      <sz val="11"/>
      <name val="Times New Roman"/>
      <family val="1"/>
    </font>
    <font>
      <sz val="11"/>
      <name val="Arial"/>
      <family val="2"/>
    </font>
    <font>
      <sz val="11"/>
      <color indexed="8"/>
      <name val="Times New Roman"/>
      <family val="1"/>
    </font>
    <font>
      <b/>
      <sz val="11"/>
      <color indexed="9"/>
      <name val="Times New Roman"/>
      <family val="1"/>
    </font>
    <font>
      <sz val="11"/>
      <color theme="1"/>
      <name val="Calibri"/>
      <family val="2"/>
      <scheme val="minor"/>
    </font>
    <font>
      <b/>
      <sz val="11"/>
      <color theme="1"/>
      <name val="Times New Roman"/>
      <family val="1"/>
    </font>
    <font>
      <sz val="11"/>
      <color theme="1"/>
      <name val="Times New Roman"/>
      <family val="1"/>
    </font>
    <font>
      <sz val="11"/>
      <color indexed="8"/>
      <name val="Calibri"/>
      <family val="2"/>
    </font>
    <font>
      <sz val="11"/>
      <color theme="1"/>
      <name val="Calibri"/>
      <family val="2"/>
    </font>
    <font>
      <sz val="12"/>
      <color theme="1"/>
      <name val="Book Antiqua"/>
      <family val="1"/>
    </font>
    <font>
      <sz val="10"/>
      <name val="Arial"/>
      <family val="2"/>
    </font>
    <font>
      <b/>
      <sz val="11"/>
      <name val="Arial"/>
      <family val="2"/>
    </font>
    <font>
      <b/>
      <u/>
      <sz val="11"/>
      <name val="Times New Roman"/>
      <family val="1"/>
    </font>
    <font>
      <sz val="10"/>
      <name val="Arial"/>
      <family val="2"/>
    </font>
    <font>
      <sz val="14"/>
      <name val="Arial"/>
      <family val="2"/>
    </font>
    <font>
      <sz val="9"/>
      <color indexed="81"/>
      <name val="Tahoma"/>
      <family val="2"/>
    </font>
    <font>
      <b/>
      <sz val="9"/>
      <color indexed="81"/>
      <name val="Tahoma"/>
      <family val="2"/>
    </font>
    <font>
      <sz val="11"/>
      <color rgb="FFFF0000"/>
      <name val="Times New Roman"/>
      <family val="1"/>
    </font>
    <font>
      <b/>
      <sz val="10"/>
      <name val="Arial"/>
      <family val="2"/>
    </font>
    <font>
      <sz val="12"/>
      <color indexed="8"/>
      <name val="Times New Roman"/>
      <family val="1"/>
    </font>
    <font>
      <sz val="12"/>
      <color theme="1"/>
      <name val="Times New Roman"/>
      <family val="1"/>
    </font>
    <font>
      <sz val="10"/>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1"/>
      <name val="Calibri"/>
      <family val="2"/>
      <scheme val="minor"/>
    </font>
    <font>
      <sz val="11"/>
      <name val="Calibri"/>
      <family val="2"/>
      <scheme val="minor"/>
    </font>
    <font>
      <i/>
      <sz val="11"/>
      <name val="Times New Roman"/>
      <family val="1"/>
    </font>
    <font>
      <b/>
      <u/>
      <sz val="10"/>
      <name val="Calibri"/>
      <family val="2"/>
      <scheme val="minor"/>
    </font>
    <font>
      <b/>
      <u/>
      <sz val="10"/>
      <color theme="1"/>
      <name val="Calibri"/>
      <family val="2"/>
      <scheme val="minor"/>
    </font>
    <font>
      <b/>
      <sz val="12"/>
      <color theme="1"/>
      <name val="Times New Roman"/>
      <family val="1"/>
    </font>
    <font>
      <b/>
      <sz val="11"/>
      <color theme="1"/>
      <name val="Calibri"/>
      <family val="2"/>
      <scheme val="minor"/>
    </font>
    <font>
      <b/>
      <sz val="12"/>
      <color theme="1"/>
      <name val="Cambria"/>
      <family val="2"/>
      <scheme val="major"/>
    </font>
    <font>
      <sz val="12"/>
      <color theme="1"/>
      <name val="Cambria"/>
      <family val="2"/>
      <scheme val="major"/>
    </font>
    <font>
      <b/>
      <sz val="12"/>
      <color indexed="36"/>
      <name val="Calibri"/>
      <family val="2"/>
    </font>
    <font>
      <b/>
      <sz val="11"/>
      <color indexed="36"/>
      <name val="Calibri"/>
      <family val="2"/>
      <scheme val="minor"/>
    </font>
    <font>
      <b/>
      <sz val="12"/>
      <color rgb="FF7030A0"/>
      <name val="Calibri"/>
      <family val="2"/>
      <scheme val="minor"/>
    </font>
    <font>
      <sz val="12"/>
      <color indexed="8"/>
      <name val="Calibri"/>
      <family val="2"/>
    </font>
    <font>
      <sz val="11"/>
      <color indexed="8"/>
      <name val="Calibri"/>
      <family val="2"/>
      <scheme val="minor"/>
    </font>
    <font>
      <sz val="11"/>
      <color theme="1"/>
      <name val="Book Antiqua"/>
      <family val="2"/>
    </font>
    <font>
      <sz val="11"/>
      <color rgb="FF000000"/>
      <name val="Times New Roman"/>
      <family val="1"/>
    </font>
    <font>
      <b/>
      <sz val="11"/>
      <color rgb="FF000000"/>
      <name val="Times New Roman"/>
      <family val="1"/>
    </font>
    <font>
      <b/>
      <u/>
      <sz val="12"/>
      <name val="Times New Roman"/>
      <family val="1"/>
    </font>
    <font>
      <u/>
      <sz val="11"/>
      <name val="Times New Roman"/>
      <family val="1"/>
    </font>
    <font>
      <b/>
      <sz val="11"/>
      <color theme="0"/>
      <name val="Calibri"/>
      <family val="2"/>
      <scheme val="minor"/>
    </font>
    <font>
      <sz val="11"/>
      <color rgb="FFFF0000"/>
      <name val="Calibri"/>
      <family val="2"/>
      <scheme val="minor"/>
    </font>
    <font>
      <b/>
      <sz val="20"/>
      <color theme="1"/>
      <name val="Calibri"/>
      <family val="2"/>
      <scheme val="minor"/>
    </font>
    <font>
      <b/>
      <sz val="11"/>
      <color rgb="FF000000"/>
      <name val="Book Antiqua"/>
      <family val="1"/>
    </font>
    <font>
      <b/>
      <u/>
      <sz val="11"/>
      <name val="Calibri"/>
      <family val="2"/>
      <scheme val="minor"/>
    </font>
    <font>
      <vertAlign val="superscript"/>
      <sz val="11"/>
      <name val="Calibri"/>
      <family val="2"/>
      <scheme val="minor"/>
    </font>
    <font>
      <b/>
      <u/>
      <sz val="11"/>
      <color theme="1"/>
      <name val="Calibri"/>
      <family val="2"/>
      <scheme val="minor"/>
    </font>
    <font>
      <b/>
      <sz val="11"/>
      <color rgb="FFFF0000"/>
      <name val="Calibri"/>
      <family val="2"/>
      <scheme val="minor"/>
    </font>
    <font>
      <b/>
      <sz val="10"/>
      <color theme="1"/>
      <name val="Tahoma"/>
      <family val="2"/>
    </font>
    <font>
      <u/>
      <sz val="11"/>
      <color theme="10"/>
      <name val="Calibri"/>
      <family val="2"/>
      <scheme val="minor"/>
    </font>
    <font>
      <b/>
      <sz val="10"/>
      <color rgb="FF000000"/>
      <name val="Tahoma"/>
      <family val="2"/>
    </font>
    <font>
      <sz val="10"/>
      <color rgb="FF000000"/>
      <name val="Tahoma"/>
      <family val="2"/>
    </font>
    <font>
      <b/>
      <u/>
      <sz val="10"/>
      <name val="Arial"/>
      <family val="2"/>
    </font>
    <font>
      <sz val="9"/>
      <name val="Times New Roman"/>
      <family val="1"/>
    </font>
    <font>
      <sz val="12"/>
      <name val="Cambria"/>
      <family val="2"/>
      <scheme val="major"/>
    </font>
    <font>
      <sz val="10"/>
      <color rgb="FFFF0000"/>
      <name val="Times New Roman"/>
      <family val="1"/>
    </font>
    <font>
      <sz val="11"/>
      <color indexed="13"/>
      <name val="Times New Roman"/>
      <family val="1"/>
    </font>
    <font>
      <sz val="10"/>
      <color theme="1"/>
      <name val="Times New Roman"/>
      <family val="1"/>
    </font>
    <font>
      <b/>
      <sz val="10"/>
      <color theme="1"/>
      <name val="Times New Roman"/>
      <family val="1"/>
    </font>
    <font>
      <b/>
      <i/>
      <sz val="12"/>
      <name val="Times New Roman"/>
      <family val="1"/>
    </font>
    <font>
      <sz val="12"/>
      <color rgb="FFFF0000"/>
      <name val="Times New Roman"/>
      <family val="1"/>
    </font>
    <font>
      <i/>
      <sz val="11"/>
      <color theme="1"/>
      <name val="Times New Roman"/>
      <family val="1"/>
    </font>
  </fonts>
  <fills count="2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rgb="FFFBCBA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9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EE0000"/>
        <bgColor indexed="64"/>
      </patternFill>
    </fill>
    <fill>
      <patternFill patternType="solid">
        <fgColor theme="3" tint="0.79998168889431442"/>
        <bgColor indexed="64"/>
      </patternFill>
    </fill>
    <fill>
      <patternFill patternType="solid">
        <fgColor theme="5" tint="0.59999389629810485"/>
        <bgColor indexed="64"/>
      </patternFill>
    </fill>
  </fills>
  <borders count="36">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34">
    <xf numFmtId="0" fontId="0" fillId="0" borderId="0"/>
    <xf numFmtId="0" fontId="26" fillId="0" borderId="0" applyNumberFormat="0" applyFill="0" applyBorder="0" applyAlignment="0" applyProtection="0"/>
    <xf numFmtId="0" fontId="27" fillId="0" borderId="1"/>
    <xf numFmtId="0" fontId="27" fillId="0" borderId="1"/>
    <xf numFmtId="38" fontId="28" fillId="2" borderId="0" applyNumberFormat="0" applyBorder="0" applyAlignment="0" applyProtection="0"/>
    <xf numFmtId="0" fontId="29" fillId="0" borderId="2" applyNumberFormat="0" applyAlignment="0" applyProtection="0">
      <alignment horizontal="left" vertical="center"/>
    </xf>
    <xf numFmtId="0" fontId="29" fillId="0" borderId="3">
      <alignment horizontal="left" vertical="center"/>
    </xf>
    <xf numFmtId="10" fontId="28" fillId="3" borderId="4" applyNumberFormat="0" applyBorder="0" applyAlignment="0" applyProtection="0"/>
    <xf numFmtId="37" fontId="30" fillId="0" borderId="0"/>
    <xf numFmtId="166" fontId="31" fillId="0" borderId="0"/>
    <xf numFmtId="0" fontId="25" fillId="0" borderId="0"/>
    <xf numFmtId="0" fontId="25" fillId="0" borderId="0"/>
    <xf numFmtId="0" fontId="17" fillId="0" borderId="0"/>
    <xf numFmtId="0" fontId="17" fillId="0" borderId="0"/>
    <xf numFmtId="0" fontId="25" fillId="0" borderId="0">
      <alignment vertical="center"/>
    </xf>
    <xf numFmtId="0" fontId="25" fillId="0" borderId="0">
      <alignment vertical="center"/>
    </xf>
    <xf numFmtId="167" fontId="25" fillId="0" borderId="0" applyFont="0" applyFill="0" applyBorder="0" applyAlignment="0" applyProtection="0"/>
    <xf numFmtId="10" fontId="25" fillId="0" borderId="0" applyFont="0" applyFill="0" applyBorder="0" applyAlignment="0" applyProtection="0"/>
    <xf numFmtId="0" fontId="25" fillId="0" borderId="0"/>
    <xf numFmtId="0" fontId="36" fillId="0" borderId="0"/>
    <xf numFmtId="164" fontId="36" fillId="0" borderId="0" applyFont="0" applyFill="0" applyBorder="0" applyAlignment="0" applyProtection="0"/>
    <xf numFmtId="9" fontId="36" fillId="0" borderId="0" applyFont="0" applyFill="0" applyBorder="0" applyAlignment="0" applyProtection="0"/>
    <xf numFmtId="165" fontId="39" fillId="0" borderId="0" applyFont="0" applyFill="0" applyBorder="0" applyAlignment="0" applyProtection="0"/>
    <xf numFmtId="0" fontId="40" fillId="0" borderId="0"/>
    <xf numFmtId="9"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5" fillId="0" borderId="0" applyFont="0" applyFill="0" applyBorder="0" applyAlignment="0" applyProtection="0"/>
    <xf numFmtId="164" fontId="3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36" fillId="0" borderId="0"/>
    <xf numFmtId="0" fontId="39" fillId="0" borderId="0"/>
    <xf numFmtId="0" fontId="39" fillId="0" borderId="0"/>
    <xf numFmtId="0" fontId="36"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5" fillId="0" borderId="0" applyFont="0" applyFill="0" applyBorder="0" applyAlignment="0" applyProtection="0"/>
    <xf numFmtId="9" fontId="39" fillId="0" borderId="0" applyFont="0" applyFill="0" applyBorder="0" applyAlignment="0" applyProtection="0"/>
    <xf numFmtId="164" fontId="42"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0" fontId="25" fillId="0" borderId="0"/>
    <xf numFmtId="0" fontId="17" fillId="0" borderId="0"/>
    <xf numFmtId="0" fontId="25" fillId="0" borderId="0" applyBorder="0" applyProtection="0"/>
    <xf numFmtId="167" fontId="39" fillId="0" borderId="0" applyFont="0" applyFill="0" applyBorder="0" applyAlignment="0" applyProtection="0"/>
    <xf numFmtId="0" fontId="25" fillId="0" borderId="0"/>
    <xf numFmtId="0" fontId="25" fillId="0" borderId="0"/>
    <xf numFmtId="0" fontId="25" fillId="0" borderId="0"/>
    <xf numFmtId="9" fontId="25" fillId="0" borderId="0" applyFont="0" applyFill="0" applyBorder="0" applyAlignment="0" applyProtection="0"/>
    <xf numFmtId="0" fontId="14" fillId="0" borderId="0"/>
    <xf numFmtId="164" fontId="14" fillId="0" borderId="0" applyFont="0" applyFill="0" applyBorder="0" applyAlignment="0" applyProtection="0"/>
    <xf numFmtId="165" fontId="2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9" fontId="14" fillId="0" borderId="0" applyFont="0" applyFill="0" applyBorder="0" applyAlignment="0" applyProtection="0"/>
    <xf numFmtId="0" fontId="25" fillId="0" borderId="0">
      <alignment vertical="center"/>
    </xf>
    <xf numFmtId="164" fontId="45" fillId="0" borderId="0" applyFont="0" applyFill="0" applyBorder="0" applyAlignment="0" applyProtection="0"/>
    <xf numFmtId="9" fontId="45" fillId="0" borderId="0" applyFont="0" applyFill="0" applyBorder="0" applyAlignment="0" applyProtection="0"/>
    <xf numFmtId="0" fontId="25" fillId="0" borderId="0"/>
    <xf numFmtId="164" fontId="13" fillId="0" borderId="0" applyFont="0" applyFill="0" applyBorder="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3" fillId="0" borderId="0"/>
    <xf numFmtId="164" fontId="25" fillId="0" borderId="0" applyFont="0" applyFill="0" applyBorder="0" applyAlignment="0" applyProtection="0"/>
    <xf numFmtId="0" fontId="25" fillId="0" borderId="0">
      <alignment vertical="center"/>
    </xf>
    <xf numFmtId="9" fontId="25" fillId="0" borderId="0" applyFont="0" applyFill="0" applyBorder="0" applyAlignment="0" applyProtection="0"/>
    <xf numFmtId="43" fontId="10" fillId="0" borderId="0" applyFont="0" applyFill="0" applyBorder="0" applyAlignment="0" applyProtection="0"/>
    <xf numFmtId="0" fontId="10" fillId="0" borderId="0"/>
    <xf numFmtId="43" fontId="39"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71" fillId="0" borderId="0"/>
    <xf numFmtId="0" fontId="9" fillId="0" borderId="0"/>
    <xf numFmtId="43" fontId="9"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5" fillId="0" borderId="0" applyNumberFormat="0" applyFill="0" applyBorder="0" applyAlignment="0" applyProtection="0"/>
    <xf numFmtId="0" fontId="25" fillId="0" borderId="0"/>
    <xf numFmtId="0" fontId="7" fillId="0" borderId="0"/>
    <xf numFmtId="9" fontId="7"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5" fillId="0" borderId="0" applyFont="0" applyFill="0" applyBorder="0" applyAlignment="0" applyProtection="0"/>
    <xf numFmtId="43" fontId="39" fillId="0" borderId="0" applyFont="0" applyFill="0" applyBorder="0" applyAlignment="0" applyProtection="0"/>
    <xf numFmtId="0" fontId="5" fillId="0" borderId="0"/>
    <xf numFmtId="0" fontId="5" fillId="0" borderId="0"/>
    <xf numFmtId="43" fontId="2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1" fillId="0" borderId="0"/>
    <xf numFmtId="0" fontId="58" fillId="0" borderId="0"/>
  </cellStyleXfs>
  <cellXfs count="1664">
    <xf numFmtId="0" fontId="0" fillId="0" borderId="0" xfId="0"/>
    <xf numFmtId="0" fontId="15" fillId="0" borderId="0" xfId="10" applyFont="1"/>
    <xf numFmtId="0" fontId="15" fillId="0" borderId="4" xfId="10" applyFont="1" applyBorder="1"/>
    <xf numFmtId="0" fontId="16" fillId="0" borderId="4" xfId="10" applyFont="1" applyBorder="1"/>
    <xf numFmtId="0" fontId="16" fillId="0" borderId="0" xfId="10" applyFont="1"/>
    <xf numFmtId="0" fontId="15" fillId="5" borderId="0" xfId="10" applyFont="1" applyFill="1"/>
    <xf numFmtId="0" fontId="16" fillId="0" borderId="0" xfId="10" applyFont="1" applyAlignment="1">
      <alignment horizontal="centerContinuous"/>
    </xf>
    <xf numFmtId="0" fontId="15" fillId="5" borderId="4" xfId="10" applyFont="1" applyFill="1" applyBorder="1"/>
    <xf numFmtId="0" fontId="16" fillId="0" borderId="0" xfId="14" applyFont="1" applyAlignment="1">
      <alignment horizontal="center" vertical="center" wrapText="1"/>
    </xf>
    <xf numFmtId="0" fontId="16" fillId="4" borderId="4" xfId="10" applyFont="1" applyFill="1" applyBorder="1"/>
    <xf numFmtId="0" fontId="15" fillId="0" borderId="0" xfId="14" applyFont="1">
      <alignment vertical="center"/>
    </xf>
    <xf numFmtId="0" fontId="16" fillId="0" borderId="0" xfId="14" applyFont="1" applyAlignment="1">
      <alignment horizontal="centerContinuous" vertical="center"/>
    </xf>
    <xf numFmtId="0" fontId="15" fillId="0" borderId="0" xfId="14" applyFont="1" applyAlignment="1">
      <alignment horizontal="centerContinuous" vertical="center"/>
    </xf>
    <xf numFmtId="0" fontId="16" fillId="0" borderId="0" xfId="10" applyFont="1" applyAlignment="1">
      <alignment horizontal="centerContinuous" vertical="top"/>
    </xf>
    <xf numFmtId="0" fontId="15" fillId="0" borderId="0" xfId="10" applyFont="1" applyAlignment="1">
      <alignment horizontal="centerContinuous"/>
    </xf>
    <xf numFmtId="0" fontId="15" fillId="6" borderId="0" xfId="10" applyFont="1" applyFill="1" applyAlignment="1">
      <alignment horizontal="centerContinuous"/>
    </xf>
    <xf numFmtId="0" fontId="16" fillId="0" borderId="0" xfId="14" applyFont="1" applyAlignment="1">
      <alignment horizontal="right" vertical="center"/>
    </xf>
    <xf numFmtId="0" fontId="16" fillId="0" borderId="0" xfId="14" applyFont="1">
      <alignment vertical="center"/>
    </xf>
    <xf numFmtId="0" fontId="15" fillId="6" borderId="0" xfId="14" applyFont="1" applyFill="1">
      <alignment vertical="center"/>
    </xf>
    <xf numFmtId="0" fontId="15" fillId="0" borderId="4" xfId="14" applyFont="1" applyBorder="1">
      <alignment vertical="center"/>
    </xf>
    <xf numFmtId="0" fontId="16" fillId="5" borderId="4" xfId="10" applyFont="1" applyFill="1" applyBorder="1" applyAlignment="1">
      <alignment horizontal="left"/>
    </xf>
    <xf numFmtId="0" fontId="15" fillId="5" borderId="4" xfId="10" applyFont="1" applyFill="1" applyBorder="1" applyAlignment="1">
      <alignment horizontal="left"/>
    </xf>
    <xf numFmtId="0" fontId="16" fillId="0" borderId="4" xfId="14" applyFont="1" applyBorder="1">
      <alignment vertical="center"/>
    </xf>
    <xf numFmtId="0" fontId="15" fillId="5" borderId="4" xfId="10" quotePrefix="1" applyFont="1" applyFill="1" applyBorder="1" applyAlignment="1">
      <alignment horizontal="left" vertical="top" wrapText="1"/>
    </xf>
    <xf numFmtId="0" fontId="15" fillId="5" borderId="4" xfId="10" applyFont="1" applyFill="1" applyBorder="1" applyAlignment="1">
      <alignment horizontal="left" wrapText="1"/>
    </xf>
    <xf numFmtId="0" fontId="23" fillId="0" borderId="0" xfId="10" applyFont="1" applyAlignment="1">
      <alignment horizontal="center" vertical="center"/>
    </xf>
    <xf numFmtId="0" fontId="24" fillId="0" borderId="0" xfId="14" applyFont="1">
      <alignment vertical="center"/>
    </xf>
    <xf numFmtId="0" fontId="20" fillId="0" borderId="0" xfId="14" applyFont="1" applyAlignment="1">
      <alignment horizontal="right" vertical="center"/>
    </xf>
    <xf numFmtId="0" fontId="15" fillId="0" borderId="0" xfId="10" applyFont="1" applyAlignment="1">
      <alignment horizontal="center" vertical="top"/>
    </xf>
    <xf numFmtId="0" fontId="15" fillId="0" borderId="0" xfId="10" applyFont="1" applyAlignment="1">
      <alignment vertical="top"/>
    </xf>
    <xf numFmtId="0" fontId="15" fillId="0" borderId="4" xfId="10" applyFont="1" applyBorder="1" applyAlignment="1">
      <alignment vertical="top"/>
    </xf>
    <xf numFmtId="0" fontId="16" fillId="5" borderId="4" xfId="14" applyFont="1" applyFill="1" applyBorder="1" applyAlignment="1">
      <alignment horizontal="center" vertical="center" wrapText="1"/>
    </xf>
    <xf numFmtId="0" fontId="32" fillId="0" borderId="0" xfId="10" applyFont="1"/>
    <xf numFmtId="166" fontId="15" fillId="0" borderId="0" xfId="10" applyNumberFormat="1" applyFont="1" applyAlignment="1">
      <alignment horizontal="center"/>
    </xf>
    <xf numFmtId="0" fontId="32" fillId="0" borderId="0" xfId="10" applyFont="1" applyAlignment="1">
      <alignment horizontal="left"/>
    </xf>
    <xf numFmtId="0" fontId="32" fillId="0" borderId="0" xfId="10" applyFont="1" applyAlignment="1">
      <alignment horizontal="center"/>
    </xf>
    <xf numFmtId="0" fontId="15" fillId="0" borderId="0" xfId="10" applyFont="1" applyAlignment="1">
      <alignment horizontal="left"/>
    </xf>
    <xf numFmtId="166" fontId="15" fillId="0" borderId="0" xfId="10" applyNumberFormat="1" applyFont="1"/>
    <xf numFmtId="0" fontId="15" fillId="0" borderId="0" xfId="10" applyFont="1" applyAlignment="1">
      <alignment horizontal="center" vertical="top" wrapText="1"/>
    </xf>
    <xf numFmtId="0" fontId="15" fillId="0" borderId="0" xfId="10" applyFont="1" applyAlignment="1">
      <alignment horizontal="center"/>
    </xf>
    <xf numFmtId="0" fontId="15" fillId="0" borderId="0" xfId="10" applyFont="1" applyAlignment="1">
      <alignment horizontal="justify" vertical="top" wrapText="1"/>
    </xf>
    <xf numFmtId="0" fontId="16" fillId="0" borderId="0" xfId="10" applyFont="1" applyAlignment="1">
      <alignment horizontal="left" vertical="top"/>
    </xf>
    <xf numFmtId="0" fontId="16" fillId="0" borderId="0" xfId="10" applyFont="1" applyAlignment="1">
      <alignment horizontal="left"/>
    </xf>
    <xf numFmtId="0" fontId="16" fillId="5" borderId="0" xfId="10" applyFont="1" applyFill="1"/>
    <xf numFmtId="0" fontId="15" fillId="5" borderId="0" xfId="10" applyFont="1" applyFill="1" applyAlignment="1">
      <alignment wrapText="1"/>
    </xf>
    <xf numFmtId="0" fontId="16" fillId="0" borderId="0" xfId="14" applyFont="1" applyAlignment="1">
      <alignment vertical="center" wrapText="1"/>
    </xf>
    <xf numFmtId="0" fontId="15" fillId="0" borderId="4" xfId="10" applyFont="1" applyBorder="1" applyAlignment="1">
      <alignment horizontal="left"/>
    </xf>
    <xf numFmtId="0" fontId="15" fillId="5" borderId="4" xfId="10" applyFont="1" applyFill="1" applyBorder="1" applyAlignment="1">
      <alignment vertical="top" wrapText="1"/>
    </xf>
    <xf numFmtId="0" fontId="16" fillId="5" borderId="4" xfId="10" applyFont="1" applyFill="1" applyBorder="1" applyAlignment="1">
      <alignment vertical="top" wrapText="1"/>
    </xf>
    <xf numFmtId="0" fontId="16" fillId="5" borderId="4" xfId="10" applyFont="1" applyFill="1" applyBorder="1" applyAlignment="1">
      <alignment horizontal="left" vertical="top" wrapText="1"/>
    </xf>
    <xf numFmtId="0" fontId="16" fillId="0" borderId="0" xfId="10" applyFont="1" applyAlignment="1">
      <alignment horizontal="right"/>
    </xf>
    <xf numFmtId="0" fontId="16" fillId="0" borderId="0" xfId="10" applyFont="1" applyAlignment="1">
      <alignment vertical="center"/>
    </xf>
    <xf numFmtId="0" fontId="15" fillId="0" borderId="0" xfId="10" applyFont="1" applyAlignment="1">
      <alignment horizontal="centerContinuous" vertical="top"/>
    </xf>
    <xf numFmtId="0" fontId="35" fillId="0" borderId="0" xfId="10" applyFont="1"/>
    <xf numFmtId="0" fontId="16" fillId="0" borderId="0" xfId="10" applyFont="1" applyAlignment="1">
      <alignment horizontal="center"/>
    </xf>
    <xf numFmtId="0" fontId="16" fillId="0" borderId="4" xfId="10" applyFont="1" applyBorder="1" applyAlignment="1">
      <alignment vertical="top"/>
    </xf>
    <xf numFmtId="0" fontId="17" fillId="0" borderId="0" xfId="14" applyFont="1">
      <alignment vertical="center"/>
    </xf>
    <xf numFmtId="0" fontId="18" fillId="0" borderId="0" xfId="14" applyFont="1">
      <alignment vertical="center"/>
    </xf>
    <xf numFmtId="0" fontId="15" fillId="6" borderId="0" xfId="10" applyFont="1" applyFill="1"/>
    <xf numFmtId="0" fontId="35" fillId="0" borderId="0" xfId="14" applyFont="1">
      <alignment vertical="center"/>
    </xf>
    <xf numFmtId="0" fontId="16" fillId="0" borderId="0" xfId="14" applyFont="1" applyAlignment="1">
      <alignment horizontal="left" vertical="center"/>
    </xf>
    <xf numFmtId="0" fontId="32" fillId="0" borderId="4" xfId="10" applyFont="1" applyBorder="1" applyAlignment="1">
      <alignment horizontal="left"/>
    </xf>
    <xf numFmtId="0" fontId="16" fillId="0" borderId="0" xfId="14" applyFont="1" applyAlignment="1">
      <alignment horizontal="center" vertical="center"/>
    </xf>
    <xf numFmtId="0" fontId="16" fillId="0" borderId="0" xfId="10" applyFont="1" applyAlignment="1">
      <alignment horizontal="center" vertical="center"/>
    </xf>
    <xf numFmtId="0" fontId="16" fillId="4" borderId="4" xfId="10" applyFont="1" applyFill="1" applyBorder="1" applyAlignment="1">
      <alignment horizontal="center" vertical="center" wrapText="1"/>
    </xf>
    <xf numFmtId="0" fontId="16" fillId="0" borderId="0" xfId="10" applyFont="1" applyAlignment="1">
      <alignment horizontal="center" vertical="top"/>
    </xf>
    <xf numFmtId="0" fontId="18" fillId="0" borderId="0" xfId="10" applyFont="1" applyAlignment="1">
      <alignment horizontal="center" vertical="center"/>
    </xf>
    <xf numFmtId="0" fontId="15" fillId="0" borderId="0" xfId="10" applyFont="1" applyAlignment="1">
      <alignment vertical="center"/>
    </xf>
    <xf numFmtId="0" fontId="15" fillId="0" borderId="4" xfId="10" applyFont="1" applyBorder="1" applyAlignment="1">
      <alignment horizontal="left" vertical="center"/>
    </xf>
    <xf numFmtId="0" fontId="17" fillId="0" borderId="0" xfId="10" applyFont="1"/>
    <xf numFmtId="0" fontId="15" fillId="0" borderId="4" xfId="10" applyFont="1" applyBorder="1" applyAlignment="1">
      <alignment horizontal="center" vertical="top"/>
    </xf>
    <xf numFmtId="0" fontId="16" fillId="0" borderId="4" xfId="10" applyFont="1" applyBorder="1" applyAlignment="1">
      <alignment horizontal="left" vertical="top"/>
    </xf>
    <xf numFmtId="0" fontId="15" fillId="0" borderId="0" xfId="14" applyFont="1" applyAlignment="1">
      <alignment horizontal="center" vertical="center"/>
    </xf>
    <xf numFmtId="0" fontId="15" fillId="0" borderId="4" xfId="14" applyFont="1" applyBorder="1" applyAlignment="1">
      <alignment horizontal="center" vertical="center"/>
    </xf>
    <xf numFmtId="0" fontId="16" fillId="0" borderId="4" xfId="14" applyFont="1" applyBorder="1" applyAlignment="1">
      <alignment horizontal="center" vertical="center"/>
    </xf>
    <xf numFmtId="0" fontId="21" fillId="0" borderId="0" xfId="14" applyFont="1" applyAlignment="1">
      <alignment horizontal="left" vertical="center"/>
    </xf>
    <xf numFmtId="0" fontId="15" fillId="0" borderId="4" xfId="14" applyFont="1" applyBorder="1" applyAlignment="1">
      <alignment vertical="top" wrapText="1"/>
    </xf>
    <xf numFmtId="0" fontId="15" fillId="0" borderId="4" xfId="14" applyFont="1" applyBorder="1" applyAlignment="1">
      <alignment horizontal="center" vertical="top" wrapText="1"/>
    </xf>
    <xf numFmtId="0" fontId="16" fillId="0" borderId="4" xfId="14" applyFont="1" applyBorder="1" applyAlignment="1">
      <alignment vertical="top" wrapText="1"/>
    </xf>
    <xf numFmtId="0" fontId="16" fillId="4" borderId="4" xfId="10" applyFont="1" applyFill="1" applyBorder="1" applyAlignment="1">
      <alignment vertical="top" wrapText="1"/>
    </xf>
    <xf numFmtId="16" fontId="16" fillId="4" borderId="4" xfId="10" applyNumberFormat="1" applyFont="1" applyFill="1" applyBorder="1" applyAlignment="1">
      <alignment horizontal="center" vertical="center" wrapText="1"/>
    </xf>
    <xf numFmtId="0" fontId="16" fillId="0" borderId="4" xfId="10" applyFont="1" applyBorder="1" applyAlignment="1">
      <alignment vertical="top" wrapText="1"/>
    </xf>
    <xf numFmtId="0" fontId="17" fillId="0" borderId="4" xfId="14" applyFont="1" applyBorder="1" applyAlignment="1">
      <alignment horizontal="center" vertical="center"/>
    </xf>
    <xf numFmtId="0" fontId="18" fillId="0" borderId="4" xfId="10" applyFont="1" applyBorder="1" applyAlignment="1">
      <alignment horizontal="center" vertical="center" wrapText="1"/>
    </xf>
    <xf numFmtId="0" fontId="18" fillId="0" borderId="4" xfId="10" applyFont="1" applyBorder="1" applyAlignment="1">
      <alignment horizontal="center" vertical="center"/>
    </xf>
    <xf numFmtId="0" fontId="17" fillId="0" borderId="4" xfId="14" applyFont="1" applyBorder="1">
      <alignment vertical="center"/>
    </xf>
    <xf numFmtId="0" fontId="18" fillId="0" borderId="0" xfId="10" applyFont="1"/>
    <xf numFmtId="0" fontId="17" fillId="0" borderId="0" xfId="10" applyFont="1" applyAlignment="1">
      <alignment vertical="center"/>
    </xf>
    <xf numFmtId="0" fontId="25" fillId="0" borderId="0" xfId="10" applyAlignment="1">
      <alignment vertical="center"/>
    </xf>
    <xf numFmtId="0" fontId="16" fillId="0" borderId="4" xfId="14" applyFont="1" applyBorder="1" applyAlignment="1">
      <alignment horizontal="center" vertical="top" wrapText="1"/>
    </xf>
    <xf numFmtId="0" fontId="24" fillId="0" borderId="4" xfId="14" applyFont="1" applyBorder="1">
      <alignment vertical="center"/>
    </xf>
    <xf numFmtId="0" fontId="24" fillId="0" borderId="4" xfId="14" applyFont="1" applyBorder="1" applyAlignment="1">
      <alignment horizontal="center" vertical="center"/>
    </xf>
    <xf numFmtId="0" fontId="24" fillId="0" borderId="4" xfId="14" applyFont="1" applyBorder="1" applyAlignment="1">
      <alignment vertical="top" wrapText="1"/>
    </xf>
    <xf numFmtId="0" fontId="15" fillId="0" borderId="4" xfId="14" applyFont="1" applyBorder="1" applyAlignment="1">
      <alignment horizontal="left" vertical="center"/>
    </xf>
    <xf numFmtId="0" fontId="16" fillId="0" borderId="4" xfId="10" applyFont="1" applyBorder="1" applyAlignment="1">
      <alignment horizontal="center" vertical="center"/>
    </xf>
    <xf numFmtId="0" fontId="15" fillId="0" borderId="4" xfId="10" applyFont="1" applyBorder="1" applyAlignment="1">
      <alignment horizontal="center"/>
    </xf>
    <xf numFmtId="0" fontId="25" fillId="0" borderId="0" xfId="10" applyAlignment="1">
      <alignment horizontal="center" vertical="center"/>
    </xf>
    <xf numFmtId="0" fontId="16" fillId="4" borderId="4" xfId="14" applyFont="1" applyFill="1" applyBorder="1" applyAlignment="1">
      <alignment horizontal="center" vertical="center" wrapText="1"/>
    </xf>
    <xf numFmtId="0" fontId="15" fillId="5" borderId="4" xfId="10" applyFont="1" applyFill="1" applyBorder="1" applyAlignment="1">
      <alignment horizontal="center" vertical="top"/>
    </xf>
    <xf numFmtId="0" fontId="15" fillId="5" borderId="4" xfId="14" applyFont="1" applyFill="1" applyBorder="1">
      <alignment vertical="center"/>
    </xf>
    <xf numFmtId="0" fontId="15" fillId="5" borderId="4" xfId="10" applyFont="1" applyFill="1" applyBorder="1" applyAlignment="1">
      <alignment horizontal="center"/>
    </xf>
    <xf numFmtId="0" fontId="16" fillId="5" borderId="4" xfId="10" applyFont="1" applyFill="1" applyBorder="1" applyAlignment="1">
      <alignment horizontal="center"/>
    </xf>
    <xf numFmtId="0" fontId="16" fillId="5" borderId="4" xfId="14" applyFont="1" applyFill="1" applyBorder="1" applyAlignment="1">
      <alignment horizontal="left" vertical="center" wrapText="1"/>
    </xf>
    <xf numFmtId="0" fontId="15" fillId="5" borderId="4" xfId="14" quotePrefix="1" applyFont="1" applyFill="1" applyBorder="1" applyAlignment="1">
      <alignment horizontal="center" vertical="center" wrapText="1"/>
    </xf>
    <xf numFmtId="0" fontId="15" fillId="5" borderId="4" xfId="14" applyFont="1" applyFill="1" applyBorder="1" applyAlignment="1">
      <alignment horizontal="center" vertical="center" wrapText="1"/>
    </xf>
    <xf numFmtId="0" fontId="15" fillId="6" borderId="4" xfId="14" applyFont="1" applyFill="1" applyBorder="1" applyAlignment="1">
      <alignment horizontal="left" vertical="center" wrapText="1"/>
    </xf>
    <xf numFmtId="0" fontId="15" fillId="5" borderId="4" xfId="14" applyFont="1" applyFill="1" applyBorder="1" applyAlignment="1">
      <alignment horizontal="left" vertical="center" wrapText="1"/>
    </xf>
    <xf numFmtId="0" fontId="16" fillId="5" borderId="4" xfId="10" applyFont="1" applyFill="1" applyBorder="1" applyAlignment="1">
      <alignment horizontal="center" vertical="center"/>
    </xf>
    <xf numFmtId="0" fontId="15" fillId="5" borderId="4" xfId="14" applyFont="1" applyFill="1" applyBorder="1" applyAlignment="1">
      <alignment vertical="center" wrapText="1"/>
    </xf>
    <xf numFmtId="0" fontId="15" fillId="0" borderId="4" xfId="14" applyFont="1" applyBorder="1" applyAlignment="1">
      <alignment vertical="center" wrapText="1"/>
    </xf>
    <xf numFmtId="0" fontId="16" fillId="0" borderId="0" xfId="10" applyFont="1" applyAlignment="1">
      <alignment horizontal="left" vertical="center"/>
    </xf>
    <xf numFmtId="0" fontId="16" fillId="0" borderId="0" xfId="10" applyFont="1" applyAlignment="1">
      <alignment horizontal="centerContinuous" vertical="center"/>
    </xf>
    <xf numFmtId="0" fontId="15" fillId="0" borderId="0" xfId="10" applyFont="1" applyAlignment="1">
      <alignment horizontal="centerContinuous" vertical="center"/>
    </xf>
    <xf numFmtId="0" fontId="15" fillId="5" borderId="4" xfId="10" applyFont="1" applyFill="1" applyBorder="1" applyAlignment="1">
      <alignment horizontal="center" vertical="center"/>
    </xf>
    <xf numFmtId="0" fontId="15" fillId="5" borderId="4" xfId="10" applyFont="1" applyFill="1" applyBorder="1" applyAlignment="1">
      <alignment vertical="center" wrapText="1"/>
    </xf>
    <xf numFmtId="0" fontId="16" fillId="5" borderId="4" xfId="10" applyFont="1" applyFill="1" applyBorder="1" applyAlignment="1">
      <alignment horizontal="left" vertical="center" wrapText="1"/>
    </xf>
    <xf numFmtId="0" fontId="15" fillId="0" borderId="4" xfId="10" applyFont="1" applyBorder="1" applyAlignment="1">
      <alignment vertical="center"/>
    </xf>
    <xf numFmtId="0" fontId="15" fillId="5" borderId="0" xfId="10" applyFont="1" applyFill="1" applyAlignment="1">
      <alignment vertical="center"/>
    </xf>
    <xf numFmtId="0" fontId="15" fillId="0" borderId="0" xfId="10" applyFont="1" applyAlignment="1">
      <alignment horizontal="left" vertical="center"/>
    </xf>
    <xf numFmtId="0" fontId="32" fillId="0" borderId="0" xfId="10" applyFont="1" applyAlignment="1">
      <alignment horizontal="left" vertical="center"/>
    </xf>
    <xf numFmtId="166" fontId="15" fillId="0" borderId="0" xfId="10" applyNumberFormat="1" applyFont="1" applyAlignment="1">
      <alignment vertical="center"/>
    </xf>
    <xf numFmtId="0" fontId="15" fillId="0" borderId="4" xfId="10" applyFont="1" applyBorder="1" applyAlignment="1">
      <alignment horizontal="center" vertical="center"/>
    </xf>
    <xf numFmtId="0" fontId="16" fillId="5" borderId="4" xfId="10" applyFont="1" applyFill="1" applyBorder="1" applyAlignment="1">
      <alignment vertical="center" wrapText="1"/>
    </xf>
    <xf numFmtId="0" fontId="38" fillId="6" borderId="9" xfId="10" applyFont="1" applyFill="1" applyBorder="1"/>
    <xf numFmtId="0" fontId="38" fillId="6" borderId="11" xfId="10" applyFont="1" applyFill="1" applyBorder="1"/>
    <xf numFmtId="0" fontId="38" fillId="6" borderId="0" xfId="10" applyFont="1" applyFill="1"/>
    <xf numFmtId="0" fontId="38" fillId="6" borderId="12" xfId="10" applyFont="1" applyFill="1" applyBorder="1"/>
    <xf numFmtId="0" fontId="16" fillId="5" borderId="0" xfId="14" applyFont="1" applyFill="1" applyAlignment="1">
      <alignment horizontal="center" vertical="center" wrapText="1"/>
    </xf>
    <xf numFmtId="0" fontId="16" fillId="5" borderId="0" xfId="14" applyFont="1" applyFill="1" applyAlignment="1">
      <alignment horizontal="left" vertical="center" wrapText="1"/>
    </xf>
    <xf numFmtId="0" fontId="15" fillId="5" borderId="0" xfId="14" quotePrefix="1" applyFont="1" applyFill="1" applyAlignment="1">
      <alignment horizontal="center" vertical="center" wrapText="1"/>
    </xf>
    <xf numFmtId="0" fontId="16" fillId="5" borderId="0" xfId="10" applyFont="1" applyFill="1" applyAlignment="1">
      <alignment vertical="center"/>
    </xf>
    <xf numFmtId="0" fontId="33" fillId="0" borderId="4" xfId="14" applyFont="1" applyBorder="1" applyAlignment="1">
      <alignment horizontal="center" vertical="center"/>
    </xf>
    <xf numFmtId="0" fontId="16" fillId="0" borderId="4" xfId="10" applyFont="1" applyBorder="1" applyAlignment="1">
      <alignment horizontal="left" vertical="center" wrapText="1"/>
    </xf>
    <xf numFmtId="0" fontId="16" fillId="0" borderId="4" xfId="10" applyFont="1" applyBorder="1" applyAlignment="1">
      <alignment horizontal="center" vertical="center" wrapText="1"/>
    </xf>
    <xf numFmtId="0" fontId="16" fillId="0" borderId="4" xfId="10" applyFont="1" applyBorder="1" applyAlignment="1">
      <alignment horizontal="left" vertical="center"/>
    </xf>
    <xf numFmtId="0" fontId="15" fillId="0" borderId="4" xfId="10" applyFont="1" applyBorder="1" applyAlignment="1">
      <alignment vertical="top" wrapText="1"/>
    </xf>
    <xf numFmtId="0" fontId="16" fillId="0" borderId="4" xfId="10" applyFont="1" applyBorder="1" applyAlignment="1">
      <alignment horizontal="center" vertical="top"/>
    </xf>
    <xf numFmtId="0" fontId="15" fillId="4" borderId="4" xfId="10" applyFont="1" applyFill="1" applyBorder="1" applyAlignment="1">
      <alignment horizontal="center"/>
    </xf>
    <xf numFmtId="0" fontId="15" fillId="6" borderId="4" xfId="10" applyFont="1" applyFill="1" applyBorder="1" applyAlignment="1">
      <alignment horizontal="left"/>
    </xf>
    <xf numFmtId="0" fontId="16" fillId="4" borderId="7" xfId="14" applyFont="1" applyFill="1" applyBorder="1" applyAlignment="1">
      <alignment vertical="center" wrapText="1"/>
    </xf>
    <xf numFmtId="0" fontId="16" fillId="4" borderId="7" xfId="14" applyFont="1" applyFill="1" applyBorder="1">
      <alignment vertical="center"/>
    </xf>
    <xf numFmtId="0" fontId="22" fillId="0" borderId="0" xfId="10" applyFont="1"/>
    <xf numFmtId="0" fontId="17" fillId="0" borderId="0" xfId="10" applyFont="1" applyAlignment="1">
      <alignment horizontal="centerContinuous"/>
    </xf>
    <xf numFmtId="0" fontId="17" fillId="0" borderId="0" xfId="10" applyFont="1" applyAlignment="1">
      <alignment horizontal="centerContinuous" vertical="top"/>
    </xf>
    <xf numFmtId="0" fontId="18" fillId="0" borderId="0" xfId="10" applyFont="1" applyAlignment="1">
      <alignment horizontal="centerContinuous"/>
    </xf>
    <xf numFmtId="0" fontId="18" fillId="7" borderId="7" xfId="0" applyFont="1" applyFill="1" applyBorder="1" applyAlignment="1">
      <alignment horizontal="center" vertical="center" wrapText="1"/>
    </xf>
    <xf numFmtId="0" fontId="18" fillId="7" borderId="7" xfId="0" applyFont="1" applyFill="1" applyBorder="1" applyAlignment="1">
      <alignment horizontal="center" vertical="center"/>
    </xf>
    <xf numFmtId="0" fontId="17" fillId="0" borderId="7" xfId="0" applyFont="1" applyBorder="1" applyAlignment="1">
      <alignment horizontal="center" vertical="center" wrapText="1"/>
    </xf>
    <xf numFmtId="0" fontId="17" fillId="0" borderId="7" xfId="0" applyFont="1" applyBorder="1" applyAlignment="1">
      <alignment vertical="center" wrapText="1"/>
    </xf>
    <xf numFmtId="0" fontId="17" fillId="0" borderId="4" xfId="0" applyFont="1" applyBorder="1" applyAlignment="1">
      <alignment vertical="center" wrapText="1"/>
    </xf>
    <xf numFmtId="0" fontId="18" fillId="0" borderId="8" xfId="0" applyFont="1" applyBorder="1" applyAlignment="1">
      <alignment vertical="center" wrapText="1"/>
    </xf>
    <xf numFmtId="0" fontId="18" fillId="0" borderId="4" xfId="0" applyFont="1" applyBorder="1" applyAlignment="1">
      <alignment vertical="center" wrapText="1"/>
    </xf>
    <xf numFmtId="0" fontId="17" fillId="0" borderId="4" xfId="0" applyFont="1" applyBorder="1" applyAlignment="1">
      <alignment horizontal="center" vertical="center" wrapText="1"/>
    </xf>
    <xf numFmtId="0" fontId="18" fillId="0" borderId="4" xfId="0" applyFont="1" applyBorder="1" applyAlignment="1">
      <alignment vertical="center"/>
    </xf>
    <xf numFmtId="0" fontId="17" fillId="0" borderId="0" xfId="10" applyFont="1" applyAlignment="1">
      <alignment horizontal="center"/>
    </xf>
    <xf numFmtId="0" fontId="17" fillId="0" borderId="0" xfId="10" applyFont="1" applyAlignment="1">
      <alignment horizontal="center" vertical="top"/>
    </xf>
    <xf numFmtId="0" fontId="18" fillId="0" borderId="0" xfId="10" applyFont="1" applyAlignment="1">
      <alignment horizontal="center"/>
    </xf>
    <xf numFmtId="0" fontId="16" fillId="5" borderId="0" xfId="10" applyFont="1" applyFill="1" applyAlignment="1">
      <alignment horizontal="center" vertical="center"/>
    </xf>
    <xf numFmtId="0" fontId="15" fillId="5" borderId="0" xfId="14" applyFont="1" applyFill="1">
      <alignment vertical="center"/>
    </xf>
    <xf numFmtId="0" fontId="15" fillId="9" borderId="4" xfId="14" applyFont="1" applyFill="1" applyBorder="1">
      <alignment vertical="center"/>
    </xf>
    <xf numFmtId="0" fontId="17" fillId="0" borderId="0" xfId="10" applyFont="1" applyAlignment="1">
      <alignment vertical="center" wrapText="1"/>
    </xf>
    <xf numFmtId="0" fontId="24" fillId="0" borderId="4" xfId="14" applyFont="1" applyBorder="1" applyAlignment="1">
      <alignment vertical="top"/>
    </xf>
    <xf numFmtId="0" fontId="38" fillId="6" borderId="0" xfId="10" applyFont="1" applyFill="1" applyAlignment="1">
      <alignment vertical="center"/>
    </xf>
    <xf numFmtId="0" fontId="16" fillId="0" borderId="0" xfId="10" applyFont="1" applyAlignment="1">
      <alignment vertical="top"/>
    </xf>
    <xf numFmtId="0" fontId="16" fillId="4" borderId="10" xfId="14" applyFont="1" applyFill="1" applyBorder="1" applyAlignment="1">
      <alignment horizontal="center" vertical="center" wrapText="1"/>
    </xf>
    <xf numFmtId="0" fontId="19" fillId="0" borderId="0" xfId="10" applyFont="1"/>
    <xf numFmtId="0" fontId="34" fillId="0" borderId="0" xfId="10" applyFont="1"/>
    <xf numFmtId="0" fontId="16" fillId="0" borderId="0" xfId="10" applyFont="1" applyAlignment="1">
      <alignment vertical="top" wrapText="1"/>
    </xf>
    <xf numFmtId="0" fontId="33" fillId="0" borderId="0" xfId="10" applyFont="1"/>
    <xf numFmtId="0" fontId="43" fillId="0" borderId="0" xfId="10" applyFont="1"/>
    <xf numFmtId="0" fontId="33" fillId="0" borderId="0" xfId="10" applyFont="1" applyAlignment="1">
      <alignment vertical="center"/>
    </xf>
    <xf numFmtId="0" fontId="16" fillId="0" borderId="0" xfId="14" applyFont="1" applyAlignment="1">
      <alignment horizontal="center" vertical="top" wrapText="1"/>
    </xf>
    <xf numFmtId="0" fontId="16" fillId="0" borderId="0" xfId="14" applyFont="1" applyAlignment="1">
      <alignment vertical="top" wrapText="1"/>
    </xf>
    <xf numFmtId="0" fontId="15" fillId="0" borderId="4" xfId="14" applyFont="1" applyBorder="1" applyAlignment="1">
      <alignment horizontal="center" vertical="center" wrapText="1"/>
    </xf>
    <xf numFmtId="0" fontId="15" fillId="0" borderId="0" xfId="14" applyFont="1" applyAlignment="1">
      <alignment horizontal="left" vertical="center"/>
    </xf>
    <xf numFmtId="0" fontId="15" fillId="0" borderId="0" xfId="0" applyFont="1"/>
    <xf numFmtId="0" fontId="44" fillId="0" borderId="0" xfId="14" applyFont="1" applyAlignment="1">
      <alignment horizontal="left" vertical="center"/>
    </xf>
    <xf numFmtId="0" fontId="16" fillId="4" borderId="5" xfId="14" applyFont="1" applyFill="1" applyBorder="1" applyAlignment="1">
      <alignment horizontal="center" vertical="center" wrapText="1"/>
    </xf>
    <xf numFmtId="0" fontId="19" fillId="0" borderId="0" xfId="10" applyFont="1" applyAlignment="1">
      <alignment horizontal="left"/>
    </xf>
    <xf numFmtId="0" fontId="16" fillId="4" borderId="4" xfId="68" applyFont="1" applyFill="1" applyBorder="1" applyAlignment="1">
      <alignment horizontal="center" vertical="center" wrapText="1"/>
    </xf>
    <xf numFmtId="0" fontId="15" fillId="6" borderId="0" xfId="68" applyFont="1" applyFill="1">
      <alignment vertical="center"/>
    </xf>
    <xf numFmtId="0" fontId="16" fillId="4" borderId="4" xfId="31" quotePrefix="1" applyFont="1" applyFill="1" applyBorder="1" applyAlignment="1">
      <alignment horizontal="center" vertical="center" wrapText="1"/>
    </xf>
    <xf numFmtId="0" fontId="16" fillId="6" borderId="0" xfId="31" applyFont="1" applyFill="1" applyAlignment="1">
      <alignment horizontal="left" vertical="top"/>
    </xf>
    <xf numFmtId="0" fontId="16" fillId="6" borderId="0" xfId="10" applyFont="1" applyFill="1" applyAlignment="1">
      <alignment horizontal="left" vertical="top"/>
    </xf>
    <xf numFmtId="0" fontId="32" fillId="6" borderId="0" xfId="10" applyFont="1" applyFill="1" applyAlignment="1">
      <alignment horizontal="left"/>
    </xf>
    <xf numFmtId="0" fontId="15" fillId="6" borderId="4" xfId="10" applyFont="1" applyFill="1" applyBorder="1"/>
    <xf numFmtId="0" fontId="15" fillId="0" borderId="0" xfId="68" applyFont="1">
      <alignment vertical="center"/>
    </xf>
    <xf numFmtId="0" fontId="15" fillId="0" borderId="4" xfId="68" applyFont="1" applyBorder="1">
      <alignment vertical="center"/>
    </xf>
    <xf numFmtId="0" fontId="15" fillId="0" borderId="4" xfId="68" applyFont="1" applyBorder="1" applyAlignment="1">
      <alignment horizontal="center" vertical="center"/>
    </xf>
    <xf numFmtId="0" fontId="16" fillId="0" borderId="4" xfId="68" applyFont="1" applyBorder="1">
      <alignment vertical="center"/>
    </xf>
    <xf numFmtId="0" fontId="16" fillId="0" borderId="0" xfId="68" applyFont="1">
      <alignment vertical="center"/>
    </xf>
    <xf numFmtId="0" fontId="16" fillId="0" borderId="4" xfId="31" applyFont="1" applyBorder="1" applyAlignment="1">
      <alignment horizontal="center" vertical="center" wrapText="1"/>
    </xf>
    <xf numFmtId="0" fontId="16" fillId="0" borderId="7" xfId="31" applyFont="1" applyBorder="1" applyAlignment="1">
      <alignment horizontal="center" vertical="center" wrapText="1"/>
    </xf>
    <xf numFmtId="0" fontId="16" fillId="0" borderId="6" xfId="68" applyFont="1" applyBorder="1" applyAlignment="1">
      <alignment horizontal="center" vertical="center"/>
    </xf>
    <xf numFmtId="0" fontId="16" fillId="7" borderId="7" xfId="31" applyFont="1" applyFill="1" applyBorder="1" applyAlignment="1">
      <alignment horizontal="center" vertical="center" wrapText="1"/>
    </xf>
    <xf numFmtId="0" fontId="15" fillId="0" borderId="0" xfId="68" applyFont="1" applyAlignment="1">
      <alignment horizontal="center" vertical="center"/>
    </xf>
    <xf numFmtId="0" fontId="16" fillId="0" borderId="0" xfId="68" applyFont="1" applyAlignment="1">
      <alignment horizontal="left" vertical="center"/>
    </xf>
    <xf numFmtId="0" fontId="24" fillId="6" borderId="4" xfId="14" applyFont="1" applyFill="1" applyBorder="1">
      <alignment vertical="center"/>
    </xf>
    <xf numFmtId="0" fontId="24" fillId="6" borderId="4" xfId="14" applyFont="1" applyFill="1" applyBorder="1" applyAlignment="1">
      <alignment horizontal="left" vertical="center"/>
    </xf>
    <xf numFmtId="0" fontId="17" fillId="6" borderId="0" xfId="14" applyFont="1" applyFill="1">
      <alignment vertical="center"/>
    </xf>
    <xf numFmtId="0" fontId="18" fillId="6" borderId="0" xfId="14" applyFont="1" applyFill="1">
      <alignment vertical="center"/>
    </xf>
    <xf numFmtId="0" fontId="16" fillId="4" borderId="4" xfId="14" applyFont="1" applyFill="1" applyBorder="1" applyAlignment="1">
      <alignment horizontal="center" vertical="center"/>
    </xf>
    <xf numFmtId="0" fontId="16" fillId="7" borderId="4" xfId="14" applyFont="1" applyFill="1" applyBorder="1" applyAlignment="1">
      <alignment horizontal="center" vertical="center" wrapText="1"/>
    </xf>
    <xf numFmtId="0" fontId="37" fillId="7" borderId="4" xfId="10" applyFont="1" applyFill="1" applyBorder="1" applyAlignment="1">
      <alignment horizontal="center" vertical="center"/>
    </xf>
    <xf numFmtId="0" fontId="16" fillId="7" borderId="4" xfId="14" applyFont="1" applyFill="1" applyBorder="1" applyAlignment="1">
      <alignment horizontal="center" vertical="center"/>
    </xf>
    <xf numFmtId="0" fontId="15" fillId="6" borderId="0" xfId="10" applyFont="1" applyFill="1" applyAlignment="1">
      <alignment horizontal="center"/>
    </xf>
    <xf numFmtId="0" fontId="44" fillId="0" borderId="0" xfId="14" applyFont="1">
      <alignment vertical="center"/>
    </xf>
    <xf numFmtId="0" fontId="15" fillId="5" borderId="4" xfId="10" applyFont="1" applyFill="1" applyBorder="1" applyAlignment="1">
      <alignment horizontal="center" wrapText="1"/>
    </xf>
    <xf numFmtId="0" fontId="16" fillId="4" borderId="4" xfId="10" applyFont="1" applyFill="1" applyBorder="1" applyAlignment="1">
      <alignment horizontal="center" vertical="center"/>
    </xf>
    <xf numFmtId="164" fontId="15" fillId="0" borderId="4" xfId="69" applyFont="1" applyBorder="1" applyAlignment="1">
      <alignment vertical="center"/>
    </xf>
    <xf numFmtId="164" fontId="15" fillId="6" borderId="4" xfId="69" applyFont="1" applyFill="1" applyBorder="1" applyAlignment="1">
      <alignment vertical="center"/>
    </xf>
    <xf numFmtId="164" fontId="15" fillId="0" borderId="4" xfId="14" applyNumberFormat="1" applyFont="1" applyBorder="1">
      <alignment vertical="center"/>
    </xf>
    <xf numFmtId="0" fontId="16" fillId="0" borderId="4" xfId="10" applyFont="1" applyBorder="1" applyAlignment="1">
      <alignment horizontal="left"/>
    </xf>
    <xf numFmtId="164" fontId="16" fillId="5" borderId="4" xfId="69" applyFont="1" applyFill="1" applyBorder="1" applyAlignment="1" applyProtection="1">
      <alignment horizontal="left"/>
    </xf>
    <xf numFmtId="9" fontId="17" fillId="0" borderId="0" xfId="14" applyNumberFormat="1" applyFont="1">
      <alignment vertical="center"/>
    </xf>
    <xf numFmtId="1" fontId="17" fillId="0" borderId="0" xfId="14" applyNumberFormat="1" applyFont="1">
      <alignment vertical="center"/>
    </xf>
    <xf numFmtId="164" fontId="16" fillId="0" borderId="4" xfId="69" applyFont="1" applyBorder="1"/>
    <xf numFmtId="164" fontId="15" fillId="5" borderId="4" xfId="69" applyFont="1" applyFill="1" applyBorder="1" applyAlignment="1" applyProtection="1">
      <alignment horizontal="left"/>
    </xf>
    <xf numFmtId="164" fontId="15" fillId="0" borderId="4" xfId="69" applyFont="1" applyFill="1" applyBorder="1" applyAlignment="1">
      <alignment vertical="center"/>
    </xf>
    <xf numFmtId="164" fontId="25" fillId="0" borderId="4" xfId="69" applyFont="1" applyFill="1" applyBorder="1" applyAlignment="1">
      <alignment horizontal="center" vertical="center" wrapText="1"/>
    </xf>
    <xf numFmtId="164" fontId="15" fillId="0" borderId="0" xfId="69" applyFont="1" applyBorder="1" applyAlignment="1">
      <alignment vertical="center"/>
    </xf>
    <xf numFmtId="164" fontId="15" fillId="0" borderId="4" xfId="69" applyFont="1" applyFill="1" applyBorder="1" applyAlignment="1" applyProtection="1">
      <alignment horizontal="left" vertical="center"/>
    </xf>
    <xf numFmtId="164" fontId="15" fillId="0" borderId="0" xfId="69" applyFont="1" applyFill="1" applyBorder="1" applyAlignment="1">
      <alignment vertical="center"/>
    </xf>
    <xf numFmtId="164" fontId="16" fillId="0" borderId="4" xfId="69" applyFont="1" applyBorder="1" applyAlignment="1">
      <alignment vertical="center"/>
    </xf>
    <xf numFmtId="164" fontId="15" fillId="0" borderId="0" xfId="69" applyFont="1" applyAlignment="1">
      <alignment vertical="center"/>
    </xf>
    <xf numFmtId="164" fontId="15" fillId="0" borderId="4" xfId="69" applyFont="1" applyBorder="1" applyAlignment="1">
      <alignment vertical="top" wrapText="1"/>
    </xf>
    <xf numFmtId="9" fontId="15" fillId="0" borderId="4" xfId="14" applyNumberFormat="1" applyFont="1" applyBorder="1">
      <alignment vertical="center"/>
    </xf>
    <xf numFmtId="9" fontId="15" fillId="0" borderId="4" xfId="70" applyFont="1" applyBorder="1" applyAlignment="1">
      <alignment vertical="center"/>
    </xf>
    <xf numFmtId="164" fontId="17" fillId="0" borderId="4" xfId="69" applyFont="1" applyBorder="1" applyAlignment="1">
      <alignment vertical="center"/>
    </xf>
    <xf numFmtId="2" fontId="17" fillId="0" borderId="4" xfId="14" applyNumberFormat="1" applyFont="1" applyBorder="1">
      <alignment vertical="center"/>
    </xf>
    <xf numFmtId="164" fontId="17" fillId="0" borderId="4" xfId="14" applyNumberFormat="1" applyFont="1" applyBorder="1">
      <alignment vertical="center"/>
    </xf>
    <xf numFmtId="164" fontId="17" fillId="0" borderId="4" xfId="69" applyFont="1" applyFill="1" applyBorder="1" applyAlignment="1">
      <alignment vertical="center"/>
    </xf>
    <xf numFmtId="164" fontId="17" fillId="0" borderId="0" xfId="69" applyFont="1"/>
    <xf numFmtId="0" fontId="20" fillId="0" borderId="4" xfId="10" applyFont="1" applyBorder="1" applyAlignment="1">
      <alignment horizontal="left" vertical="center"/>
    </xf>
    <xf numFmtId="0" fontId="20" fillId="0" borderId="4" xfId="10" applyFont="1" applyBorder="1" applyAlignment="1">
      <alignment horizontal="left"/>
    </xf>
    <xf numFmtId="164" fontId="15" fillId="0" borderId="4" xfId="69" applyFont="1" applyBorder="1"/>
    <xf numFmtId="2" fontId="15" fillId="5" borderId="0" xfId="10" applyNumberFormat="1" applyFont="1" applyFill="1"/>
    <xf numFmtId="164" fontId="16" fillId="0" borderId="4" xfId="69" applyFont="1" applyBorder="1" applyAlignment="1">
      <alignment horizontal="left" vertical="top"/>
    </xf>
    <xf numFmtId="164" fontId="15" fillId="0" borderId="4" xfId="69" applyFont="1" applyBorder="1" applyAlignment="1">
      <alignment horizontal="left" vertical="top"/>
    </xf>
    <xf numFmtId="164" fontId="15" fillId="6" borderId="4" xfId="69" applyFont="1" applyFill="1" applyBorder="1" applyAlignment="1">
      <alignment horizontal="left" vertical="top"/>
    </xf>
    <xf numFmtId="164" fontId="15" fillId="6" borderId="4" xfId="69" applyFont="1" applyFill="1" applyBorder="1" applyAlignment="1">
      <alignment horizontal="left" vertical="top" wrapText="1"/>
    </xf>
    <xf numFmtId="164" fontId="15" fillId="0" borderId="4" xfId="69" applyFont="1" applyFill="1" applyBorder="1" applyAlignment="1" applyProtection="1">
      <alignment horizontal="left"/>
    </xf>
    <xf numFmtId="164" fontId="18" fillId="0" borderId="4" xfId="69" applyFont="1" applyFill="1" applyBorder="1" applyAlignment="1">
      <alignment vertical="center"/>
    </xf>
    <xf numFmtId="164" fontId="18" fillId="0" borderId="4" xfId="69" applyFont="1" applyFill="1" applyBorder="1" applyAlignment="1">
      <alignment horizontal="center" vertical="center"/>
    </xf>
    <xf numFmtId="0" fontId="24" fillId="5" borderId="4" xfId="14" applyFont="1" applyFill="1" applyBorder="1" applyAlignment="1">
      <alignment horizontal="center" vertical="center" wrapText="1"/>
    </xf>
    <xf numFmtId="10" fontId="15" fillId="0" borderId="4" xfId="70" applyNumberFormat="1" applyFont="1" applyFill="1" applyBorder="1" applyAlignment="1">
      <alignment vertical="center"/>
    </xf>
    <xf numFmtId="164" fontId="15" fillId="0" borderId="4" xfId="69" applyFont="1" applyFill="1" applyBorder="1" applyAlignment="1">
      <alignment vertical="top" wrapText="1"/>
    </xf>
    <xf numFmtId="164" fontId="16" fillId="0" borderId="4" xfId="69" applyFont="1" applyFill="1" applyBorder="1" applyAlignment="1">
      <alignment vertical="center"/>
    </xf>
    <xf numFmtId="164" fontId="15" fillId="0" borderId="0" xfId="14" applyNumberFormat="1" applyFont="1">
      <alignment vertical="center"/>
    </xf>
    <xf numFmtId="9" fontId="15" fillId="0" borderId="0" xfId="70" applyFont="1" applyBorder="1" applyAlignment="1">
      <alignment vertical="top"/>
    </xf>
    <xf numFmtId="0" fontId="16" fillId="4" borderId="4" xfId="31" applyFont="1" applyFill="1" applyBorder="1" applyAlignment="1">
      <alignment horizontal="center" vertical="center" wrapText="1"/>
    </xf>
    <xf numFmtId="0" fontId="20" fillId="5" borderId="4" xfId="14" applyFont="1" applyFill="1" applyBorder="1" applyAlignment="1">
      <alignment horizontal="center" wrapText="1"/>
    </xf>
    <xf numFmtId="0" fontId="20" fillId="5" borderId="4" xfId="14" applyFont="1" applyFill="1" applyBorder="1" applyAlignment="1">
      <alignment horizontal="left" vertical="center" wrapText="1"/>
    </xf>
    <xf numFmtId="0" fontId="24" fillId="5" borderId="4" xfId="14" quotePrefix="1" applyFont="1" applyFill="1" applyBorder="1" applyAlignment="1">
      <alignment horizontal="center" vertical="center" wrapText="1"/>
    </xf>
    <xf numFmtId="0" fontId="24" fillId="5" borderId="4" xfId="14" applyFont="1" applyFill="1" applyBorder="1" applyAlignment="1">
      <alignment horizontal="center" wrapText="1"/>
    </xf>
    <xf numFmtId="0" fontId="24" fillId="6" borderId="4" xfId="14" applyFont="1" applyFill="1" applyBorder="1" applyAlignment="1">
      <alignment horizontal="left" vertical="center" wrapText="1"/>
    </xf>
    <xf numFmtId="0" fontId="24" fillId="6" borderId="4" xfId="14" applyFont="1" applyFill="1" applyBorder="1" applyAlignment="1">
      <alignment horizontal="left" vertical="center" wrapText="1" indent="1"/>
    </xf>
    <xf numFmtId="0" fontId="24" fillId="6" borderId="4" xfId="14" applyFont="1" applyFill="1" applyBorder="1" applyAlignment="1">
      <alignment horizontal="left" vertical="center" wrapText="1" indent="2"/>
    </xf>
    <xf numFmtId="0" fontId="24" fillId="0" borderId="4" xfId="14" applyFont="1" applyBorder="1" applyAlignment="1">
      <alignment horizontal="left" vertical="center" wrapText="1"/>
    </xf>
    <xf numFmtId="0" fontId="24" fillId="6" borderId="4" xfId="14" applyFont="1" applyFill="1" applyBorder="1" applyAlignment="1">
      <alignment vertical="center" wrapText="1"/>
    </xf>
    <xf numFmtId="168" fontId="24" fillId="5" borderId="4" xfId="14" applyNumberFormat="1" applyFont="1" applyFill="1" applyBorder="1" applyAlignment="1">
      <alignment horizontal="center" wrapText="1"/>
    </xf>
    <xf numFmtId="2" fontId="24" fillId="5" borderId="4" xfId="14" applyNumberFormat="1" applyFont="1" applyFill="1" applyBorder="1" applyAlignment="1">
      <alignment horizontal="center" vertical="center" wrapText="1"/>
    </xf>
    <xf numFmtId="2" fontId="24" fillId="5" borderId="4" xfId="14" applyNumberFormat="1" applyFont="1" applyFill="1" applyBorder="1" applyAlignment="1">
      <alignment horizontal="center" wrapText="1"/>
    </xf>
    <xf numFmtId="0" fontId="20" fillId="0" borderId="4" xfId="10" applyFont="1" applyBorder="1" applyAlignment="1">
      <alignment horizontal="center"/>
    </xf>
    <xf numFmtId="0" fontId="24" fillId="0" borderId="4" xfId="10" applyFont="1" applyBorder="1" applyAlignment="1">
      <alignment horizontal="center"/>
    </xf>
    <xf numFmtId="0" fontId="24" fillId="0" borderId="4" xfId="10" applyFont="1" applyBorder="1" applyAlignment="1">
      <alignment vertical="top"/>
    </xf>
    <xf numFmtId="9" fontId="24" fillId="5" borderId="4" xfId="70" applyFont="1" applyFill="1" applyBorder="1" applyAlignment="1">
      <alignment horizontal="center" vertical="center" wrapText="1"/>
    </xf>
    <xf numFmtId="0" fontId="20" fillId="5" borderId="4" xfId="14" applyFont="1" applyFill="1" applyBorder="1" applyAlignment="1">
      <alignment horizontal="center" vertical="center" wrapText="1"/>
    </xf>
    <xf numFmtId="0" fontId="24" fillId="0" borderId="4" xfId="14" applyFont="1" applyBorder="1" applyAlignment="1">
      <alignment horizontal="center" vertical="center" wrapText="1"/>
    </xf>
    <xf numFmtId="0" fontId="20" fillId="0" borderId="4" xfId="14" applyFont="1" applyBorder="1" applyAlignment="1">
      <alignment horizontal="center" vertical="center" wrapText="1"/>
    </xf>
    <xf numFmtId="10" fontId="24" fillId="5" borderId="4" xfId="70" applyNumberFormat="1" applyFont="1" applyFill="1" applyBorder="1" applyAlignment="1">
      <alignment horizontal="center" vertical="center" wrapText="1"/>
    </xf>
    <xf numFmtId="0" fontId="20" fillId="0" borderId="4" xfId="10" applyFont="1" applyBorder="1"/>
    <xf numFmtId="0" fontId="20" fillId="6" borderId="4" xfId="14" applyFont="1" applyFill="1" applyBorder="1" applyAlignment="1">
      <alignment horizontal="left" vertical="center" wrapText="1"/>
    </xf>
    <xf numFmtId="9" fontId="24" fillId="6" borderId="4" xfId="70" applyFont="1" applyFill="1" applyBorder="1" applyAlignment="1">
      <alignment horizontal="left" vertical="center" wrapText="1"/>
    </xf>
    <xf numFmtId="175" fontId="24" fillId="5" borderId="4" xfId="69" applyNumberFormat="1" applyFont="1" applyFill="1" applyBorder="1" applyAlignment="1">
      <alignment horizontal="center" vertical="center" wrapText="1"/>
    </xf>
    <xf numFmtId="0" fontId="20" fillId="6" borderId="4" xfId="14" applyFont="1" applyFill="1" applyBorder="1" applyAlignment="1">
      <alignment vertical="center" wrapText="1"/>
    </xf>
    <xf numFmtId="0" fontId="23" fillId="5" borderId="4" xfId="10" applyFont="1" applyFill="1" applyBorder="1" applyAlignment="1">
      <alignment horizontal="center" vertical="center"/>
    </xf>
    <xf numFmtId="0" fontId="24" fillId="0" borderId="4" xfId="10" applyFont="1" applyBorder="1"/>
    <xf numFmtId="0" fontId="24" fillId="0" borderId="4" xfId="10" applyFont="1" applyBorder="1" applyAlignment="1">
      <alignment horizontal="left"/>
    </xf>
    <xf numFmtId="0" fontId="20" fillId="5" borderId="4" xfId="10" applyFont="1" applyFill="1" applyBorder="1" applyAlignment="1">
      <alignment vertical="top" wrapText="1"/>
    </xf>
    <xf numFmtId="164" fontId="20" fillId="0" borderId="4" xfId="69" applyFont="1" applyFill="1" applyBorder="1"/>
    <xf numFmtId="0" fontId="20" fillId="5" borderId="4" xfId="10" applyFont="1" applyFill="1" applyBorder="1" applyAlignment="1">
      <alignment horizontal="center" vertical="center"/>
    </xf>
    <xf numFmtId="0" fontId="20" fillId="5" borderId="4" xfId="10" applyFont="1" applyFill="1" applyBorder="1" applyAlignment="1">
      <alignment horizontal="center"/>
    </xf>
    <xf numFmtId="0" fontId="24" fillId="5" borderId="4" xfId="10" applyFont="1" applyFill="1" applyBorder="1"/>
    <xf numFmtId="0" fontId="16" fillId="0" borderId="4" xfId="10" applyFont="1" applyBorder="1" applyAlignment="1">
      <alignment vertical="center" wrapText="1"/>
    </xf>
    <xf numFmtId="0" fontId="15" fillId="0" borderId="4" xfId="10" applyFont="1" applyBorder="1" applyAlignment="1">
      <alignment vertical="center" wrapText="1"/>
    </xf>
    <xf numFmtId="0" fontId="24" fillId="0" borderId="4" xfId="14" applyFont="1" applyBorder="1" applyAlignment="1">
      <alignment vertical="center" wrapText="1"/>
    </xf>
    <xf numFmtId="164" fontId="20" fillId="0" borderId="4" xfId="69" applyFont="1" applyFill="1" applyBorder="1" applyAlignment="1">
      <alignment horizontal="center" vertical="center" wrapText="1"/>
    </xf>
    <xf numFmtId="0" fontId="20" fillId="0" borderId="4" xfId="10" applyFont="1" applyBorder="1" applyAlignment="1">
      <alignment vertical="top" wrapText="1"/>
    </xf>
    <xf numFmtId="0" fontId="24" fillId="0" borderId="4" xfId="10" applyFont="1" applyBorder="1" applyAlignment="1">
      <alignment vertical="top" wrapText="1"/>
    </xf>
    <xf numFmtId="0" fontId="20" fillId="0" borderId="4" xfId="10" applyFont="1" applyBorder="1" applyAlignment="1">
      <alignment horizontal="center" vertical="center"/>
    </xf>
    <xf numFmtId="0" fontId="16" fillId="0" borderId="4" xfId="10" applyFont="1" applyBorder="1" applyAlignment="1">
      <alignment vertical="center"/>
    </xf>
    <xf numFmtId="176" fontId="15" fillId="0" borderId="0" xfId="69" applyNumberFormat="1" applyFont="1" applyAlignment="1">
      <alignment vertical="center"/>
    </xf>
    <xf numFmtId="176" fontId="15" fillId="5" borderId="4" xfId="69" applyNumberFormat="1" applyFont="1" applyFill="1" applyBorder="1" applyAlignment="1" applyProtection="1">
      <alignment horizontal="left"/>
    </xf>
    <xf numFmtId="176" fontId="16" fillId="5" borderId="4" xfId="69" applyNumberFormat="1" applyFont="1" applyFill="1" applyBorder="1" applyAlignment="1" applyProtection="1">
      <alignment horizontal="left"/>
    </xf>
    <xf numFmtId="176" fontId="15" fillId="0" borderId="4" xfId="69" applyNumberFormat="1" applyFont="1" applyBorder="1"/>
    <xf numFmtId="176" fontId="16" fillId="0" borderId="4" xfId="69" applyNumberFormat="1" applyFont="1" applyFill="1" applyBorder="1" applyAlignment="1">
      <alignment vertical="center"/>
    </xf>
    <xf numFmtId="176" fontId="15" fillId="5" borderId="4" xfId="69" quotePrefix="1" applyNumberFormat="1" applyFont="1" applyFill="1" applyBorder="1" applyAlignment="1">
      <alignment horizontal="left" vertical="top" wrapText="1"/>
    </xf>
    <xf numFmtId="176" fontId="15" fillId="5" borderId="0" xfId="69" quotePrefix="1" applyNumberFormat="1" applyFont="1" applyFill="1" applyBorder="1" applyAlignment="1">
      <alignment horizontal="left" vertical="top" wrapText="1"/>
    </xf>
    <xf numFmtId="176" fontId="15" fillId="0" borderId="0" xfId="69" applyNumberFormat="1" applyFont="1" applyBorder="1" applyAlignment="1">
      <alignment vertical="center"/>
    </xf>
    <xf numFmtId="164" fontId="15" fillId="0" borderId="4" xfId="69" applyFont="1" applyFill="1" applyBorder="1"/>
    <xf numFmtId="164" fontId="16" fillId="0" borderId="4" xfId="69" applyFont="1" applyFill="1" applyBorder="1"/>
    <xf numFmtId="0" fontId="15" fillId="0" borderId="4" xfId="10" quotePrefix="1" applyFont="1" applyBorder="1" applyAlignment="1">
      <alignment horizontal="left" vertical="top" wrapText="1"/>
    </xf>
    <xf numFmtId="0" fontId="15" fillId="0" borderId="4" xfId="10" applyFont="1" applyBorder="1" applyAlignment="1">
      <alignment horizontal="left" vertical="top" wrapText="1"/>
    </xf>
    <xf numFmtId="0" fontId="38" fillId="0" borderId="4" xfId="0" applyFont="1" applyBorder="1"/>
    <xf numFmtId="10" fontId="24" fillId="0" borderId="4" xfId="70" applyNumberFormat="1" applyFont="1" applyFill="1" applyBorder="1" applyAlignment="1">
      <alignment vertical="center"/>
    </xf>
    <xf numFmtId="164" fontId="16" fillId="0" borderId="4" xfId="69" applyFont="1" applyFill="1" applyBorder="1" applyAlignment="1">
      <alignment vertical="top" wrapText="1"/>
    </xf>
    <xf numFmtId="10" fontId="15" fillId="0" borderId="4" xfId="40" applyNumberFormat="1" applyFont="1" applyFill="1" applyBorder="1" applyAlignment="1">
      <alignment horizontal="center" vertical="center"/>
    </xf>
    <xf numFmtId="164" fontId="16" fillId="0" borderId="4" xfId="69" applyFont="1" applyFill="1" applyBorder="1" applyAlignment="1">
      <alignment horizontal="center" vertical="center"/>
    </xf>
    <xf numFmtId="9" fontId="17" fillId="0" borderId="4" xfId="14" applyNumberFormat="1" applyFont="1" applyBorder="1">
      <alignment vertical="center"/>
    </xf>
    <xf numFmtId="10" fontId="15" fillId="14" borderId="0" xfId="70" applyNumberFormat="1" applyFont="1" applyFill="1" applyBorder="1"/>
    <xf numFmtId="10" fontId="15" fillId="0" borderId="0" xfId="70" applyNumberFormat="1" applyFont="1" applyBorder="1"/>
    <xf numFmtId="0" fontId="20" fillId="0" borderId="4" xfId="14" applyFont="1" applyBorder="1" applyAlignment="1">
      <alignment horizontal="left" vertical="center" wrapText="1"/>
    </xf>
    <xf numFmtId="0" fontId="20" fillId="0" borderId="4" xfId="14" applyFont="1" applyBorder="1" applyAlignment="1">
      <alignment horizontal="center" wrapText="1"/>
    </xf>
    <xf numFmtId="0" fontId="24" fillId="0" borderId="4" xfId="14" quotePrefix="1" applyFont="1" applyBorder="1" applyAlignment="1">
      <alignment horizontal="center" vertical="center" wrapText="1"/>
    </xf>
    <xf numFmtId="164" fontId="15" fillId="0" borderId="4" xfId="69" applyFont="1" applyFill="1" applyBorder="1" applyAlignment="1">
      <alignment horizontal="left" vertical="top"/>
    </xf>
    <xf numFmtId="164" fontId="15" fillId="0" borderId="4" xfId="69" applyFont="1" applyFill="1" applyBorder="1" applyAlignment="1">
      <alignment horizontal="left" vertical="top" wrapText="1"/>
    </xf>
    <xf numFmtId="43" fontId="17" fillId="0" borderId="0" xfId="14" applyNumberFormat="1" applyFont="1">
      <alignment vertical="center"/>
    </xf>
    <xf numFmtId="9" fontId="15" fillId="14" borderId="0" xfId="70" applyFont="1" applyFill="1" applyBorder="1" applyAlignment="1">
      <alignment vertical="top"/>
    </xf>
    <xf numFmtId="175" fontId="24" fillId="0" borderId="4" xfId="69" applyNumberFormat="1" applyFont="1" applyFill="1" applyBorder="1" applyAlignment="1">
      <alignment horizontal="center" vertical="center" wrapText="1"/>
    </xf>
    <xf numFmtId="9" fontId="24" fillId="0" borderId="4" xfId="70" applyFont="1" applyFill="1" applyBorder="1" applyAlignment="1">
      <alignment horizontal="left" vertical="center" wrapText="1"/>
    </xf>
    <xf numFmtId="9" fontId="24" fillId="0" borderId="4" xfId="70" applyFont="1" applyFill="1" applyBorder="1" applyAlignment="1">
      <alignment horizontal="center" vertical="center" wrapText="1"/>
    </xf>
    <xf numFmtId="9" fontId="24" fillId="0" borderId="4" xfId="70" applyFont="1" applyFill="1" applyBorder="1" applyAlignment="1">
      <alignment vertical="top"/>
    </xf>
    <xf numFmtId="9" fontId="15" fillId="0" borderId="0" xfId="70" applyFont="1" applyFill="1" applyBorder="1" applyAlignment="1">
      <alignment vertical="top"/>
    </xf>
    <xf numFmtId="0" fontId="24" fillId="0" borderId="4" xfId="14" applyFont="1" applyBorder="1" applyAlignment="1">
      <alignment horizontal="center" wrapText="1"/>
    </xf>
    <xf numFmtId="10" fontId="15" fillId="5" borderId="4" xfId="70" applyNumberFormat="1" applyFont="1" applyFill="1" applyBorder="1" applyAlignment="1">
      <alignment horizontal="center" vertical="center" wrapText="1"/>
    </xf>
    <xf numFmtId="177" fontId="15" fillId="0" borderId="4" xfId="69" applyNumberFormat="1" applyFont="1" applyFill="1" applyBorder="1" applyAlignment="1">
      <alignment horizontal="center" vertical="center"/>
    </xf>
    <xf numFmtId="177" fontId="16" fillId="0" borderId="4" xfId="69" applyNumberFormat="1" applyFont="1" applyFill="1" applyBorder="1" applyAlignment="1">
      <alignment horizontal="center" vertical="center"/>
    </xf>
    <xf numFmtId="164" fontId="16" fillId="0" borderId="0" xfId="69" applyFont="1" applyAlignment="1">
      <alignment horizontal="left" vertical="top"/>
    </xf>
    <xf numFmtId="164" fontId="16" fillId="14" borderId="0" xfId="69" applyFont="1" applyFill="1" applyAlignment="1">
      <alignment horizontal="center" vertical="top"/>
    </xf>
    <xf numFmtId="164" fontId="32" fillId="0" borderId="0" xfId="69" applyFont="1" applyAlignment="1">
      <alignment horizontal="left"/>
    </xf>
    <xf numFmtId="164" fontId="15" fillId="0" borderId="4" xfId="69" applyFont="1" applyFill="1" applyBorder="1" applyAlignment="1" applyProtection="1">
      <alignment vertical="center" wrapText="1"/>
    </xf>
    <xf numFmtId="164" fontId="15" fillId="0" borderId="4" xfId="69" applyFont="1" applyBorder="1" applyAlignment="1">
      <alignment vertical="center" wrapText="1"/>
    </xf>
    <xf numFmtId="164" fontId="15" fillId="0" borderId="4" xfId="69" applyFont="1" applyFill="1" applyBorder="1" applyAlignment="1" applyProtection="1">
      <alignment vertical="center"/>
    </xf>
    <xf numFmtId="164" fontId="16" fillId="0" borderId="4" xfId="69" applyFont="1" applyFill="1" applyBorder="1" applyAlignment="1" applyProtection="1">
      <alignment vertical="center"/>
    </xf>
    <xf numFmtId="0" fontId="20" fillId="0" borderId="4" xfId="14" applyFont="1" applyBorder="1" applyAlignment="1">
      <alignment horizontal="left" vertical="center"/>
    </xf>
    <xf numFmtId="164" fontId="17" fillId="0" borderId="4" xfId="69" applyFont="1" applyFill="1" applyBorder="1" applyAlignment="1">
      <alignment horizontal="center" vertical="center"/>
    </xf>
    <xf numFmtId="0" fontId="17" fillId="0" borderId="4" xfId="71" applyFont="1" applyBorder="1" applyAlignment="1">
      <alignment vertical="center" wrapText="1"/>
    </xf>
    <xf numFmtId="0" fontId="17" fillId="0" borderId="4" xfId="71" applyFont="1" applyBorder="1" applyAlignment="1">
      <alignment horizontal="center" vertical="center" wrapText="1"/>
    </xf>
    <xf numFmtId="164" fontId="15" fillId="0" borderId="4" xfId="29" applyFont="1" applyFill="1" applyBorder="1" applyAlignment="1">
      <alignment vertical="center"/>
    </xf>
    <xf numFmtId="0" fontId="15" fillId="0" borderId="0" xfId="10" applyFont="1" applyAlignment="1">
      <alignment horizontal="center" vertical="center"/>
    </xf>
    <xf numFmtId="164" fontId="15" fillId="0" borderId="0" xfId="29" applyFont="1" applyFill="1" applyAlignment="1">
      <alignment horizontal="center" vertical="center"/>
    </xf>
    <xf numFmtId="0" fontId="15" fillId="0" borderId="0" xfId="10" applyFont="1" applyAlignment="1">
      <alignment vertical="center" wrapText="1"/>
    </xf>
    <xf numFmtId="0" fontId="16" fillId="0" borderId="4" xfId="14" applyFont="1" applyBorder="1" applyAlignment="1">
      <alignment horizontal="center" vertical="center" wrapText="1"/>
    </xf>
    <xf numFmtId="176" fontId="20" fillId="0" borderId="4" xfId="29" applyNumberFormat="1" applyFont="1" applyFill="1" applyBorder="1" applyAlignment="1">
      <alignment horizontal="center"/>
    </xf>
    <xf numFmtId="9" fontId="15" fillId="0" borderId="4" xfId="40" applyFont="1" applyBorder="1" applyAlignment="1">
      <alignment vertical="top"/>
    </xf>
    <xf numFmtId="164" fontId="16" fillId="0" borderId="4" xfId="14" applyNumberFormat="1" applyFont="1" applyBorder="1">
      <alignment vertical="center"/>
    </xf>
    <xf numFmtId="164" fontId="16" fillId="0" borderId="4" xfId="29" applyFont="1" applyFill="1" applyBorder="1" applyAlignment="1">
      <alignment vertical="center"/>
    </xf>
    <xf numFmtId="2" fontId="15" fillId="0" borderId="4" xfId="14" applyNumberFormat="1" applyFont="1" applyBorder="1">
      <alignment vertical="center"/>
    </xf>
    <xf numFmtId="0" fontId="15" fillId="0" borderId="4" xfId="14" applyFont="1" applyBorder="1" applyAlignment="1">
      <alignment vertical="top"/>
    </xf>
    <xf numFmtId="43" fontId="15" fillId="0" borderId="0" xfId="14" applyNumberFormat="1" applyFont="1">
      <alignment vertical="center"/>
    </xf>
    <xf numFmtId="164" fontId="24" fillId="0" borderId="4" xfId="69" applyFont="1" applyFill="1" applyBorder="1" applyAlignment="1">
      <alignment horizontal="center" vertical="center" wrapText="1"/>
    </xf>
    <xf numFmtId="164" fontId="15" fillId="0" borderId="4" xfId="69" applyFont="1" applyFill="1" applyBorder="1" applyAlignment="1">
      <alignment horizontal="center" vertical="center" wrapText="1"/>
    </xf>
    <xf numFmtId="164" fontId="24" fillId="0" borderId="4" xfId="69" applyFont="1" applyFill="1" applyBorder="1" applyAlignment="1">
      <alignment vertical="top"/>
    </xf>
    <xf numFmtId="164" fontId="24" fillId="0" borderId="4" xfId="69" quotePrefix="1" applyFont="1" applyFill="1" applyBorder="1" applyAlignment="1">
      <alignment horizontal="center" vertical="center" wrapText="1"/>
    </xf>
    <xf numFmtId="164" fontId="20" fillId="0" borderId="4" xfId="69" applyFont="1" applyFill="1" applyBorder="1" applyAlignment="1">
      <alignment vertical="top"/>
    </xf>
    <xf numFmtId="10" fontId="15" fillId="0" borderId="4" xfId="70" applyNumberFormat="1" applyFont="1" applyFill="1" applyBorder="1" applyAlignment="1">
      <alignment horizontal="center" vertical="center"/>
    </xf>
    <xf numFmtId="169" fontId="24" fillId="0" borderId="4" xfId="69" applyNumberFormat="1" applyFont="1" applyFill="1" applyBorder="1" applyAlignment="1">
      <alignment vertical="top"/>
    </xf>
    <xf numFmtId="0" fontId="53" fillId="0" borderId="0" xfId="0" applyFont="1"/>
    <xf numFmtId="0" fontId="53" fillId="0" borderId="0" xfId="0" applyFont="1" applyAlignment="1">
      <alignment horizontal="left"/>
    </xf>
    <xf numFmtId="0" fontId="55" fillId="0" borderId="4" xfId="0" applyFont="1" applyBorder="1" applyAlignment="1">
      <alignment horizontal="left" vertical="center"/>
    </xf>
    <xf numFmtId="0" fontId="55" fillId="0" borderId="4" xfId="0" applyFont="1" applyBorder="1" applyAlignment="1">
      <alignment horizontal="left" vertical="center" wrapText="1"/>
    </xf>
    <xf numFmtId="0" fontId="53" fillId="0" borderId="4" xfId="0" applyFont="1" applyBorder="1" applyAlignment="1">
      <alignment horizontal="center"/>
    </xf>
    <xf numFmtId="0" fontId="56" fillId="0" borderId="4" xfId="0" applyFont="1" applyBorder="1" applyAlignment="1">
      <alignment horizontal="left" vertical="center" wrapText="1"/>
    </xf>
    <xf numFmtId="0" fontId="54" fillId="0" borderId="0" xfId="0" applyFont="1" applyAlignment="1">
      <alignment horizontal="left"/>
    </xf>
    <xf numFmtId="0" fontId="16" fillId="0" borderId="5" xfId="14" applyFont="1" applyBorder="1">
      <alignment vertical="center"/>
    </xf>
    <xf numFmtId="0" fontId="16" fillId="0" borderId="4" xfId="14" applyFont="1" applyBorder="1" applyAlignment="1">
      <alignment horizontal="left" vertical="center"/>
    </xf>
    <xf numFmtId="164" fontId="24" fillId="0" borderId="4" xfId="69" applyFont="1" applyFill="1" applyBorder="1" applyAlignment="1">
      <alignment vertical="center"/>
    </xf>
    <xf numFmtId="164" fontId="15" fillId="0" borderId="4" xfId="69" quotePrefix="1" applyFont="1" applyFill="1" applyBorder="1" applyAlignment="1">
      <alignment horizontal="center" vertical="center"/>
    </xf>
    <xf numFmtId="0" fontId="16" fillId="6" borderId="0" xfId="14" applyFont="1" applyFill="1">
      <alignment vertical="center"/>
    </xf>
    <xf numFmtId="0" fontId="16" fillId="6" borderId="0" xfId="10" applyFont="1" applyFill="1" applyAlignment="1">
      <alignment vertical="center"/>
    </xf>
    <xf numFmtId="10" fontId="16" fillId="0" borderId="4" xfId="70" applyNumberFormat="1" applyFont="1" applyFill="1" applyBorder="1" applyAlignment="1">
      <alignment vertical="center"/>
    </xf>
    <xf numFmtId="10" fontId="15" fillId="0" borderId="4" xfId="70" applyNumberFormat="1" applyFont="1" applyFill="1" applyBorder="1" applyAlignment="1">
      <alignment horizontal="center" vertical="center" wrapText="1"/>
    </xf>
    <xf numFmtId="10" fontId="24" fillId="0" borderId="4" xfId="70" applyNumberFormat="1" applyFont="1" applyFill="1" applyBorder="1" applyAlignment="1">
      <alignment horizontal="center" vertical="center" wrapText="1"/>
    </xf>
    <xf numFmtId="175" fontId="24" fillId="0" borderId="4" xfId="70" applyNumberFormat="1" applyFont="1" applyFill="1" applyBorder="1" applyAlignment="1">
      <alignment horizontal="center" vertical="center" wrapText="1"/>
    </xf>
    <xf numFmtId="10" fontId="24" fillId="0" borderId="4" xfId="70" applyNumberFormat="1" applyFont="1" applyFill="1" applyBorder="1" applyAlignment="1">
      <alignment vertical="center" wrapText="1"/>
    </xf>
    <xf numFmtId="10" fontId="24" fillId="0" borderId="4" xfId="70" applyNumberFormat="1" applyFont="1" applyFill="1" applyBorder="1" applyAlignment="1">
      <alignment vertical="top"/>
    </xf>
    <xf numFmtId="10" fontId="15" fillId="0" borderId="0" xfId="70" applyNumberFormat="1" applyFont="1" applyFill="1" applyBorder="1" applyAlignment="1">
      <alignment vertical="top"/>
    </xf>
    <xf numFmtId="2" fontId="24" fillId="0" borderId="4" xfId="14" applyNumberFormat="1" applyFont="1" applyBorder="1" applyAlignment="1">
      <alignment horizontal="center" vertical="center" wrapText="1"/>
    </xf>
    <xf numFmtId="10" fontId="24" fillId="0" borderId="4" xfId="70" applyNumberFormat="1" applyFont="1" applyFill="1" applyBorder="1" applyAlignment="1"/>
    <xf numFmtId="10" fontId="24" fillId="0" borderId="4" xfId="70" applyNumberFormat="1" applyFont="1" applyFill="1" applyBorder="1" applyAlignment="1">
      <alignment wrapText="1"/>
    </xf>
    <xf numFmtId="164" fontId="24" fillId="0" borderId="4" xfId="69" applyFont="1" applyFill="1" applyBorder="1" applyAlignment="1">
      <alignment horizontal="right" vertical="center" wrapText="1"/>
    </xf>
    <xf numFmtId="10" fontId="24" fillId="0" borderId="4" xfId="70" applyNumberFormat="1" applyFont="1" applyFill="1" applyBorder="1" applyAlignment="1">
      <alignment horizontal="right" vertical="center" wrapText="1"/>
    </xf>
    <xf numFmtId="164" fontId="24" fillId="0" borderId="4" xfId="69" applyFont="1" applyFill="1" applyBorder="1" applyAlignment="1">
      <alignment horizontal="right" vertical="center"/>
    </xf>
    <xf numFmtId="164" fontId="24" fillId="0" borderId="4" xfId="69" quotePrefix="1" applyFont="1" applyFill="1" applyBorder="1" applyAlignment="1">
      <alignment horizontal="right" vertical="center" wrapText="1"/>
    </xf>
    <xf numFmtId="176" fontId="15" fillId="0" borderId="4" xfId="69" applyNumberFormat="1" applyFont="1" applyFill="1" applyBorder="1" applyAlignment="1">
      <alignment horizontal="center" vertical="center"/>
    </xf>
    <xf numFmtId="0" fontId="15" fillId="0" borderId="4" xfId="10" applyFont="1" applyBorder="1" applyAlignment="1">
      <alignment horizontal="left" vertical="center" wrapText="1"/>
    </xf>
    <xf numFmtId="0" fontId="16" fillId="5" borderId="0" xfId="10" applyFont="1" applyFill="1" applyAlignment="1">
      <alignment horizontal="left" vertical="center" wrapText="1"/>
    </xf>
    <xf numFmtId="0" fontId="15" fillId="5" borderId="0" xfId="10" applyFont="1" applyFill="1" applyAlignment="1">
      <alignment horizontal="left" vertical="center"/>
    </xf>
    <xf numFmtId="0" fontId="15" fillId="0" borderId="4" xfId="14" applyFont="1" applyBorder="1" applyAlignment="1">
      <alignment horizontal="left" vertical="center" wrapText="1"/>
    </xf>
    <xf numFmtId="0" fontId="15" fillId="0" borderId="0" xfId="10" applyFont="1" applyAlignment="1">
      <alignment horizontal="center" vertical="center" wrapText="1"/>
    </xf>
    <xf numFmtId="14" fontId="15" fillId="0" borderId="0" xfId="10" applyNumberFormat="1" applyFont="1" applyAlignment="1">
      <alignment horizontal="center" vertical="center" wrapText="1"/>
    </xf>
    <xf numFmtId="10" fontId="15" fillId="0" borderId="0" xfId="40" applyNumberFormat="1" applyFont="1" applyFill="1" applyAlignment="1">
      <alignment horizontal="center" vertical="center"/>
    </xf>
    <xf numFmtId="10" fontId="15" fillId="0" borderId="0" xfId="10" applyNumberFormat="1" applyFont="1" applyAlignment="1">
      <alignment horizontal="center" vertical="center"/>
    </xf>
    <xf numFmtId="164" fontId="15" fillId="0" borderId="4" xfId="29" applyFont="1" applyFill="1" applyBorder="1" applyAlignment="1">
      <alignment horizontal="center" vertical="center" wrapText="1"/>
    </xf>
    <xf numFmtId="10" fontId="34" fillId="5" borderId="4" xfId="70" applyNumberFormat="1" applyFont="1" applyFill="1" applyBorder="1" applyAlignment="1">
      <alignment horizontal="center" vertical="center" wrapText="1"/>
    </xf>
    <xf numFmtId="10" fontId="51" fillId="0" borderId="4" xfId="70" applyNumberFormat="1" applyFont="1" applyFill="1" applyBorder="1" applyAlignment="1">
      <alignment horizontal="center" vertical="center" wrapText="1"/>
    </xf>
    <xf numFmtId="164" fontId="15" fillId="0" borderId="4" xfId="29" applyFont="1" applyFill="1" applyBorder="1" applyAlignment="1">
      <alignment horizontal="center" vertical="center"/>
    </xf>
    <xf numFmtId="10" fontId="15" fillId="0" borderId="4" xfId="14" applyNumberFormat="1" applyFont="1" applyBorder="1">
      <alignment vertical="center"/>
    </xf>
    <xf numFmtId="10" fontId="15" fillId="0" borderId="4" xfId="70" applyNumberFormat="1" applyFont="1" applyBorder="1" applyAlignment="1">
      <alignment vertical="center"/>
    </xf>
    <xf numFmtId="179" fontId="17" fillId="0" borderId="4" xfId="70" applyNumberFormat="1" applyFont="1" applyFill="1" applyBorder="1" applyAlignment="1">
      <alignment horizontal="center" vertical="center"/>
    </xf>
    <xf numFmtId="10" fontId="15" fillId="0" borderId="4" xfId="70" applyNumberFormat="1" applyFont="1" applyFill="1" applyBorder="1" applyAlignment="1" applyProtection="1">
      <alignment vertical="center" wrapText="1"/>
    </xf>
    <xf numFmtId="10" fontId="15" fillId="0" borderId="4" xfId="70" applyNumberFormat="1" applyFont="1" applyBorder="1" applyAlignment="1">
      <alignment vertical="center" wrapText="1"/>
    </xf>
    <xf numFmtId="10" fontId="15" fillId="0" borderId="4" xfId="70" applyNumberFormat="1" applyFont="1" applyFill="1" applyBorder="1" applyAlignment="1" applyProtection="1">
      <alignment vertical="center"/>
    </xf>
    <xf numFmtId="10" fontId="15" fillId="0" borderId="0" xfId="70" applyNumberFormat="1" applyFont="1" applyAlignment="1">
      <alignment vertical="center"/>
    </xf>
    <xf numFmtId="0" fontId="15" fillId="9" borderId="4" xfId="14" applyFont="1" applyFill="1" applyBorder="1" applyAlignment="1">
      <alignment horizontal="center" vertical="center"/>
    </xf>
    <xf numFmtId="43" fontId="15" fillId="0" borderId="0" xfId="10" applyNumberFormat="1" applyFont="1"/>
    <xf numFmtId="2" fontId="15" fillId="0" borderId="0" xfId="14" applyNumberFormat="1" applyFont="1">
      <alignment vertical="center"/>
    </xf>
    <xf numFmtId="0" fontId="38" fillId="0" borderId="4" xfId="10" applyFont="1" applyBorder="1" applyAlignment="1">
      <alignment horizontal="center"/>
    </xf>
    <xf numFmtId="0" fontId="37" fillId="0" borderId="4" xfId="10" applyFont="1" applyBorder="1" applyAlignment="1">
      <alignment horizontal="center"/>
    </xf>
    <xf numFmtId="0" fontId="38" fillId="0" borderId="4" xfId="10" applyFont="1" applyBorder="1"/>
    <xf numFmtId="0" fontId="37" fillId="7" borderId="4" xfId="10" applyFont="1" applyFill="1" applyBorder="1" applyAlignment="1">
      <alignment horizontal="center" vertical="center" wrapText="1"/>
    </xf>
    <xf numFmtId="164" fontId="15" fillId="0" borderId="0" xfId="69" applyFont="1" applyFill="1"/>
    <xf numFmtId="0" fontId="16" fillId="0" borderId="7" xfId="14" applyFont="1" applyBorder="1" applyAlignment="1">
      <alignment horizontal="center" vertical="center"/>
    </xf>
    <xf numFmtId="164" fontId="53" fillId="0" borderId="4" xfId="69" applyFont="1" applyFill="1" applyBorder="1"/>
    <xf numFmtId="10" fontId="53" fillId="0" borderId="4" xfId="0" applyNumberFormat="1" applyFont="1" applyBorder="1"/>
    <xf numFmtId="164" fontId="15" fillId="0" borderId="4" xfId="69" applyFont="1" applyFill="1" applyBorder="1" applyAlignment="1">
      <alignment horizontal="center" vertical="center"/>
    </xf>
    <xf numFmtId="10" fontId="24" fillId="0" borderId="4" xfId="70" applyNumberFormat="1" applyFont="1" applyBorder="1" applyAlignment="1">
      <alignment vertical="top"/>
    </xf>
    <xf numFmtId="180" fontId="24" fillId="0" borderId="4" xfId="70" applyNumberFormat="1" applyFont="1" applyFill="1" applyBorder="1" applyAlignment="1">
      <alignment wrapText="1"/>
    </xf>
    <xf numFmtId="180" fontId="24" fillId="0" borderId="4" xfId="70" applyNumberFormat="1" applyFont="1" applyFill="1" applyBorder="1" applyAlignment="1">
      <alignment vertical="top"/>
    </xf>
    <xf numFmtId="10" fontId="24" fillId="0" borderId="4" xfId="40" applyNumberFormat="1" applyFont="1" applyFill="1" applyBorder="1" applyAlignment="1"/>
    <xf numFmtId="164" fontId="24" fillId="0" borderId="4" xfId="29" applyFont="1" applyFill="1" applyBorder="1" applyAlignment="1">
      <alignment horizontal="right" vertical="center"/>
    </xf>
    <xf numFmtId="10" fontId="24" fillId="0" borderId="4" xfId="40" applyNumberFormat="1" applyFont="1" applyFill="1" applyBorder="1" applyAlignment="1">
      <alignment horizontal="right" vertical="center"/>
    </xf>
    <xf numFmtId="164" fontId="15" fillId="0" borderId="4" xfId="29" quotePrefix="1" applyFont="1" applyFill="1" applyBorder="1" applyAlignment="1">
      <alignment horizontal="center" vertical="center"/>
    </xf>
    <xf numFmtId="164" fontId="24" fillId="0" borderId="4" xfId="29" quotePrefix="1" applyFont="1" applyFill="1" applyBorder="1" applyAlignment="1">
      <alignment horizontal="right" vertical="center"/>
    </xf>
    <xf numFmtId="164" fontId="24" fillId="0" borderId="4" xfId="29" applyFont="1" applyFill="1" applyBorder="1" applyAlignment="1">
      <alignment horizontal="center" vertical="center"/>
    </xf>
    <xf numFmtId="164" fontId="24" fillId="0" borderId="4" xfId="29" quotePrefix="1" applyFont="1" applyFill="1" applyBorder="1" applyAlignment="1">
      <alignment horizontal="center" vertical="center"/>
    </xf>
    <xf numFmtId="169" fontId="24" fillId="0" borderId="4" xfId="29" quotePrefix="1" applyNumberFormat="1" applyFont="1" applyFill="1" applyBorder="1" applyAlignment="1">
      <alignment vertical="center"/>
    </xf>
    <xf numFmtId="164" fontId="24" fillId="0" borderId="4" xfId="29" applyFont="1" applyFill="1" applyBorder="1" applyAlignment="1">
      <alignment vertical="center"/>
    </xf>
    <xf numFmtId="164" fontId="15" fillId="0" borderId="4" xfId="69" applyFont="1" applyFill="1" applyBorder="1" applyAlignment="1">
      <alignment horizontal="left" vertical="center"/>
    </xf>
    <xf numFmtId="164" fontId="15" fillId="0" borderId="4" xfId="14" applyNumberFormat="1" applyFont="1" applyBorder="1" applyAlignment="1">
      <alignment horizontal="left" vertical="center"/>
    </xf>
    <xf numFmtId="0" fontId="49" fillId="0" borderId="0" xfId="14" applyFont="1">
      <alignment vertical="center"/>
    </xf>
    <xf numFmtId="43" fontId="49" fillId="0" borderId="0" xfId="14" applyNumberFormat="1" applyFont="1">
      <alignment vertical="center"/>
    </xf>
    <xf numFmtId="164" fontId="49" fillId="0" borderId="0" xfId="14" applyNumberFormat="1" applyFont="1">
      <alignment vertical="center"/>
    </xf>
    <xf numFmtId="0" fontId="37" fillId="0" borderId="4" xfId="10" applyFont="1" applyBorder="1" applyAlignment="1">
      <alignment horizontal="center" vertical="center"/>
    </xf>
    <xf numFmtId="0" fontId="37" fillId="0" borderId="4" xfId="10" applyFont="1" applyBorder="1" applyAlignment="1">
      <alignment vertical="center"/>
    </xf>
    <xf numFmtId="164" fontId="37" fillId="0" borderId="4" xfId="10" applyNumberFormat="1" applyFont="1" applyBorder="1" applyAlignment="1">
      <alignment horizontal="center"/>
    </xf>
    <xf numFmtId="0" fontId="38" fillId="0" borderId="4" xfId="10" applyFont="1" applyBorder="1" applyAlignment="1">
      <alignment vertical="center"/>
    </xf>
    <xf numFmtId="0" fontId="38" fillId="0" borderId="0" xfId="10" applyFont="1" applyAlignment="1">
      <alignment vertical="center"/>
    </xf>
    <xf numFmtId="0" fontId="38" fillId="0" borderId="4" xfId="10" applyFont="1" applyBorder="1" applyAlignment="1">
      <alignment horizontal="center" vertical="center"/>
    </xf>
    <xf numFmtId="0" fontId="15" fillId="0" borderId="4" xfId="14" applyFont="1" applyBorder="1" applyAlignment="1">
      <alignment horizontal="center"/>
    </xf>
    <xf numFmtId="0" fontId="37" fillId="0" borderId="4" xfId="10" applyFont="1" applyBorder="1"/>
    <xf numFmtId="164" fontId="37" fillId="0" borderId="4" xfId="69" applyFont="1" applyFill="1" applyBorder="1" applyAlignment="1"/>
    <xf numFmtId="174" fontId="15" fillId="0" borderId="4" xfId="14" applyNumberFormat="1" applyFont="1" applyBorder="1" applyAlignment="1">
      <alignment horizontal="center"/>
    </xf>
    <xf numFmtId="0" fontId="38" fillId="0" borderId="0" xfId="10" applyFont="1"/>
    <xf numFmtId="0" fontId="53" fillId="0" borderId="4" xfId="71" applyFont="1" applyBorder="1" applyAlignment="1">
      <alignment horizontal="center"/>
    </xf>
    <xf numFmtId="164" fontId="53" fillId="0" borderId="4" xfId="29" applyFont="1" applyBorder="1"/>
    <xf numFmtId="0" fontId="54" fillId="0" borderId="4" xfId="71" applyFont="1" applyBorder="1" applyAlignment="1">
      <alignment horizontal="center"/>
    </xf>
    <xf numFmtId="164" fontId="54" fillId="0" borderId="4" xfId="29" applyFont="1" applyBorder="1"/>
    <xf numFmtId="0" fontId="59" fillId="0" borderId="0" xfId="14" applyFont="1">
      <alignment vertical="center"/>
    </xf>
    <xf numFmtId="0" fontId="15" fillId="0" borderId="4" xfId="0" applyFont="1" applyBorder="1" applyAlignment="1">
      <alignment vertical="top"/>
    </xf>
    <xf numFmtId="10" fontId="15" fillId="14" borderId="0" xfId="40" applyNumberFormat="1" applyFont="1" applyFill="1" applyBorder="1"/>
    <xf numFmtId="164" fontId="15" fillId="0" borderId="4" xfId="29" applyFont="1" applyBorder="1" applyAlignment="1">
      <alignment horizontal="left" vertical="top"/>
    </xf>
    <xf numFmtId="0" fontId="15" fillId="7" borderId="4" xfId="10" applyFont="1" applyFill="1" applyBorder="1" applyAlignment="1">
      <alignment horizontal="center" vertical="center" wrapText="1"/>
    </xf>
    <xf numFmtId="0" fontId="37" fillId="7" borderId="6" xfId="10" applyFont="1" applyFill="1" applyBorder="1" applyAlignment="1">
      <alignment horizontal="center" vertical="center"/>
    </xf>
    <xf numFmtId="0" fontId="37" fillId="7" borderId="6" xfId="10" applyFont="1" applyFill="1" applyBorder="1" applyAlignment="1">
      <alignment horizontal="center" vertical="center" wrapText="1"/>
    </xf>
    <xf numFmtId="0" fontId="20" fillId="4" borderId="4" xfId="14" applyFont="1" applyFill="1" applyBorder="1" applyAlignment="1">
      <alignment horizontal="center" vertical="center" wrapText="1"/>
    </xf>
    <xf numFmtId="0" fontId="15" fillId="0" borderId="4" xfId="69" applyNumberFormat="1" applyFont="1" applyFill="1" applyBorder="1" applyAlignment="1">
      <alignment vertical="center"/>
    </xf>
    <xf numFmtId="164" fontId="15" fillId="0" borderId="0" xfId="69" applyFont="1" applyFill="1" applyBorder="1"/>
    <xf numFmtId="0" fontId="15" fillId="18" borderId="4" xfId="10" applyFont="1" applyFill="1" applyBorder="1" applyAlignment="1">
      <alignment horizontal="left"/>
    </xf>
    <xf numFmtId="164" fontId="15" fillId="18" borderId="4" xfId="69" applyFont="1" applyFill="1" applyBorder="1" applyAlignment="1" applyProtection="1">
      <alignment horizontal="left"/>
    </xf>
    <xf numFmtId="164" fontId="41" fillId="18" borderId="4" xfId="69" applyFont="1" applyFill="1" applyBorder="1"/>
    <xf numFmtId="164" fontId="16" fillId="0" borderId="0" xfId="29" applyFont="1" applyFill="1" applyBorder="1" applyAlignment="1">
      <alignment vertical="center"/>
    </xf>
    <xf numFmtId="164" fontId="15" fillId="0" borderId="0" xfId="29" applyFont="1" applyFill="1" applyBorder="1" applyAlignment="1">
      <alignment vertical="center"/>
    </xf>
    <xf numFmtId="0" fontId="15" fillId="0" borderId="0" xfId="14" applyFont="1" applyAlignment="1">
      <alignment vertical="top" wrapText="1"/>
    </xf>
    <xf numFmtId="164" fontId="16" fillId="0" borderId="0" xfId="69" applyFont="1" applyFill="1" applyBorder="1" applyAlignment="1">
      <alignment vertical="center"/>
    </xf>
    <xf numFmtId="0" fontId="15" fillId="0" borderId="0" xfId="14" applyFont="1" applyAlignment="1">
      <alignment horizontal="center" vertical="top" wrapText="1"/>
    </xf>
    <xf numFmtId="164" fontId="16" fillId="0" borderId="0" xfId="14" applyNumberFormat="1" applyFont="1">
      <alignment vertical="center"/>
    </xf>
    <xf numFmtId="0" fontId="15" fillId="0" borderId="0" xfId="15" applyFont="1">
      <alignment vertical="center"/>
    </xf>
    <xf numFmtId="0" fontId="15" fillId="0" borderId="0" xfId="14" applyFont="1" applyAlignment="1">
      <alignment vertical="center" wrapText="1"/>
    </xf>
    <xf numFmtId="10" fontId="15" fillId="0" borderId="0" xfId="70" applyNumberFormat="1" applyFont="1" applyFill="1" applyBorder="1" applyAlignment="1">
      <alignment horizontal="center" vertical="center" wrapText="1"/>
    </xf>
    <xf numFmtId="10" fontId="15" fillId="0" borderId="0" xfId="70" applyNumberFormat="1" applyFont="1" applyFill="1" applyBorder="1" applyAlignment="1">
      <alignment horizontal="center" vertical="center"/>
    </xf>
    <xf numFmtId="164" fontId="16" fillId="0" borderId="0" xfId="69" applyFont="1" applyFill="1" applyBorder="1"/>
    <xf numFmtId="10" fontId="15" fillId="0" borderId="0" xfId="70" applyNumberFormat="1" applyFont="1" applyFill="1" applyBorder="1"/>
    <xf numFmtId="164" fontId="24" fillId="0" borderId="4" xfId="29" quotePrefix="1" applyFont="1" applyFill="1" applyBorder="1" applyAlignment="1">
      <alignment horizontal="right" vertical="center" wrapText="1"/>
    </xf>
    <xf numFmtId="0" fontId="24" fillId="0" borderId="4" xfId="69" quotePrefix="1" applyNumberFormat="1" applyFont="1" applyFill="1" applyBorder="1" applyAlignment="1">
      <alignment horizontal="right" vertical="center" wrapText="1"/>
    </xf>
    <xf numFmtId="164" fontId="24" fillId="0" borderId="4" xfId="69" applyFont="1" applyFill="1" applyBorder="1" applyAlignment="1">
      <alignment horizontal="center" vertical="center"/>
    </xf>
    <xf numFmtId="178" fontId="15" fillId="0" borderId="4" xfId="69" applyNumberFormat="1" applyFont="1" applyFill="1" applyBorder="1" applyAlignment="1">
      <alignment horizontal="center" vertical="center"/>
    </xf>
    <xf numFmtId="164" fontId="15" fillId="10" borderId="4" xfId="69" applyFont="1" applyFill="1" applyBorder="1" applyAlignment="1">
      <alignment horizontal="center" vertical="center" wrapText="1"/>
    </xf>
    <xf numFmtId="10" fontId="15" fillId="17" borderId="4" xfId="70" applyNumberFormat="1" applyFont="1" applyFill="1" applyBorder="1" applyAlignment="1">
      <alignment horizontal="center" vertical="center" wrapText="1"/>
    </xf>
    <xf numFmtId="0" fontId="33" fillId="0" borderId="0" xfId="10" applyFont="1" applyAlignment="1">
      <alignment vertical="top" wrapText="1"/>
    </xf>
    <xf numFmtId="164" fontId="16" fillId="0" borderId="4" xfId="69" applyFont="1" applyFill="1" applyBorder="1" applyAlignment="1">
      <alignment vertical="center" wrapText="1"/>
    </xf>
    <xf numFmtId="0" fontId="59" fillId="0" borderId="4" xfId="14" applyFont="1" applyBorder="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vertical="center"/>
    </xf>
    <xf numFmtId="164" fontId="17" fillId="0" borderId="0" xfId="69" applyFont="1" applyFill="1" applyBorder="1" applyAlignment="1">
      <alignment horizontal="center" vertical="center"/>
    </xf>
    <xf numFmtId="164" fontId="18" fillId="0" borderId="0" xfId="69" applyFont="1" applyFill="1" applyBorder="1" applyAlignment="1">
      <alignment horizontal="center" vertical="center"/>
    </xf>
    <xf numFmtId="164" fontId="16" fillId="0" borderId="4" xfId="29" applyFont="1" applyFill="1" applyBorder="1"/>
    <xf numFmtId="43" fontId="16" fillId="0" borderId="4" xfId="29" applyNumberFormat="1" applyFont="1" applyFill="1" applyBorder="1"/>
    <xf numFmtId="10" fontId="15" fillId="14" borderId="0" xfId="40" applyNumberFormat="1" applyFont="1" applyFill="1" applyAlignment="1">
      <alignment horizontal="center" vertical="center"/>
    </xf>
    <xf numFmtId="10" fontId="15" fillId="14" borderId="0" xfId="10" applyNumberFormat="1" applyFont="1" applyFill="1" applyAlignment="1">
      <alignment horizontal="center" vertical="center"/>
    </xf>
    <xf numFmtId="10" fontId="15" fillId="14" borderId="0" xfId="10" applyNumberFormat="1" applyFont="1" applyFill="1" applyAlignment="1">
      <alignment horizontal="center" vertical="top"/>
    </xf>
    <xf numFmtId="177" fontId="15" fillId="0" borderId="4" xfId="29" applyNumberFormat="1" applyFont="1" applyFill="1" applyBorder="1" applyAlignment="1">
      <alignment vertical="center"/>
    </xf>
    <xf numFmtId="164" fontId="52" fillId="0" borderId="4" xfId="72" applyFont="1" applyFill="1" applyBorder="1" applyAlignment="1">
      <alignment vertical="center"/>
    </xf>
    <xf numFmtId="0" fontId="16" fillId="19" borderId="4" xfId="14" applyFont="1" applyFill="1" applyBorder="1">
      <alignment vertical="center"/>
    </xf>
    <xf numFmtId="0" fontId="16" fillId="19" borderId="4" xfId="14" applyFont="1" applyFill="1" applyBorder="1" applyAlignment="1">
      <alignment vertical="center" wrapText="1"/>
    </xf>
    <xf numFmtId="0" fontId="55" fillId="0" borderId="4" xfId="71" applyFont="1" applyBorder="1" applyAlignment="1">
      <alignment horizontal="left" vertical="center"/>
    </xf>
    <xf numFmtId="0" fontId="60" fillId="0" borderId="0" xfId="0" applyFont="1" applyAlignment="1">
      <alignment horizontal="left"/>
    </xf>
    <xf numFmtId="0" fontId="55" fillId="0" borderId="4" xfId="71" applyFont="1" applyBorder="1" applyAlignment="1">
      <alignment horizontal="left" vertical="center" wrapText="1"/>
    </xf>
    <xf numFmtId="0" fontId="61" fillId="0" borderId="4" xfId="71" applyFont="1" applyBorder="1" applyAlignment="1">
      <alignment horizontal="left" vertical="center" wrapText="1"/>
    </xf>
    <xf numFmtId="0" fontId="56" fillId="0" borderId="4" xfId="71" applyFont="1" applyBorder="1" applyAlignment="1">
      <alignment horizontal="left" vertical="center" wrapText="1"/>
    </xf>
    <xf numFmtId="0" fontId="54" fillId="0" borderId="4" xfId="0" applyFont="1" applyBorder="1" applyAlignment="1">
      <alignment horizontal="center"/>
    </xf>
    <xf numFmtId="164" fontId="54" fillId="0" borderId="4" xfId="69" applyFont="1" applyFill="1" applyBorder="1"/>
    <xf numFmtId="0" fontId="54" fillId="12" borderId="4" xfId="0" applyFont="1" applyFill="1" applyBorder="1" applyAlignment="1">
      <alignment horizontal="left"/>
    </xf>
    <xf numFmtId="0" fontId="54" fillId="12" borderId="4" xfId="0" applyFont="1" applyFill="1" applyBorder="1" applyAlignment="1">
      <alignment horizontal="center"/>
    </xf>
    <xf numFmtId="10" fontId="24" fillId="0" borderId="4" xfId="40" applyNumberFormat="1" applyFont="1" applyFill="1" applyBorder="1" applyAlignment="1">
      <alignment horizontal="center"/>
    </xf>
    <xf numFmtId="10" fontId="17" fillId="0" borderId="4" xfId="70" applyNumberFormat="1" applyFont="1" applyFill="1" applyBorder="1" applyAlignment="1">
      <alignment horizontal="center" vertical="center"/>
    </xf>
    <xf numFmtId="43" fontId="53" fillId="0" borderId="4" xfId="69" applyNumberFormat="1" applyFont="1" applyFill="1" applyBorder="1"/>
    <xf numFmtId="43" fontId="53" fillId="0" borderId="4" xfId="29" applyNumberFormat="1" applyFont="1" applyBorder="1" applyAlignment="1">
      <alignment vertical="center"/>
    </xf>
    <xf numFmtId="43" fontId="53" fillId="0" borderId="4" xfId="29" applyNumberFormat="1" applyFont="1" applyBorder="1"/>
    <xf numFmtId="0" fontId="53" fillId="20" borderId="0" xfId="0" applyFont="1" applyFill="1"/>
    <xf numFmtId="164" fontId="24" fillId="0" borderId="4" xfId="29" applyFont="1" applyFill="1" applyBorder="1" applyAlignment="1">
      <alignment horizontal="right" vertical="center" wrapText="1"/>
    </xf>
    <xf numFmtId="169" fontId="24" fillId="0" borderId="4" xfId="29" quotePrefix="1" applyNumberFormat="1" applyFont="1" applyFill="1" applyBorder="1" applyAlignment="1">
      <alignment horizontal="right" vertical="center" wrapText="1"/>
    </xf>
    <xf numFmtId="43" fontId="24" fillId="0" borderId="4" xfId="29" quotePrefix="1" applyNumberFormat="1" applyFont="1" applyFill="1" applyBorder="1" applyAlignment="1">
      <alignment horizontal="right" vertical="center" wrapText="1"/>
    </xf>
    <xf numFmtId="43" fontId="24" fillId="0" borderId="4" xfId="29" applyNumberFormat="1" applyFont="1" applyFill="1" applyBorder="1" applyAlignment="1">
      <alignment horizontal="right" vertical="center" wrapText="1"/>
    </xf>
    <xf numFmtId="0" fontId="0" fillId="0" borderId="5" xfId="0" applyBorder="1"/>
    <xf numFmtId="0" fontId="0" fillId="0" borderId="4" xfId="0" applyBorder="1"/>
    <xf numFmtId="164" fontId="15" fillId="0" borderId="8" xfId="69" applyFont="1" applyFill="1" applyBorder="1" applyAlignment="1">
      <alignment vertical="top" wrapText="1"/>
    </xf>
    <xf numFmtId="0" fontId="15" fillId="0" borderId="7" xfId="14" applyFont="1" applyBorder="1" applyAlignment="1">
      <alignment vertical="top" wrapText="1"/>
    </xf>
    <xf numFmtId="43" fontId="53" fillId="0" borderId="4" xfId="29" applyNumberFormat="1" applyFont="1" applyFill="1" applyBorder="1"/>
    <xf numFmtId="0" fontId="52" fillId="0" borderId="4" xfId="0" applyFont="1" applyBorder="1" applyAlignment="1">
      <alignment vertical="center"/>
    </xf>
    <xf numFmtId="0" fontId="62" fillId="0" borderId="4" xfId="0" applyFont="1" applyBorder="1" applyAlignment="1">
      <alignment vertical="center"/>
    </xf>
    <xf numFmtId="43" fontId="54" fillId="0" borderId="4" xfId="69" applyNumberFormat="1" applyFont="1" applyFill="1" applyBorder="1"/>
    <xf numFmtId="164" fontId="24" fillId="0" borderId="4" xfId="29" applyFont="1" applyFill="1" applyBorder="1" applyAlignment="1">
      <alignment horizontal="center" vertical="center" wrapText="1"/>
    </xf>
    <xf numFmtId="164" fontId="15" fillId="0" borderId="4" xfId="29" applyFont="1" applyFill="1" applyBorder="1"/>
    <xf numFmtId="164" fontId="15" fillId="0" borderId="4" xfId="29" applyFont="1" applyFill="1" applyBorder="1" applyAlignment="1" applyProtection="1">
      <alignment horizontal="left" vertical="center"/>
    </xf>
    <xf numFmtId="164" fontId="15" fillId="0" borderId="4" xfId="29" applyFont="1" applyBorder="1" applyAlignment="1">
      <alignment vertical="center"/>
    </xf>
    <xf numFmtId="164" fontId="16" fillId="0" borderId="4" xfId="69" applyFont="1" applyFill="1" applyBorder="1" applyAlignment="1" applyProtection="1">
      <alignment horizontal="left"/>
    </xf>
    <xf numFmtId="176" fontId="15" fillId="0" borderId="4" xfId="69" applyNumberFormat="1" applyFont="1" applyFill="1" applyBorder="1" applyAlignment="1" applyProtection="1">
      <alignment horizontal="left"/>
    </xf>
    <xf numFmtId="10" fontId="15" fillId="0" borderId="4" xfId="70" applyNumberFormat="1" applyFont="1" applyFill="1" applyBorder="1" applyAlignment="1" applyProtection="1">
      <alignment horizontal="left"/>
    </xf>
    <xf numFmtId="176" fontId="16" fillId="0" borderId="4" xfId="69" applyNumberFormat="1" applyFont="1" applyFill="1" applyBorder="1" applyAlignment="1" applyProtection="1">
      <alignment horizontal="left"/>
    </xf>
    <xf numFmtId="0" fontId="16" fillId="4" borderId="8" xfId="14" applyFont="1" applyFill="1" applyBorder="1" applyAlignment="1">
      <alignment horizontal="center" vertical="center" wrapText="1"/>
    </xf>
    <xf numFmtId="0" fontId="16" fillId="4" borderId="4" xfId="14" quotePrefix="1" applyFont="1" applyFill="1" applyBorder="1" applyAlignment="1">
      <alignment horizontal="center" vertical="center" wrapText="1"/>
    </xf>
    <xf numFmtId="0" fontId="16" fillId="4" borderId="4" xfId="10" applyFont="1" applyFill="1" applyBorder="1" applyAlignment="1">
      <alignment horizontal="center"/>
    </xf>
    <xf numFmtId="0" fontId="16" fillId="4" borderId="4" xfId="10" applyFont="1" applyFill="1" applyBorder="1" applyAlignment="1">
      <alignment horizontal="center" vertical="top" wrapText="1"/>
    </xf>
    <xf numFmtId="0" fontId="16" fillId="4" borderId="7" xfId="14" applyFont="1" applyFill="1" applyBorder="1" applyAlignment="1">
      <alignment horizontal="center" vertical="center" wrapText="1"/>
    </xf>
    <xf numFmtId="0" fontId="16" fillId="4" borderId="6" xfId="14" applyFont="1" applyFill="1" applyBorder="1" applyAlignment="1">
      <alignment horizontal="center" vertical="center" wrapText="1"/>
    </xf>
    <xf numFmtId="0" fontId="16" fillId="7" borderId="7" xfId="14" applyFont="1" applyFill="1" applyBorder="1" applyAlignment="1">
      <alignment horizontal="center" vertical="center" wrapText="1"/>
    </xf>
    <xf numFmtId="0" fontId="16" fillId="7" borderId="10" xfId="14" applyFont="1" applyFill="1" applyBorder="1" applyAlignment="1">
      <alignment horizontal="center" vertical="center" wrapText="1"/>
    </xf>
    <xf numFmtId="0" fontId="16" fillId="7" borderId="6" xfId="14" applyFont="1" applyFill="1" applyBorder="1" applyAlignment="1">
      <alignment horizontal="center" vertical="center" wrapText="1"/>
    </xf>
    <xf numFmtId="0" fontId="0" fillId="0" borderId="4" xfId="10" applyFont="1" applyBorder="1" applyAlignment="1">
      <alignment horizontal="center" vertical="center" wrapText="1"/>
    </xf>
    <xf numFmtId="0" fontId="0" fillId="0" borderId="4" xfId="10" applyFont="1" applyBorder="1" applyAlignment="1">
      <alignment horizontal="center" vertical="center"/>
    </xf>
    <xf numFmtId="0" fontId="15" fillId="5" borderId="7" xfId="10" applyFont="1" applyFill="1" applyBorder="1" applyAlignment="1">
      <alignment horizontal="center" vertical="top"/>
    </xf>
    <xf numFmtId="0" fontId="15" fillId="5" borderId="7" xfId="10" applyFont="1" applyFill="1" applyBorder="1" applyAlignment="1">
      <alignment horizontal="right" vertical="top"/>
    </xf>
    <xf numFmtId="0" fontId="16" fillId="0" borderId="8" xfId="10" applyFont="1" applyBorder="1" applyAlignment="1">
      <alignment horizontal="right"/>
    </xf>
    <xf numFmtId="0" fontId="15" fillId="5" borderId="6" xfId="10" applyFont="1" applyFill="1" applyBorder="1" applyAlignment="1">
      <alignment horizontal="center" vertical="top"/>
    </xf>
    <xf numFmtId="0" fontId="15" fillId="0" borderId="0" xfId="71" applyFont="1"/>
    <xf numFmtId="0" fontId="15" fillId="5" borderId="0" xfId="10" applyFont="1" applyFill="1" applyAlignment="1">
      <alignment vertical="center" wrapText="1"/>
    </xf>
    <xf numFmtId="0" fontId="25" fillId="0" borderId="0" xfId="71"/>
    <xf numFmtId="0" fontId="19" fillId="5" borderId="4" xfId="14" applyFont="1" applyFill="1" applyBorder="1" applyAlignment="1">
      <alignment horizontal="center" vertical="center" wrapText="1"/>
    </xf>
    <xf numFmtId="0" fontId="15" fillId="0" borderId="4" xfId="71" applyFont="1" applyBorder="1" applyAlignment="1">
      <alignment horizontal="center"/>
    </xf>
    <xf numFmtId="0" fontId="15" fillId="0" borderId="4" xfId="71" applyFont="1" applyBorder="1"/>
    <xf numFmtId="0" fontId="16" fillId="0" borderId="4" xfId="71" applyFont="1" applyBorder="1" applyAlignment="1">
      <alignment horizontal="center"/>
    </xf>
    <xf numFmtId="0" fontId="16" fillId="0" borderId="4" xfId="71" applyFont="1" applyBorder="1"/>
    <xf numFmtId="0" fontId="50" fillId="0" borderId="0" xfId="71" applyFont="1"/>
    <xf numFmtId="0" fontId="25" fillId="0" borderId="0" xfId="71" applyAlignment="1">
      <alignment vertical="center" wrapText="1"/>
    </xf>
    <xf numFmtId="0" fontId="15" fillId="0" borderId="4" xfId="10" applyFont="1" applyBorder="1" applyAlignment="1">
      <alignment horizontal="left" vertical="top"/>
    </xf>
    <xf numFmtId="164" fontId="15" fillId="0" borderId="4" xfId="29" applyFont="1" applyFill="1" applyBorder="1" applyAlignment="1">
      <alignment horizontal="left" vertical="top"/>
    </xf>
    <xf numFmtId="43" fontId="15" fillId="0" borderId="4" xfId="10" applyNumberFormat="1" applyFont="1" applyBorder="1"/>
    <xf numFmtId="0" fontId="16" fillId="0" borderId="0" xfId="10" applyFont="1" applyAlignment="1">
      <alignment vertical="center" wrapText="1"/>
    </xf>
    <xf numFmtId="164" fontId="15" fillId="0" borderId="4" xfId="29" applyFont="1" applyBorder="1"/>
    <xf numFmtId="164" fontId="16" fillId="0" borderId="4" xfId="29" applyFont="1" applyBorder="1" applyAlignment="1">
      <alignment horizontal="left" vertical="top"/>
    </xf>
    <xf numFmtId="0" fontId="15" fillId="0" borderId="11" xfId="71" applyFont="1" applyBorder="1"/>
    <xf numFmtId="0" fontId="15" fillId="0" borderId="16" xfId="71" applyFont="1" applyBorder="1"/>
    <xf numFmtId="0" fontId="16" fillId="4" borderId="4" xfId="71" applyFont="1" applyFill="1" applyBorder="1" applyAlignment="1">
      <alignment horizontal="center" vertical="top" wrapText="1"/>
    </xf>
    <xf numFmtId="0" fontId="15" fillId="0" borderId="0" xfId="71" applyFont="1" applyAlignment="1">
      <alignment vertical="top" wrapText="1"/>
    </xf>
    <xf numFmtId="0" fontId="15" fillId="0" borderId="0" xfId="10" applyFont="1" applyAlignment="1">
      <alignment horizontal="left" vertical="center" wrapText="1"/>
    </xf>
    <xf numFmtId="2" fontId="15" fillId="0" borderId="0" xfId="10" applyNumberFormat="1" applyFont="1" applyAlignment="1">
      <alignment horizontal="center" vertical="center" wrapText="1"/>
    </xf>
    <xf numFmtId="14" fontId="15" fillId="0" borderId="0" xfId="71" applyNumberFormat="1" applyFont="1"/>
    <xf numFmtId="2" fontId="15" fillId="0" borderId="0" xfId="71" applyNumberFormat="1" applyFont="1"/>
    <xf numFmtId="0" fontId="15" fillId="0" borderId="0" xfId="71" applyFont="1" applyAlignment="1">
      <alignment vertical="top"/>
    </xf>
    <xf numFmtId="0" fontId="15" fillId="0" borderId="0" xfId="71" applyFont="1" applyAlignment="1">
      <alignment vertical="center" wrapText="1"/>
    </xf>
    <xf numFmtId="0" fontId="16" fillId="0" borderId="0" xfId="71" applyFont="1" applyAlignment="1">
      <alignment vertical="top"/>
    </xf>
    <xf numFmtId="0" fontId="16" fillId="4" borderId="4" xfId="71" applyFont="1" applyFill="1" applyBorder="1" applyAlignment="1">
      <alignment horizontal="center" vertical="center"/>
    </xf>
    <xf numFmtId="0" fontId="16" fillId="4" borderId="4" xfId="71" applyFont="1" applyFill="1" applyBorder="1" applyAlignment="1">
      <alignment horizontal="center" vertical="center" wrapText="1"/>
    </xf>
    <xf numFmtId="0" fontId="15" fillId="0" borderId="0" xfId="71" applyFont="1" applyAlignment="1">
      <alignment horizontal="center" vertical="center"/>
    </xf>
    <xf numFmtId="0" fontId="16" fillId="0" borderId="4" xfId="71" applyFont="1" applyBorder="1" applyAlignment="1">
      <alignment horizontal="justify" vertical="top"/>
    </xf>
    <xf numFmtId="0" fontId="15" fillId="0" borderId="4" xfId="71" applyFont="1" applyBorder="1" applyAlignment="1">
      <alignment vertical="center"/>
    </xf>
    <xf numFmtId="0" fontId="15" fillId="0" borderId="4" xfId="71" applyFont="1" applyBorder="1" applyAlignment="1">
      <alignment horizontal="justify" vertical="top"/>
    </xf>
    <xf numFmtId="0" fontId="15" fillId="0" borderId="0" xfId="35" applyFont="1" applyAlignment="1">
      <alignment vertical="center"/>
    </xf>
    <xf numFmtId="0" fontId="15" fillId="0" borderId="11" xfId="35" applyFont="1" applyBorder="1" applyAlignment="1">
      <alignment vertical="center" wrapText="1"/>
    </xf>
    <xf numFmtId="0" fontId="15" fillId="0" borderId="11" xfId="35" applyFont="1" applyBorder="1"/>
    <xf numFmtId="0" fontId="15" fillId="0" borderId="0" xfId="35" applyFont="1"/>
    <xf numFmtId="2" fontId="15" fillId="0" borderId="0" xfId="35" applyNumberFormat="1" applyFont="1"/>
    <xf numFmtId="0" fontId="15" fillId="0" borderId="0" xfId="35" applyFont="1" applyAlignment="1">
      <alignment wrapText="1"/>
    </xf>
    <xf numFmtId="0" fontId="15" fillId="0" borderId="0" xfId="71" applyFont="1" applyAlignment="1">
      <alignment vertical="center"/>
    </xf>
    <xf numFmtId="0" fontId="16" fillId="0" borderId="0" xfId="71" applyFont="1" applyAlignment="1">
      <alignment vertical="center"/>
    </xf>
    <xf numFmtId="0" fontId="15" fillId="0" borderId="0" xfId="35" applyFont="1" applyAlignment="1">
      <alignment vertical="center" wrapText="1"/>
    </xf>
    <xf numFmtId="0" fontId="16" fillId="0" borderId="0" xfId="35" applyFont="1" applyAlignment="1">
      <alignment horizontal="right" wrapText="1"/>
    </xf>
    <xf numFmtId="0" fontId="15" fillId="0" borderId="0" xfId="35" applyFont="1" applyAlignment="1">
      <alignment horizontal="center"/>
    </xf>
    <xf numFmtId="0" fontId="15" fillId="0" borderId="0" xfId="35" applyFont="1" applyAlignment="1">
      <alignment horizontal="center" vertical="center"/>
    </xf>
    <xf numFmtId="0" fontId="16" fillId="4" borderId="4" xfId="35" applyFont="1" applyFill="1" applyBorder="1" applyAlignment="1">
      <alignment horizontal="center" vertical="center" wrapText="1"/>
    </xf>
    <xf numFmtId="0" fontId="15" fillId="0" borderId="0" xfId="35" applyFont="1" applyAlignment="1">
      <alignment horizontal="center" vertical="center" wrapText="1"/>
    </xf>
    <xf numFmtId="2" fontId="16" fillId="4" borderId="4" xfId="35" applyNumberFormat="1" applyFont="1" applyFill="1" applyBorder="1" applyAlignment="1">
      <alignment horizontal="center" vertical="center" wrapText="1"/>
    </xf>
    <xf numFmtId="0" fontId="16" fillId="0" borderId="4" xfId="35" applyFont="1" applyBorder="1" applyAlignment="1">
      <alignment vertical="top"/>
    </xf>
    <xf numFmtId="0" fontId="16" fillId="0" borderId="0" xfId="35" applyFont="1"/>
    <xf numFmtId="0" fontId="15" fillId="0" borderId="4" xfId="80" applyFont="1" applyBorder="1" applyAlignment="1">
      <alignment vertical="center" wrapText="1"/>
    </xf>
    <xf numFmtId="0" fontId="16" fillId="0" borderId="4" xfId="80" applyFont="1" applyBorder="1" applyAlignment="1">
      <alignment vertical="center" wrapText="1"/>
    </xf>
    <xf numFmtId="0" fontId="15" fillId="0" borderId="4" xfId="71" applyFont="1" applyBorder="1" applyAlignment="1">
      <alignment vertical="center" wrapText="1"/>
    </xf>
    <xf numFmtId="0" fontId="16" fillId="0" borderId="4" xfId="71" applyFont="1" applyBorder="1" applyAlignment="1">
      <alignment vertical="center" wrapText="1"/>
    </xf>
    <xf numFmtId="0" fontId="15" fillId="0" borderId="0" xfId="34" applyFont="1" applyAlignment="1">
      <alignment wrapText="1"/>
    </xf>
    <xf numFmtId="0" fontId="15" fillId="0" borderId="0" xfId="34" applyFont="1" applyAlignment="1">
      <alignment horizontal="center" wrapText="1"/>
    </xf>
    <xf numFmtId="0" fontId="16" fillId="0" borderId="0" xfId="71" applyFont="1" applyAlignment="1">
      <alignment horizontal="center" vertical="center"/>
    </xf>
    <xf numFmtId="0" fontId="16" fillId="7" borderId="4" xfId="71" applyFont="1" applyFill="1" applyBorder="1" applyAlignment="1">
      <alignment horizontal="center" vertical="center" wrapText="1"/>
    </xf>
    <xf numFmtId="1" fontId="16" fillId="7" borderId="4" xfId="71" applyNumberFormat="1" applyFont="1" applyFill="1" applyBorder="1" applyAlignment="1">
      <alignment horizontal="center" vertical="center" wrapText="1"/>
    </xf>
    <xf numFmtId="0" fontId="16" fillId="0" borderId="0" xfId="34" applyFont="1" applyAlignment="1">
      <alignment wrapText="1"/>
    </xf>
    <xf numFmtId="0" fontId="16" fillId="4" borderId="4" xfId="10" quotePrefix="1" applyFont="1" applyFill="1" applyBorder="1" applyAlignment="1">
      <alignment horizontal="center" vertical="top" wrapText="1"/>
    </xf>
    <xf numFmtId="0" fontId="16" fillId="0" borderId="4" xfId="10" applyFont="1" applyBorder="1" applyAlignment="1">
      <alignment horizontal="left" vertical="top" wrapText="1"/>
    </xf>
    <xf numFmtId="2" fontId="15" fillId="0" borderId="0" xfId="10" applyNumberFormat="1" applyFont="1"/>
    <xf numFmtId="9" fontId="15" fillId="0" borderId="0" xfId="40" applyFont="1" applyBorder="1"/>
    <xf numFmtId="10" fontId="15" fillId="0" borderId="0" xfId="40" applyNumberFormat="1" applyFont="1" applyBorder="1"/>
    <xf numFmtId="0" fontId="15" fillId="0" borderId="4" xfId="10" applyFont="1" applyBorder="1" applyAlignment="1">
      <alignment horizontal="right"/>
    </xf>
    <xf numFmtId="0" fontId="15" fillId="6" borderId="4" xfId="10" applyFont="1" applyFill="1" applyBorder="1" applyAlignment="1">
      <alignment horizontal="right"/>
    </xf>
    <xf numFmtId="182" fontId="15" fillId="0" borderId="0" xfId="40" applyNumberFormat="1" applyFont="1" applyBorder="1"/>
    <xf numFmtId="181" fontId="15" fillId="0" borderId="0" xfId="10" applyNumberFormat="1" applyFont="1"/>
    <xf numFmtId="2" fontId="16" fillId="0" borderId="0" xfId="10" applyNumberFormat="1" applyFont="1"/>
    <xf numFmtId="0" fontId="16" fillId="0" borderId="4" xfId="10" applyFont="1" applyBorder="1" applyAlignment="1">
      <alignment wrapText="1"/>
    </xf>
    <xf numFmtId="0" fontId="15" fillId="0" borderId="0" xfId="10" applyFont="1" applyAlignment="1">
      <alignment horizontal="left" vertical="top"/>
    </xf>
    <xf numFmtId="46" fontId="16" fillId="0" borderId="0" xfId="10" applyNumberFormat="1" applyFont="1" applyAlignment="1">
      <alignment horizontal="left"/>
    </xf>
    <xf numFmtId="164" fontId="16" fillId="0" borderId="0" xfId="10" applyNumberFormat="1" applyFont="1" applyAlignment="1">
      <alignment horizontal="center"/>
    </xf>
    <xf numFmtId="9" fontId="16" fillId="0" borderId="0" xfId="40" quotePrefix="1" applyFont="1" applyFill="1" applyBorder="1" applyAlignment="1">
      <alignment horizontal="right"/>
    </xf>
    <xf numFmtId="164" fontId="16" fillId="0" borderId="0" xfId="81" applyFont="1" applyFill="1" applyBorder="1" applyAlignment="1">
      <alignment horizontal="center"/>
    </xf>
    <xf numFmtId="164" fontId="16" fillId="0" borderId="0" xfId="81" quotePrefix="1" applyFont="1" applyFill="1" applyBorder="1" applyAlignment="1">
      <alignment horizontal="right"/>
    </xf>
    <xf numFmtId="2" fontId="16" fillId="0" borderId="0" xfId="10" applyNumberFormat="1" applyFont="1" applyAlignment="1">
      <alignment horizontal="center"/>
    </xf>
    <xf numFmtId="164" fontId="15" fillId="0" borderId="0" xfId="81" applyFont="1" applyFill="1" applyBorder="1"/>
    <xf numFmtId="174" fontId="15" fillId="0" borderId="0" xfId="10" applyNumberFormat="1" applyFont="1"/>
    <xf numFmtId="0" fontId="15" fillId="0" borderId="4" xfId="10" applyFont="1" applyBorder="1" applyAlignment="1">
      <alignment wrapText="1"/>
    </xf>
    <xf numFmtId="0" fontId="16" fillId="0" borderId="0" xfId="35" applyFont="1" applyAlignment="1">
      <alignment vertical="top"/>
    </xf>
    <xf numFmtId="0" fontId="16" fillId="0" borderId="0" xfId="35" applyFont="1" applyAlignment="1">
      <alignment horizontal="center" vertical="top"/>
    </xf>
    <xf numFmtId="0" fontId="16" fillId="4" borderId="4" xfId="35" applyFont="1" applyFill="1" applyBorder="1" applyAlignment="1">
      <alignment horizontal="center" vertical="top" wrapText="1"/>
    </xf>
    <xf numFmtId="0" fontId="15" fillId="0" borderId="4" xfId="35" applyFont="1" applyBorder="1"/>
    <xf numFmtId="0" fontId="16" fillId="0" borderId="4" xfId="35" applyFont="1" applyBorder="1" applyAlignment="1">
      <alignment horizontal="center" vertical="top" wrapText="1"/>
    </xf>
    <xf numFmtId="0" fontId="16" fillId="0" borderId="4" xfId="35" applyFont="1" applyBorder="1" applyAlignment="1">
      <alignment horizontal="left" vertical="top"/>
    </xf>
    <xf numFmtId="0" fontId="16" fillId="0" borderId="21" xfId="35" applyFont="1" applyBorder="1" applyAlignment="1">
      <alignment horizontal="center" vertical="top" wrapText="1"/>
    </xf>
    <xf numFmtId="0" fontId="16" fillId="0" borderId="7" xfId="35" applyFont="1" applyBorder="1" applyAlignment="1">
      <alignment horizontal="left" vertical="top"/>
    </xf>
    <xf numFmtId="0" fontId="16" fillId="0" borderId="20" xfId="35" applyFont="1" applyBorder="1" applyAlignment="1">
      <alignment horizontal="center" vertical="top" wrapText="1"/>
    </xf>
    <xf numFmtId="164" fontId="15" fillId="0" borderId="0" xfId="25" applyFont="1" applyBorder="1"/>
    <xf numFmtId="0" fontId="16" fillId="0" borderId="0" xfId="71" applyFont="1" applyAlignment="1">
      <alignment horizontal="right"/>
    </xf>
    <xf numFmtId="0" fontId="15" fillId="0" borderId="0" xfId="71" applyFont="1" applyAlignment="1">
      <alignment horizontal="center"/>
    </xf>
    <xf numFmtId="0" fontId="15" fillId="0" borderId="4" xfId="71" applyFont="1" applyBorder="1" applyAlignment="1">
      <alignment horizontal="left" vertical="top" wrapText="1"/>
    </xf>
    <xf numFmtId="0" fontId="15" fillId="0" borderId="4" xfId="71" applyFont="1" applyBorder="1" applyAlignment="1">
      <alignment horizontal="left"/>
    </xf>
    <xf numFmtId="0" fontId="16" fillId="0" borderId="4" xfId="71" applyFont="1" applyBorder="1" applyAlignment="1">
      <alignment horizontal="left" vertical="top" wrapText="1"/>
    </xf>
    <xf numFmtId="164" fontId="15" fillId="0" borderId="0" xfId="71" applyNumberFormat="1" applyFont="1"/>
    <xf numFmtId="0" fontId="16" fillId="6" borderId="0" xfId="82" applyFont="1" applyFill="1" applyAlignment="1">
      <alignment horizontal="center" vertical="center"/>
    </xf>
    <xf numFmtId="164" fontId="15" fillId="6" borderId="4" xfId="81" applyFont="1" applyFill="1" applyBorder="1"/>
    <xf numFmtId="164" fontId="15" fillId="0" borderId="4" xfId="81" applyFont="1" applyFill="1" applyBorder="1"/>
    <xf numFmtId="164" fontId="15" fillId="0" borderId="4" xfId="81" applyFont="1" applyBorder="1"/>
    <xf numFmtId="164" fontId="15" fillId="6" borderId="4" xfId="81" applyFont="1" applyFill="1" applyBorder="1" applyAlignment="1">
      <alignment horizontal="right"/>
    </xf>
    <xf numFmtId="0" fontId="16" fillId="6" borderId="4" xfId="10" applyFont="1" applyFill="1" applyBorder="1"/>
    <xf numFmtId="0" fontId="24" fillId="0" borderId="4" xfId="14" applyFont="1" applyBorder="1" applyAlignment="1">
      <alignment horizontal="left" vertical="center"/>
    </xf>
    <xf numFmtId="0" fontId="24" fillId="10" borderId="4" xfId="14" applyFont="1" applyFill="1" applyBorder="1" applyAlignment="1">
      <alignment horizontal="center" vertical="center"/>
    </xf>
    <xf numFmtId="0" fontId="20" fillId="10" borderId="4" xfId="14" applyFont="1" applyFill="1" applyBorder="1">
      <alignment vertical="center"/>
    </xf>
    <xf numFmtId="0" fontId="24" fillId="10" borderId="4" xfId="14" applyFont="1" applyFill="1" applyBorder="1" applyAlignment="1">
      <alignment horizontal="left" vertical="center"/>
    </xf>
    <xf numFmtId="0" fontId="24" fillId="0" borderId="7" xfId="14" applyFont="1" applyBorder="1" applyAlignment="1">
      <alignment horizontal="center" vertical="center"/>
    </xf>
    <xf numFmtId="0" fontId="24" fillId="6" borderId="7" xfId="14" applyFont="1" applyFill="1" applyBorder="1">
      <alignment vertical="center"/>
    </xf>
    <xf numFmtId="0" fontId="24" fillId="6" borderId="7" xfId="14" applyFont="1" applyFill="1" applyBorder="1" applyAlignment="1">
      <alignment horizontal="left" vertical="center"/>
    </xf>
    <xf numFmtId="0" fontId="16" fillId="4" borderId="10" xfId="14" applyFont="1" applyFill="1" applyBorder="1" applyAlignment="1">
      <alignment vertical="center" wrapText="1"/>
    </xf>
    <xf numFmtId="0" fontId="16" fillId="4" borderId="6" xfId="14" applyFont="1" applyFill="1" applyBorder="1" applyAlignment="1">
      <alignment vertical="center" wrapText="1"/>
    </xf>
    <xf numFmtId="0" fontId="15" fillId="0" borderId="4" xfId="29" applyNumberFormat="1" applyFont="1" applyBorder="1" applyAlignment="1">
      <alignment horizontal="left" vertical="top"/>
    </xf>
    <xf numFmtId="164" fontId="16" fillId="0" borderId="0" xfId="29" applyFont="1" applyAlignment="1">
      <alignment horizontal="left" vertical="top"/>
    </xf>
    <xf numFmtId="164" fontId="16" fillId="0" borderId="4" xfId="29" applyFont="1" applyFill="1" applyBorder="1" applyAlignment="1">
      <alignment horizontal="center" vertical="center"/>
    </xf>
    <xf numFmtId="164" fontId="24" fillId="0" borderId="4" xfId="29" applyFont="1" applyFill="1" applyBorder="1"/>
    <xf numFmtId="176" fontId="15" fillId="0" borderId="4" xfId="29" applyNumberFormat="1" applyFont="1" applyFill="1" applyBorder="1" applyAlignment="1">
      <alignment horizontal="center" vertical="center"/>
    </xf>
    <xf numFmtId="177" fontId="15" fillId="0" borderId="4" xfId="29" applyNumberFormat="1" applyFont="1" applyFill="1" applyBorder="1" applyAlignment="1">
      <alignment horizontal="center" vertical="center"/>
    </xf>
    <xf numFmtId="10" fontId="24" fillId="0" borderId="4" xfId="40" applyNumberFormat="1" applyFont="1" applyFill="1" applyBorder="1" applyAlignment="1">
      <alignment wrapText="1"/>
    </xf>
    <xf numFmtId="10" fontId="24" fillId="0" borderId="4" xfId="40" applyNumberFormat="1" applyFont="1" applyFill="1" applyBorder="1" applyAlignment="1">
      <alignment horizontal="right" vertical="center" wrapText="1"/>
    </xf>
    <xf numFmtId="0" fontId="16" fillId="7" borderId="4" xfId="10" applyFont="1" applyFill="1" applyBorder="1" applyAlignment="1">
      <alignment horizontal="center" vertical="center" wrapText="1"/>
    </xf>
    <xf numFmtId="0" fontId="16" fillId="7" borderId="4" xfId="10" applyFont="1" applyFill="1" applyBorder="1" applyAlignment="1">
      <alignment horizontal="center" vertical="center"/>
    </xf>
    <xf numFmtId="0" fontId="16" fillId="7" borderId="4" xfId="10" applyFont="1" applyFill="1" applyBorder="1" applyAlignment="1">
      <alignment horizontal="center" wrapText="1"/>
    </xf>
    <xf numFmtId="0" fontId="44" fillId="0" borderId="0" xfId="10" applyFont="1"/>
    <xf numFmtId="0" fontId="0" fillId="0" borderId="19" xfId="0" applyBorder="1"/>
    <xf numFmtId="172" fontId="15" fillId="5" borderId="4" xfId="10" applyNumberFormat="1" applyFont="1" applyFill="1" applyBorder="1" applyAlignment="1">
      <alignment horizontal="center"/>
    </xf>
    <xf numFmtId="173" fontId="15" fillId="5" borderId="4" xfId="10" applyNumberFormat="1" applyFont="1" applyFill="1" applyBorder="1" applyAlignment="1">
      <alignment horizontal="center"/>
    </xf>
    <xf numFmtId="0" fontId="25" fillId="0" borderId="19" xfId="0" applyFont="1" applyBorder="1"/>
    <xf numFmtId="9" fontId="0" fillId="0" borderId="8" xfId="0" applyNumberFormat="1" applyBorder="1" applyAlignment="1">
      <alignment horizontal="center"/>
    </xf>
    <xf numFmtId="0" fontId="63" fillId="0" borderId="19" xfId="0" applyFont="1" applyBorder="1"/>
    <xf numFmtId="0" fontId="63" fillId="0" borderId="8" xfId="0" applyFont="1" applyBorder="1" applyAlignment="1">
      <alignment horizontal="center"/>
    </xf>
    <xf numFmtId="43" fontId="37" fillId="0" borderId="4" xfId="0" applyNumberFormat="1" applyFont="1" applyBorder="1"/>
    <xf numFmtId="0" fontId="63" fillId="0" borderId="4" xfId="0" applyFont="1" applyBorder="1"/>
    <xf numFmtId="0" fontId="63" fillId="0" borderId="4" xfId="0" applyFont="1" applyBorder="1" applyAlignment="1">
      <alignment horizontal="center"/>
    </xf>
    <xf numFmtId="10" fontId="16" fillId="0" borderId="4" xfId="10" applyNumberFormat="1" applyFont="1" applyBorder="1"/>
    <xf numFmtId="0" fontId="38" fillId="0" borderId="4" xfId="0" applyFont="1" applyBorder="1" applyAlignment="1">
      <alignment horizontal="center"/>
    </xf>
    <xf numFmtId="43" fontId="50" fillId="0" borderId="4" xfId="73" applyFont="1" applyFill="1" applyBorder="1"/>
    <xf numFmtId="164" fontId="15" fillId="0" borderId="4" xfId="29" applyFont="1" applyFill="1" applyBorder="1" applyAlignment="1">
      <alignment horizontal="left"/>
    </xf>
    <xf numFmtId="164" fontId="33" fillId="0" borderId="6" xfId="29" applyFont="1" applyFill="1" applyBorder="1" applyAlignment="1">
      <alignment horizontal="center" vertical="center"/>
    </xf>
    <xf numFmtId="164" fontId="33" fillId="0" borderId="4" xfId="29" applyFont="1" applyFill="1" applyBorder="1" applyAlignment="1">
      <alignment horizontal="center" vertical="center"/>
    </xf>
    <xf numFmtId="164" fontId="16" fillId="0" borderId="4" xfId="29" applyFont="1" applyFill="1" applyBorder="1" applyAlignment="1" applyProtection="1">
      <alignment horizontal="center" vertical="center" wrapText="1"/>
    </xf>
    <xf numFmtId="0" fontId="16" fillId="12" borderId="4" xfId="10" applyFont="1" applyFill="1" applyBorder="1"/>
    <xf numFmtId="0" fontId="16" fillId="12" borderId="4" xfId="10" applyFont="1" applyFill="1" applyBorder="1" applyAlignment="1">
      <alignment horizontal="center"/>
    </xf>
    <xf numFmtId="0" fontId="44" fillId="0" borderId="4" xfId="10" applyFont="1" applyBorder="1" applyAlignment="1">
      <alignment wrapText="1"/>
    </xf>
    <xf numFmtId="9" fontId="16" fillId="0" borderId="4" xfId="10" applyNumberFormat="1" applyFont="1" applyBorder="1" applyAlignment="1">
      <alignment horizontal="center"/>
    </xf>
    <xf numFmtId="0" fontId="16" fillId="7" borderId="0" xfId="10" applyFont="1" applyFill="1" applyAlignment="1">
      <alignment horizontal="center" vertical="center"/>
    </xf>
    <xf numFmtId="4" fontId="15" fillId="0" borderId="6" xfId="10" applyNumberFormat="1" applyFont="1" applyBorder="1" applyAlignment="1">
      <alignment vertical="center"/>
    </xf>
    <xf numFmtId="164" fontId="15" fillId="0" borderId="4" xfId="29" applyFont="1" applyFill="1" applyBorder="1" applyAlignment="1"/>
    <xf numFmtId="164" fontId="16" fillId="0" borderId="4" xfId="29" applyFont="1" applyFill="1" applyBorder="1" applyAlignment="1" applyProtection="1">
      <alignment horizontal="left" vertical="center"/>
    </xf>
    <xf numFmtId="10" fontId="15" fillId="0" borderId="0" xfId="10" applyNumberFormat="1" applyFont="1" applyAlignment="1">
      <alignment horizontal="center"/>
    </xf>
    <xf numFmtId="164" fontId="16" fillId="0" borderId="0" xfId="29" applyFont="1" applyFill="1" applyBorder="1" applyAlignment="1">
      <alignment horizontal="right" vertical="center"/>
    </xf>
    <xf numFmtId="164" fontId="15" fillId="0" borderId="4" xfId="10" applyNumberFormat="1" applyFont="1" applyBorder="1" applyAlignment="1">
      <alignment horizontal="left" vertical="center"/>
    </xf>
    <xf numFmtId="164" fontId="15" fillId="0" borderId="0" xfId="29" applyFont="1" applyFill="1" applyBorder="1" applyAlignment="1">
      <alignment horizontal="right" vertical="center"/>
    </xf>
    <xf numFmtId="164" fontId="16" fillId="0" borderId="4" xfId="29" applyFont="1" applyFill="1" applyBorder="1" applyAlignment="1" applyProtection="1">
      <alignment horizontal="left" vertical="center" wrapText="1"/>
    </xf>
    <xf numFmtId="164" fontId="16" fillId="0" borderId="4" xfId="10" applyNumberFormat="1" applyFont="1" applyBorder="1" applyAlignment="1">
      <alignment horizontal="left" vertical="center"/>
    </xf>
    <xf numFmtId="10" fontId="15" fillId="0" borderId="0" xfId="10" applyNumberFormat="1" applyFont="1" applyAlignment="1">
      <alignment horizontal="center" vertical="top"/>
    </xf>
    <xf numFmtId="0" fontId="16" fillId="7" borderId="9" xfId="10" applyFont="1" applyFill="1" applyBorder="1" applyAlignment="1">
      <alignment horizontal="center" vertical="center" wrapText="1"/>
    </xf>
    <xf numFmtId="0" fontId="20" fillId="0" borderId="0" xfId="14" applyFont="1" applyAlignment="1">
      <alignment vertical="center" wrapText="1"/>
    </xf>
    <xf numFmtId="0" fontId="20" fillId="0" borderId="0" xfId="14" applyFont="1" applyAlignment="1">
      <alignment horizontal="center" vertical="center" wrapText="1"/>
    </xf>
    <xf numFmtId="164" fontId="16" fillId="0" borderId="0" xfId="29" applyFont="1" applyFill="1" applyBorder="1"/>
    <xf numFmtId="164" fontId="15" fillId="0" borderId="0" xfId="29" applyFont="1" applyFill="1" applyBorder="1"/>
    <xf numFmtId="0" fontId="15" fillId="6" borderId="5" xfId="10" applyFont="1" applyFill="1" applyBorder="1"/>
    <xf numFmtId="164" fontId="15" fillId="6" borderId="4" xfId="29" applyFont="1" applyFill="1" applyBorder="1"/>
    <xf numFmtId="0" fontId="52" fillId="0" borderId="0" xfId="0" applyFont="1"/>
    <xf numFmtId="164" fontId="53" fillId="0" borderId="4" xfId="29" applyFont="1" applyFill="1" applyBorder="1"/>
    <xf numFmtId="0" fontId="24" fillId="0" borderId="0" xfId="10" applyFont="1"/>
    <xf numFmtId="0" fontId="24" fillId="0" borderId="0" xfId="14" applyFont="1" applyAlignment="1"/>
    <xf numFmtId="0" fontId="20" fillId="0" borderId="0" xfId="10" applyFont="1" applyAlignment="1">
      <alignment horizontal="centerContinuous"/>
    </xf>
    <xf numFmtId="0" fontId="24" fillId="0" borderId="0" xfId="10" applyFont="1" applyAlignment="1">
      <alignment horizontal="center" vertical="top"/>
    </xf>
    <xf numFmtId="0" fontId="24" fillId="0" borderId="0" xfId="10" applyFont="1" applyAlignment="1">
      <alignment vertical="center"/>
    </xf>
    <xf numFmtId="0" fontId="20" fillId="5" borderId="4" xfId="14" quotePrefix="1" applyFont="1" applyFill="1" applyBorder="1" applyAlignment="1">
      <alignment horizontal="center" wrapText="1"/>
    </xf>
    <xf numFmtId="0" fontId="20" fillId="5" borderId="4" xfId="14" quotePrefix="1" applyFont="1" applyFill="1" applyBorder="1" applyAlignment="1">
      <alignment horizontal="center" vertical="center" wrapText="1"/>
    </xf>
    <xf numFmtId="0" fontId="24" fillId="0" borderId="0" xfId="10" applyFont="1" applyAlignment="1">
      <alignment vertical="top"/>
    </xf>
    <xf numFmtId="0" fontId="20" fillId="0" borderId="0" xfId="10" applyFont="1"/>
    <xf numFmtId="0" fontId="24" fillId="0" borderId="0" xfId="10" applyFont="1" applyAlignment="1">
      <alignment horizontal="center"/>
    </xf>
    <xf numFmtId="0" fontId="64" fillId="0" borderId="18" xfId="0" applyFont="1" applyBorder="1" applyAlignment="1">
      <alignment horizontal="left" vertical="center"/>
    </xf>
    <xf numFmtId="0" fontId="52" fillId="0" borderId="0" xfId="0" applyFont="1" applyAlignment="1">
      <alignment horizontal="center"/>
    </xf>
    <xf numFmtId="0" fontId="64" fillId="0" borderId="23" xfId="0" applyFont="1" applyBorder="1" applyAlignment="1">
      <alignment horizontal="left" vertical="center"/>
    </xf>
    <xf numFmtId="9" fontId="62" fillId="19" borderId="25" xfId="0" applyNumberFormat="1" applyFont="1" applyFill="1" applyBorder="1" applyAlignment="1">
      <alignment horizontal="center" wrapText="1"/>
    </xf>
    <xf numFmtId="0" fontId="64" fillId="0" borderId="4" xfId="0" applyFont="1" applyBorder="1" applyAlignment="1">
      <alignment horizontal="center" vertical="center" wrapText="1"/>
    </xf>
    <xf numFmtId="0" fontId="64" fillId="0" borderId="4" xfId="0" applyFont="1" applyBorder="1" applyAlignment="1">
      <alignment horizontal="left" vertical="center" wrapText="1"/>
    </xf>
    <xf numFmtId="0" fontId="64" fillId="0" borderId="19" xfId="0" applyFont="1" applyBorder="1" applyAlignment="1">
      <alignment horizontal="center" vertical="center" wrapText="1"/>
    </xf>
    <xf numFmtId="0" fontId="24" fillId="0" borderId="8" xfId="10" applyFont="1" applyBorder="1" applyAlignment="1">
      <alignment horizontal="center"/>
    </xf>
    <xf numFmtId="164" fontId="65" fillId="0" borderId="19" xfId="0" applyNumberFormat="1" applyFont="1" applyBorder="1"/>
    <xf numFmtId="164" fontId="24" fillId="0" borderId="8" xfId="10" applyNumberFormat="1" applyFont="1" applyBorder="1" applyAlignment="1">
      <alignment horizontal="center"/>
    </xf>
    <xf numFmtId="171" fontId="65" fillId="0" borderId="19" xfId="0" applyNumberFormat="1" applyFont="1" applyBorder="1"/>
    <xf numFmtId="169" fontId="24" fillId="0" borderId="8" xfId="10" applyNumberFormat="1" applyFont="1" applyBorder="1" applyAlignment="1">
      <alignment horizontal="center"/>
    </xf>
    <xf numFmtId="164" fontId="65" fillId="0" borderId="19" xfId="29" applyFont="1" applyFill="1" applyBorder="1"/>
    <xf numFmtId="164" fontId="65" fillId="0" borderId="8" xfId="29" applyFont="1" applyFill="1" applyBorder="1"/>
    <xf numFmtId="0" fontId="65" fillId="0" borderId="19" xfId="0" applyFont="1" applyBorder="1"/>
    <xf numFmtId="2" fontId="65" fillId="0" borderId="19" xfId="0" applyNumberFormat="1" applyFont="1" applyBorder="1"/>
    <xf numFmtId="164" fontId="64" fillId="0" borderId="19" xfId="29" applyFont="1" applyFill="1" applyBorder="1"/>
    <xf numFmtId="0" fontId="65" fillId="0" borderId="0" xfId="0" applyFont="1"/>
    <xf numFmtId="0" fontId="65" fillId="0" borderId="27" xfId="0" applyFont="1" applyBorder="1"/>
    <xf numFmtId="0" fontId="20" fillId="0" borderId="0" xfId="10" applyFont="1" applyAlignment="1">
      <alignment horizontal="center"/>
    </xf>
    <xf numFmtId="0" fontId="20" fillId="0" borderId="5" xfId="10" applyFont="1" applyBorder="1" applyAlignment="1">
      <alignment horizontal="center"/>
    </xf>
    <xf numFmtId="172" fontId="15" fillId="0" borderId="4" xfId="10" applyNumberFormat="1" applyFont="1" applyBorder="1" applyAlignment="1">
      <alignment horizontal="center"/>
    </xf>
    <xf numFmtId="173" fontId="15" fillId="0" borderId="4" xfId="10" applyNumberFormat="1" applyFont="1" applyBorder="1" applyAlignment="1">
      <alignment horizontal="center"/>
    </xf>
    <xf numFmtId="173" fontId="15" fillId="0" borderId="4" xfId="10" applyNumberFormat="1" applyFont="1" applyBorder="1"/>
    <xf numFmtId="9" fontId="16" fillId="0" borderId="4" xfId="10" applyNumberFormat="1" applyFont="1" applyBorder="1"/>
    <xf numFmtId="172" fontId="15" fillId="0" borderId="4" xfId="10" applyNumberFormat="1" applyFont="1" applyBorder="1"/>
    <xf numFmtId="0" fontId="58" fillId="0" borderId="0" xfId="10" applyFont="1" applyAlignment="1">
      <alignment vertical="center"/>
    </xf>
    <xf numFmtId="0" fontId="58" fillId="0" borderId="0" xfId="10" applyFont="1" applyAlignment="1">
      <alignment horizontal="left" vertical="center"/>
    </xf>
    <xf numFmtId="164" fontId="58" fillId="0" borderId="4" xfId="25" applyFont="1" applyFill="1" applyBorder="1" applyAlignment="1">
      <alignment horizontal="right" vertical="center" wrapText="1"/>
    </xf>
    <xf numFmtId="0" fontId="58" fillId="0" borderId="0" xfId="10" applyFont="1"/>
    <xf numFmtId="14" fontId="15" fillId="0" borderId="4" xfId="10" applyNumberFormat="1" applyFont="1" applyBorder="1" applyAlignment="1">
      <alignment horizontal="center" vertical="center" wrapText="1"/>
    </xf>
    <xf numFmtId="0" fontId="38" fillId="0" borderId="4" xfId="90" applyFont="1" applyBorder="1" applyAlignment="1">
      <alignment vertical="center"/>
    </xf>
    <xf numFmtId="0" fontId="38" fillId="0" borderId="4" xfId="90" applyFont="1" applyBorder="1" applyAlignment="1">
      <alignment horizontal="center" vertical="center"/>
    </xf>
    <xf numFmtId="0" fontId="37" fillId="0" borderId="4" xfId="90" applyFont="1" applyBorder="1" applyAlignment="1">
      <alignment vertical="center"/>
    </xf>
    <xf numFmtId="0" fontId="37" fillId="0" borderId="4" xfId="90" applyFont="1" applyBorder="1" applyAlignment="1">
      <alignment horizontal="center" vertical="center"/>
    </xf>
    <xf numFmtId="0" fontId="37" fillId="0" borderId="0" xfId="90" applyFont="1" applyAlignment="1">
      <alignment vertical="center"/>
    </xf>
    <xf numFmtId="0" fontId="37" fillId="0" borderId="0" xfId="90" applyFont="1" applyAlignment="1">
      <alignment horizontal="center" vertical="center"/>
    </xf>
    <xf numFmtId="164" fontId="17" fillId="0" borderId="4" xfId="91" applyNumberFormat="1" applyFont="1" applyFill="1" applyBorder="1" applyAlignment="1">
      <alignment vertical="center"/>
    </xf>
    <xf numFmtId="164" fontId="18" fillId="0" borderId="4" xfId="91" applyNumberFormat="1" applyFont="1" applyBorder="1" applyAlignment="1">
      <alignment vertical="center"/>
    </xf>
    <xf numFmtId="0" fontId="16" fillId="0" borderId="0" xfId="10" applyFont="1" applyAlignment="1">
      <alignment horizontal="left" vertical="center" wrapText="1"/>
    </xf>
    <xf numFmtId="43" fontId="16" fillId="0" borderId="0" xfId="10" applyNumberFormat="1" applyFont="1" applyAlignment="1">
      <alignment horizontal="left" vertical="center" wrapText="1"/>
    </xf>
    <xf numFmtId="43" fontId="16" fillId="0" borderId="0" xfId="10" applyNumberFormat="1" applyFont="1" applyAlignment="1">
      <alignment horizontal="left" vertical="center"/>
    </xf>
    <xf numFmtId="43" fontId="16" fillId="0" borderId="0" xfId="10" applyNumberFormat="1" applyFont="1" applyAlignment="1">
      <alignment vertical="center"/>
    </xf>
    <xf numFmtId="164" fontId="15" fillId="0" borderId="0" xfId="69" applyFont="1" applyBorder="1" applyAlignment="1">
      <alignment vertical="top"/>
    </xf>
    <xf numFmtId="164" fontId="16" fillId="0" borderId="0" xfId="69" applyFont="1" applyBorder="1" applyAlignment="1"/>
    <xf numFmtId="164" fontId="15" fillId="0" borderId="0" xfId="69" applyFont="1" applyFill="1" applyAlignment="1">
      <alignment vertical="center"/>
    </xf>
    <xf numFmtId="164" fontId="16" fillId="0" borderId="0" xfId="69" applyFont="1" applyAlignment="1">
      <alignment vertical="center"/>
    </xf>
    <xf numFmtId="0" fontId="74" fillId="0" borderId="0" xfId="10" applyFont="1"/>
    <xf numFmtId="175" fontId="15" fillId="0" borderId="0" xfId="29" applyNumberFormat="1" applyFont="1" applyBorder="1" applyAlignment="1">
      <alignment horizontal="center" vertical="center"/>
    </xf>
    <xf numFmtId="164" fontId="15" fillId="0" borderId="0" xfId="29" applyFont="1" applyBorder="1"/>
    <xf numFmtId="164" fontId="21" fillId="5" borderId="0" xfId="29" applyFont="1" applyFill="1" applyBorder="1" applyAlignment="1">
      <alignment horizontal="left"/>
    </xf>
    <xf numFmtId="164" fontId="16" fillId="0" borderId="0" xfId="29" applyFont="1" applyFill="1" applyBorder="1" applyAlignment="1">
      <alignment horizontal="center"/>
    </xf>
    <xf numFmtId="164" fontId="16" fillId="7" borderId="5" xfId="29" applyFont="1" applyFill="1" applyBorder="1" applyAlignment="1">
      <alignment horizontal="center" vertical="center" wrapText="1"/>
    </xf>
    <xf numFmtId="164" fontId="15" fillId="0" borderId="4" xfId="93" applyFont="1" applyFill="1" applyBorder="1" applyAlignment="1">
      <alignment vertical="center"/>
    </xf>
    <xf numFmtId="164" fontId="68" fillId="6" borderId="0" xfId="29" applyFont="1" applyFill="1" applyBorder="1" applyAlignment="1">
      <alignment horizontal="center" vertical="center" wrapText="1"/>
    </xf>
    <xf numFmtId="164" fontId="15" fillId="0" borderId="0" xfId="93" applyFont="1" applyFill="1" applyBorder="1" applyAlignment="1">
      <alignment vertical="center"/>
    </xf>
    <xf numFmtId="9" fontId="15" fillId="16" borderId="0" xfId="94" applyFont="1" applyFill="1" applyBorder="1" applyAlignment="1">
      <alignment vertical="center"/>
    </xf>
    <xf numFmtId="9" fontId="15" fillId="0" borderId="0" xfId="94" applyFont="1" applyFill="1" applyBorder="1" applyAlignment="1">
      <alignment vertical="center"/>
    </xf>
    <xf numFmtId="164" fontId="15" fillId="16" borderId="0" xfId="93" applyFont="1" applyFill="1" applyBorder="1" applyAlignment="1">
      <alignment vertical="center"/>
    </xf>
    <xf numFmtId="0" fontId="69" fillId="0" borderId="0" xfId="92" applyFont="1" applyAlignment="1" applyProtection="1">
      <alignment horizontal="center" vertical="center" wrapText="1"/>
      <protection locked="0"/>
    </xf>
    <xf numFmtId="164" fontId="58" fillId="0" borderId="0" xfId="93" applyFont="1" applyFill="1" applyBorder="1" applyAlignment="1">
      <alignment vertical="center"/>
    </xf>
    <xf numFmtId="0" fontId="15" fillId="0" borderId="0" xfId="14" quotePrefix="1" applyFont="1" applyAlignment="1">
      <alignment horizontal="center" vertical="center" wrapText="1"/>
    </xf>
    <xf numFmtId="10" fontId="53" fillId="14" borderId="4" xfId="70" applyNumberFormat="1" applyFont="1" applyFill="1" applyBorder="1"/>
    <xf numFmtId="43" fontId="49" fillId="14" borderId="0" xfId="14" applyNumberFormat="1" applyFont="1" applyFill="1">
      <alignment vertical="center"/>
    </xf>
    <xf numFmtId="0" fontId="38" fillId="0" borderId="0" xfId="14" applyFont="1">
      <alignment vertical="center"/>
    </xf>
    <xf numFmtId="171" fontId="49" fillId="0" borderId="0" xfId="14" applyNumberFormat="1" applyFont="1">
      <alignment vertical="center"/>
    </xf>
    <xf numFmtId="0" fontId="20" fillId="0" borderId="0" xfId="14" applyFont="1" applyAlignment="1">
      <alignment horizontal="center" vertical="center"/>
    </xf>
    <xf numFmtId="0" fontId="24" fillId="0" borderId="0" xfId="14" applyFont="1" applyAlignment="1">
      <alignment horizontal="centerContinuous" vertical="center"/>
    </xf>
    <xf numFmtId="0" fontId="20" fillId="0" borderId="0" xfId="14" applyFont="1" applyAlignment="1">
      <alignment horizontal="centerContinuous" vertical="center"/>
    </xf>
    <xf numFmtId="164" fontId="24" fillId="0" borderId="4" xfId="10" applyNumberFormat="1" applyFont="1" applyBorder="1" applyAlignment="1">
      <alignment horizontal="center"/>
    </xf>
    <xf numFmtId="0" fontId="15" fillId="0" borderId="0" xfId="10" applyFont="1" applyAlignment="1">
      <alignment wrapText="1"/>
    </xf>
    <xf numFmtId="0" fontId="15" fillId="0" borderId="13" xfId="14" quotePrefix="1" applyFont="1" applyBorder="1" applyAlignment="1">
      <alignment vertical="center" wrapText="1"/>
    </xf>
    <xf numFmtId="0" fontId="15" fillId="0" borderId="14" xfId="14" quotePrefix="1" applyFont="1" applyBorder="1" applyAlignment="1">
      <alignment vertical="center" wrapText="1"/>
    </xf>
    <xf numFmtId="0" fontId="15" fillId="0" borderId="17" xfId="14" quotePrefix="1" applyFont="1" applyBorder="1" applyAlignment="1">
      <alignment vertical="center" wrapText="1"/>
    </xf>
    <xf numFmtId="0" fontId="16" fillId="0" borderId="13" xfId="10" applyFont="1" applyBorder="1" applyAlignment="1">
      <alignment vertical="center"/>
    </xf>
    <xf numFmtId="0" fontId="16" fillId="0" borderId="14" xfId="10" applyFont="1" applyBorder="1" applyAlignment="1">
      <alignment vertical="center"/>
    </xf>
    <xf numFmtId="0" fontId="16" fillId="0" borderId="17" xfId="10" applyFont="1" applyBorder="1" applyAlignment="1">
      <alignment vertical="center"/>
    </xf>
    <xf numFmtId="1" fontId="62" fillId="19" borderId="24" xfId="0" applyNumberFormat="1" applyFont="1" applyFill="1" applyBorder="1" applyAlignment="1">
      <alignment horizontal="center"/>
    </xf>
    <xf numFmtId="1" fontId="62" fillId="19" borderId="8" xfId="0" applyNumberFormat="1" applyFont="1" applyFill="1" applyBorder="1" applyAlignment="1">
      <alignment horizontal="center"/>
    </xf>
    <xf numFmtId="1" fontId="62" fillId="19" borderId="4" xfId="0" applyNumberFormat="1" applyFont="1" applyFill="1" applyBorder="1" applyAlignment="1">
      <alignment horizontal="center"/>
    </xf>
    <xf numFmtId="0" fontId="15" fillId="0" borderId="4" xfId="10"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77" fillId="0" borderId="0" xfId="0" applyFont="1" applyAlignment="1">
      <alignment vertical="center"/>
    </xf>
    <xf numFmtId="0" fontId="63" fillId="0" borderId="0" xfId="0" applyFont="1" applyAlignment="1">
      <alignment vertical="center"/>
    </xf>
    <xf numFmtId="164" fontId="77" fillId="0" borderId="0" xfId="69" applyFont="1" applyBorder="1" applyAlignment="1">
      <alignment vertical="center"/>
    </xf>
    <xf numFmtId="0" fontId="0" fillId="0" borderId="0" xfId="0" applyAlignment="1">
      <alignment horizontal="right" vertical="center"/>
    </xf>
    <xf numFmtId="1" fontId="0" fillId="6" borderId="0" xfId="0" applyNumberFormat="1" applyFill="1" applyAlignment="1">
      <alignment horizontal="right" vertical="center"/>
    </xf>
    <xf numFmtId="2" fontId="0" fillId="6" borderId="0" xfId="69" applyNumberFormat="1" applyFont="1" applyFill="1" applyBorder="1" applyAlignment="1">
      <alignment horizontal="right" vertical="center"/>
    </xf>
    <xf numFmtId="0" fontId="63" fillId="0" borderId="0" xfId="0" applyFont="1" applyAlignment="1">
      <alignment vertical="center" wrapText="1"/>
    </xf>
    <xf numFmtId="0" fontId="63" fillId="0" borderId="0" xfId="0" applyFont="1" applyAlignment="1">
      <alignment horizontal="center" vertical="center"/>
    </xf>
    <xf numFmtId="164" fontId="63" fillId="0" borderId="0" xfId="69" applyFont="1" applyFill="1" applyBorder="1" applyAlignment="1">
      <alignment horizontal="right" vertical="center"/>
    </xf>
    <xf numFmtId="43" fontId="77" fillId="0" borderId="0" xfId="0" applyNumberFormat="1" applyFont="1" applyAlignment="1">
      <alignment vertical="center"/>
    </xf>
    <xf numFmtId="0" fontId="57" fillId="0" borderId="0" xfId="0" applyFont="1" applyAlignment="1">
      <alignment vertical="center"/>
    </xf>
    <xf numFmtId="0" fontId="57" fillId="0" borderId="0" xfId="0" applyFont="1" applyAlignment="1">
      <alignment horizontal="left" vertical="center"/>
    </xf>
    <xf numFmtId="0" fontId="57" fillId="0" borderId="0" xfId="0" applyFont="1" applyAlignment="1">
      <alignment vertical="center" wrapText="1"/>
    </xf>
    <xf numFmtId="0" fontId="58" fillId="0" borderId="0" xfId="0" applyFont="1" applyAlignment="1">
      <alignment vertical="center"/>
    </xf>
    <xf numFmtId="171" fontId="0" fillId="0" borderId="0" xfId="69" applyNumberFormat="1" applyFont="1" applyBorder="1" applyAlignment="1">
      <alignment vertical="center"/>
    </xf>
    <xf numFmtId="164" fontId="0" fillId="0" borderId="0" xfId="69" applyFont="1" applyFill="1" applyBorder="1" applyAlignment="1">
      <alignment horizontal="right" vertical="center"/>
    </xf>
    <xf numFmtId="10" fontId="0" fillId="0" borderId="0" xfId="0" applyNumberFormat="1" applyAlignment="1">
      <alignment horizontal="center" vertical="center"/>
    </xf>
    <xf numFmtId="9" fontId="0" fillId="0" borderId="0" xfId="70" applyFont="1" applyBorder="1" applyAlignment="1">
      <alignment vertical="center"/>
    </xf>
    <xf numFmtId="164" fontId="0" fillId="6" borderId="0" xfId="69" applyFont="1" applyFill="1" applyBorder="1" applyAlignment="1">
      <alignment horizontal="right" vertical="center"/>
    </xf>
    <xf numFmtId="164" fontId="0" fillId="0" borderId="0" xfId="69" applyFont="1" applyBorder="1" applyAlignment="1">
      <alignment horizontal="right" vertical="center"/>
    </xf>
    <xf numFmtId="0" fontId="58" fillId="0" borderId="0" xfId="0" applyFont="1" applyAlignment="1">
      <alignment horizontal="left" vertical="center" wrapText="1"/>
    </xf>
    <xf numFmtId="0" fontId="58" fillId="0" borderId="0" xfId="0" applyFont="1" applyAlignment="1">
      <alignment horizontal="center" vertical="center"/>
    </xf>
    <xf numFmtId="9" fontId="58" fillId="6" borderId="0" xfId="0" applyNumberFormat="1" applyFont="1" applyFill="1" applyAlignment="1">
      <alignment horizontal="right" vertical="center"/>
    </xf>
    <xf numFmtId="0" fontId="80" fillId="0" borderId="0" xfId="0" applyFont="1" applyAlignment="1">
      <alignment horizontal="left" vertical="center" wrapText="1"/>
    </xf>
    <xf numFmtId="10" fontId="58" fillId="6" borderId="0" xfId="0" applyNumberFormat="1" applyFont="1" applyFill="1" applyAlignment="1">
      <alignment horizontal="right" vertical="center"/>
    </xf>
    <xf numFmtId="0" fontId="63" fillId="0" borderId="0" xfId="0" applyFont="1" applyAlignment="1">
      <alignment horizontal="left" vertical="center" wrapText="1"/>
    </xf>
    <xf numFmtId="10" fontId="63" fillId="0" borderId="0" xfId="70" applyNumberFormat="1" applyFont="1" applyFill="1" applyBorder="1" applyAlignment="1">
      <alignment horizontal="right" vertical="center"/>
    </xf>
    <xf numFmtId="0" fontId="0" fillId="0" borderId="0" xfId="0" applyAlignment="1">
      <alignment horizontal="left" vertical="center" wrapText="1"/>
    </xf>
    <xf numFmtId="0" fontId="82" fillId="0" borderId="0" xfId="0" applyFont="1" applyAlignment="1">
      <alignment vertical="center" wrapText="1"/>
    </xf>
    <xf numFmtId="10" fontId="0" fillId="0" borderId="0" xfId="70" applyNumberFormat="1" applyFont="1" applyFill="1" applyBorder="1" applyAlignment="1">
      <alignment horizontal="right" vertical="center"/>
    </xf>
    <xf numFmtId="171" fontId="0" fillId="0" borderId="0" xfId="69" applyNumberFormat="1" applyFont="1" applyFill="1" applyBorder="1" applyAlignment="1">
      <alignment horizontal="right" vertical="center"/>
    </xf>
    <xf numFmtId="10" fontId="58" fillId="0" borderId="0" xfId="70" applyNumberFormat="1" applyFont="1" applyFill="1" applyBorder="1" applyAlignment="1">
      <alignment horizontal="right" vertical="center"/>
    </xf>
    <xf numFmtId="171" fontId="0" fillId="0" borderId="0" xfId="69" applyNumberFormat="1" applyFont="1" applyBorder="1"/>
    <xf numFmtId="171" fontId="57" fillId="0" borderId="0" xfId="69" applyNumberFormat="1" applyFont="1" applyFill="1" applyBorder="1" applyAlignment="1">
      <alignment horizontal="right" vertical="center"/>
    </xf>
    <xf numFmtId="164" fontId="0" fillId="0" borderId="0" xfId="69" applyFont="1" applyBorder="1"/>
    <xf numFmtId="10" fontId="7" fillId="6" borderId="0" xfId="69" applyNumberFormat="1" applyFont="1" applyFill="1" applyBorder="1" applyAlignment="1">
      <alignment horizontal="right" vertical="center"/>
    </xf>
    <xf numFmtId="0" fontId="83" fillId="0" borderId="0" xfId="0" applyFont="1" applyAlignment="1">
      <alignment vertical="center" wrapText="1"/>
    </xf>
    <xf numFmtId="0" fontId="83" fillId="0" borderId="0" xfId="0" applyFont="1" applyAlignment="1">
      <alignment vertical="center"/>
    </xf>
    <xf numFmtId="0" fontId="58" fillId="0" borderId="0" xfId="0" applyFont="1" applyAlignment="1">
      <alignment vertical="center" wrapText="1"/>
    </xf>
    <xf numFmtId="10" fontId="0" fillId="0" borderId="0" xfId="70" applyNumberFormat="1" applyFont="1" applyBorder="1" applyAlignment="1">
      <alignment vertical="center"/>
    </xf>
    <xf numFmtId="43" fontId="58" fillId="0" borderId="0" xfId="0" applyNumberFormat="1" applyFont="1" applyAlignment="1">
      <alignment horizontal="right" vertical="center"/>
    </xf>
    <xf numFmtId="180" fontId="77" fillId="0" borderId="0" xfId="70" applyNumberFormat="1" applyFont="1" applyBorder="1" applyAlignment="1">
      <alignment vertical="center"/>
    </xf>
    <xf numFmtId="10" fontId="77" fillId="0" borderId="0" xfId="70" applyNumberFormat="1" applyFont="1" applyBorder="1" applyAlignment="1">
      <alignment vertical="center"/>
    </xf>
    <xf numFmtId="10" fontId="0" fillId="0" borderId="0" xfId="0" applyNumberFormat="1" applyAlignment="1">
      <alignment horizontal="right" vertical="center"/>
    </xf>
    <xf numFmtId="164" fontId="63" fillId="0" borderId="0" xfId="69" applyFont="1" applyFill="1" applyBorder="1"/>
    <xf numFmtId="10" fontId="0" fillId="0" borderId="0" xfId="0" applyNumberFormat="1"/>
    <xf numFmtId="9" fontId="0" fillId="0" borderId="0" xfId="0" applyNumberFormat="1" applyAlignment="1">
      <alignment horizontal="right" vertical="center"/>
    </xf>
    <xf numFmtId="43" fontId="0" fillId="0" borderId="0" xfId="69" applyNumberFormat="1" applyFont="1" applyBorder="1" applyAlignment="1">
      <alignment horizontal="right" vertical="center"/>
    </xf>
    <xf numFmtId="184" fontId="77" fillId="0" borderId="0" xfId="0" applyNumberFormat="1" applyFont="1" applyAlignment="1">
      <alignment vertical="center"/>
    </xf>
    <xf numFmtId="10" fontId="84" fillId="0" borderId="0" xfId="0" applyNumberFormat="1" applyFont="1" applyAlignment="1">
      <alignment vertical="center"/>
    </xf>
    <xf numFmtId="10" fontId="84" fillId="0" borderId="0" xfId="0" applyNumberFormat="1" applyFont="1" applyAlignment="1">
      <alignment horizontal="center" vertical="center"/>
    </xf>
    <xf numFmtId="0" fontId="85" fillId="0" borderId="0" xfId="95" applyBorder="1" applyAlignment="1">
      <alignment vertical="center" wrapText="1"/>
    </xf>
    <xf numFmtId="164" fontId="0" fillId="14" borderId="0" xfId="69" applyFont="1" applyFill="1" applyBorder="1" applyAlignment="1">
      <alignment horizontal="right" vertical="center"/>
    </xf>
    <xf numFmtId="10" fontId="0" fillId="14" borderId="0" xfId="70" applyNumberFormat="1" applyFont="1" applyFill="1" applyBorder="1" applyAlignment="1">
      <alignment horizontal="right" vertical="center"/>
    </xf>
    <xf numFmtId="175" fontId="0" fillId="14" borderId="0" xfId="69" applyNumberFormat="1" applyFont="1" applyFill="1" applyBorder="1" applyAlignment="1">
      <alignment horizontal="right" vertical="center"/>
    </xf>
    <xf numFmtId="0" fontId="58" fillId="0" borderId="0" xfId="96" applyFont="1"/>
    <xf numFmtId="0" fontId="58" fillId="0" borderId="4" xfId="96" applyFont="1" applyBorder="1" applyAlignment="1">
      <alignment horizontal="center"/>
    </xf>
    <xf numFmtId="0" fontId="58" fillId="23" borderId="4" xfId="96" applyFont="1" applyFill="1" applyBorder="1" applyAlignment="1">
      <alignment horizontal="center"/>
    </xf>
    <xf numFmtId="0" fontId="20" fillId="7" borderId="4" xfId="97" applyFont="1" applyFill="1" applyBorder="1" applyAlignment="1">
      <alignment horizontal="center" vertical="center"/>
    </xf>
    <xf numFmtId="2" fontId="58" fillId="0" borderId="4" xfId="96" applyNumberFormat="1" applyFont="1" applyBorder="1" applyAlignment="1">
      <alignment horizontal="center"/>
    </xf>
    <xf numFmtId="0" fontId="20" fillId="7" borderId="5" xfId="97" applyFont="1" applyFill="1" applyBorder="1" applyAlignment="1">
      <alignment horizontal="center" vertical="center"/>
    </xf>
    <xf numFmtId="0" fontId="20" fillId="0" borderId="4" xfId="97" applyFont="1" applyBorder="1" applyAlignment="1">
      <alignment horizontal="left" vertical="center" shrinkToFit="1"/>
    </xf>
    <xf numFmtId="2" fontId="52" fillId="0" borderId="5" xfId="97" applyNumberFormat="1" applyFont="1" applyBorder="1" applyAlignment="1">
      <alignment horizontal="center" vertical="center" shrinkToFit="1"/>
    </xf>
    <xf numFmtId="0" fontId="52" fillId="6" borderId="4" xfId="97" applyFont="1" applyFill="1" applyBorder="1" applyAlignment="1">
      <alignment horizontal="center" shrinkToFit="1"/>
    </xf>
    <xf numFmtId="0" fontId="52" fillId="6" borderId="4" xfId="97" applyFont="1" applyFill="1" applyBorder="1"/>
    <xf numFmtId="0" fontId="58" fillId="0" borderId="4" xfId="96" applyFont="1" applyBorder="1" applyAlignment="1">
      <alignment horizontal="left"/>
    </xf>
    <xf numFmtId="10" fontId="52" fillId="0" borderId="4" xfId="98" applyNumberFormat="1" applyFont="1" applyFill="1" applyBorder="1" applyAlignment="1">
      <alignment horizontal="center" vertical="center" shrinkToFit="1"/>
    </xf>
    <xf numFmtId="9" fontId="52" fillId="0" borderId="5" xfId="97" applyNumberFormat="1" applyFont="1" applyBorder="1" applyAlignment="1">
      <alignment horizontal="center" vertical="center" shrinkToFit="1"/>
    </xf>
    <xf numFmtId="10" fontId="24" fillId="0" borderId="4" xfId="98" applyNumberFormat="1" applyFont="1" applyFill="1" applyBorder="1" applyAlignment="1">
      <alignment horizontal="center" vertical="center" shrinkToFit="1"/>
    </xf>
    <xf numFmtId="10" fontId="24" fillId="0" borderId="4" xfId="98" applyNumberFormat="1" applyFont="1" applyBorder="1" applyAlignment="1">
      <alignment horizontal="center" vertical="center" shrinkToFit="1"/>
    </xf>
    <xf numFmtId="174" fontId="58" fillId="0" borderId="0" xfId="96" applyNumberFormat="1" applyFont="1"/>
    <xf numFmtId="10" fontId="7" fillId="0" borderId="0" xfId="40" applyNumberFormat="1" applyFont="1"/>
    <xf numFmtId="0" fontId="57" fillId="0" borderId="0" xfId="96" applyFont="1" applyAlignment="1">
      <alignment horizontal="center"/>
    </xf>
    <xf numFmtId="2" fontId="58" fillId="0" borderId="0" xfId="96" applyNumberFormat="1" applyFont="1"/>
    <xf numFmtId="14" fontId="58" fillId="0" borderId="0" xfId="96" applyNumberFormat="1" applyFont="1"/>
    <xf numFmtId="0" fontId="57" fillId="0" borderId="0" xfId="96" applyFont="1"/>
    <xf numFmtId="2" fontId="57" fillId="0" borderId="0" xfId="96" applyNumberFormat="1" applyFont="1"/>
    <xf numFmtId="0" fontId="57" fillId="14" borderId="0" xfId="96" applyFont="1" applyFill="1"/>
    <xf numFmtId="2" fontId="57" fillId="14" borderId="0" xfId="96" applyNumberFormat="1" applyFont="1" applyFill="1"/>
    <xf numFmtId="14" fontId="0" fillId="0" borderId="0" xfId="0" applyNumberFormat="1" applyAlignment="1">
      <alignment horizontal="right" vertical="center"/>
    </xf>
    <xf numFmtId="1" fontId="0" fillId="0" borderId="0" xfId="0" applyNumberFormat="1" applyAlignment="1">
      <alignment horizontal="right" vertical="center"/>
    </xf>
    <xf numFmtId="2" fontId="0" fillId="0" borderId="0" xfId="69" applyNumberFormat="1" applyFont="1" applyFill="1" applyBorder="1" applyAlignment="1">
      <alignment horizontal="right" vertical="center"/>
    </xf>
    <xf numFmtId="0" fontId="50" fillId="24" borderId="0" xfId="0" applyFont="1" applyFill="1" applyAlignment="1">
      <alignment horizontal="center" vertical="center" wrapText="1"/>
    </xf>
    <xf numFmtId="0" fontId="0" fillId="0" borderId="0" xfId="69" applyNumberFormat="1" applyFont="1" applyFill="1" applyBorder="1" applyAlignment="1">
      <alignment horizontal="right" vertical="center"/>
    </xf>
    <xf numFmtId="0" fontId="25" fillId="0" borderId="0" xfId="0" applyFont="1" applyAlignment="1">
      <alignment vertical="center" wrapText="1"/>
    </xf>
    <xf numFmtId="0" fontId="25" fillId="0" borderId="0" xfId="0" applyFont="1" applyAlignment="1">
      <alignment horizontal="center" vertical="center"/>
    </xf>
    <xf numFmtId="0" fontId="25" fillId="0" borderId="0" xfId="0" applyFont="1" applyAlignment="1">
      <alignment horizontal="left" vertical="center" wrapText="1"/>
    </xf>
    <xf numFmtId="0" fontId="7" fillId="6" borderId="0" xfId="69" applyNumberFormat="1" applyFont="1" applyFill="1" applyBorder="1" applyAlignment="1">
      <alignment horizontal="right" vertical="center"/>
    </xf>
    <xf numFmtId="43" fontId="15" fillId="11" borderId="4" xfId="10" applyNumberFormat="1" applyFont="1" applyFill="1" applyBorder="1"/>
    <xf numFmtId="164" fontId="15" fillId="11" borderId="4" xfId="29" applyFont="1" applyFill="1" applyBorder="1"/>
    <xf numFmtId="43" fontId="15" fillId="11" borderId="0" xfId="10" applyNumberFormat="1" applyFont="1" applyFill="1"/>
    <xf numFmtId="0" fontId="15" fillId="11" borderId="4" xfId="10" applyFont="1" applyFill="1" applyBorder="1"/>
    <xf numFmtId="0" fontId="50" fillId="0" borderId="0" xfId="0" applyFont="1" applyAlignment="1">
      <alignment vertical="center"/>
    </xf>
    <xf numFmtId="2" fontId="0" fillId="0" borderId="0" xfId="0" applyNumberFormat="1"/>
    <xf numFmtId="9" fontId="15" fillId="0" borderId="4" xfId="70" applyFont="1" applyFill="1" applyBorder="1" applyAlignment="1">
      <alignment vertical="center"/>
    </xf>
    <xf numFmtId="2" fontId="15" fillId="0" borderId="4" xfId="71" applyNumberFormat="1" applyFont="1" applyBorder="1" applyAlignment="1">
      <alignment vertical="center"/>
    </xf>
    <xf numFmtId="10" fontId="15" fillId="0" borderId="0" xfId="10" applyNumberFormat="1" applyFont="1"/>
    <xf numFmtId="0" fontId="79" fillId="0" borderId="0" xfId="0" applyFont="1"/>
    <xf numFmtId="0" fontId="76" fillId="22" borderId="0" xfId="0" applyFont="1" applyFill="1" applyAlignment="1">
      <alignment horizontal="left" vertical="center"/>
    </xf>
    <xf numFmtId="0" fontId="76" fillId="22" borderId="0" xfId="0" applyFont="1" applyFill="1" applyAlignment="1">
      <alignment horizontal="left" vertical="center" wrapText="1"/>
    </xf>
    <xf numFmtId="0" fontId="76" fillId="22" borderId="0" xfId="0" applyFont="1" applyFill="1" applyAlignment="1">
      <alignment horizontal="center" vertical="center"/>
    </xf>
    <xf numFmtId="0" fontId="76" fillId="22" borderId="12" xfId="0" applyFont="1" applyFill="1" applyBorder="1" applyAlignment="1">
      <alignment horizontal="center" vertical="center"/>
    </xf>
    <xf numFmtId="0" fontId="76" fillId="22" borderId="14" xfId="0" applyFont="1" applyFill="1" applyBorder="1" applyAlignment="1">
      <alignment horizontal="center" vertical="center" wrapText="1"/>
    </xf>
    <xf numFmtId="0" fontId="63" fillId="0" borderId="12" xfId="0" applyFont="1" applyBorder="1" applyAlignment="1">
      <alignment horizontal="center" vertical="center"/>
    </xf>
    <xf numFmtId="171" fontId="0" fillId="0" borderId="14" xfId="69" applyNumberFormat="1" applyFont="1" applyFill="1" applyBorder="1" applyAlignment="1">
      <alignment vertical="center"/>
    </xf>
    <xf numFmtId="0" fontId="0" fillId="0" borderId="12" xfId="0" applyBorder="1" applyAlignment="1">
      <alignment horizontal="center" vertical="center"/>
    </xf>
    <xf numFmtId="0" fontId="0" fillId="6" borderId="14" xfId="0" applyFill="1" applyBorder="1" applyAlignment="1">
      <alignment vertical="center"/>
    </xf>
    <xf numFmtId="164" fontId="0" fillId="6" borderId="14" xfId="69" applyFont="1" applyFill="1" applyBorder="1" applyAlignment="1">
      <alignment vertical="center"/>
    </xf>
    <xf numFmtId="0" fontId="57" fillId="0" borderId="14" xfId="0" applyFont="1" applyBorder="1" applyAlignment="1">
      <alignment vertical="center"/>
    </xf>
    <xf numFmtId="10" fontId="0" fillId="0" borderId="14" xfId="70" applyNumberFormat="1" applyFont="1" applyFill="1" applyBorder="1" applyAlignment="1">
      <alignment horizontal="center" vertical="center"/>
    </xf>
    <xf numFmtId="171" fontId="0" fillId="0" borderId="14" xfId="69" applyNumberFormat="1" applyFont="1" applyBorder="1" applyAlignment="1">
      <alignment vertical="center"/>
    </xf>
    <xf numFmtId="0" fontId="0" fillId="0" borderId="14" xfId="0" applyBorder="1" applyAlignment="1">
      <alignment vertical="center"/>
    </xf>
    <xf numFmtId="171" fontId="58" fillId="0" borderId="14" xfId="69" applyNumberFormat="1" applyFont="1" applyFill="1" applyBorder="1" applyAlignment="1">
      <alignment vertical="center"/>
    </xf>
    <xf numFmtId="10" fontId="77" fillId="6" borderId="14" xfId="70" applyNumberFormat="1" applyFont="1" applyFill="1" applyBorder="1" applyAlignment="1">
      <alignment vertical="center" wrapText="1"/>
    </xf>
    <xf numFmtId="171" fontId="0" fillId="6" borderId="14" xfId="69" applyNumberFormat="1" applyFont="1" applyFill="1" applyBorder="1" applyAlignment="1">
      <alignment vertical="center" wrapText="1"/>
    </xf>
    <xf numFmtId="171" fontId="77" fillId="6" borderId="14" xfId="69" applyNumberFormat="1" applyFont="1" applyFill="1" applyBorder="1" applyAlignment="1">
      <alignment vertical="center" wrapText="1"/>
    </xf>
    <xf numFmtId="171" fontId="58" fillId="6" borderId="14" xfId="69" applyNumberFormat="1" applyFont="1" applyFill="1" applyBorder="1" applyAlignment="1">
      <alignment vertical="center" wrapText="1"/>
    </xf>
    <xf numFmtId="171" fontId="57" fillId="6" borderId="14" xfId="69" applyNumberFormat="1" applyFont="1" applyFill="1" applyBorder="1" applyAlignment="1">
      <alignment vertical="center" wrapText="1"/>
    </xf>
    <xf numFmtId="0" fontId="58" fillId="0" borderId="14" xfId="0" applyFont="1" applyBorder="1" applyAlignment="1">
      <alignment vertical="center"/>
    </xf>
    <xf numFmtId="1" fontId="58" fillId="0" borderId="14" xfId="0" applyNumberFormat="1" applyFont="1" applyBorder="1" applyAlignment="1">
      <alignment vertical="center"/>
    </xf>
    <xf numFmtId="0" fontId="58" fillId="0" borderId="14" xfId="0" applyFont="1" applyBorder="1" applyAlignment="1">
      <alignment vertical="center" wrapText="1"/>
    </xf>
    <xf numFmtId="0" fontId="58" fillId="6" borderId="14" xfId="0" applyFont="1" applyFill="1" applyBorder="1" applyAlignment="1">
      <alignment vertical="center" wrapText="1"/>
    </xf>
    <xf numFmtId="0" fontId="57" fillId="6" borderId="14" xfId="0" applyFont="1" applyFill="1" applyBorder="1" applyAlignment="1">
      <alignment vertical="center" wrapText="1"/>
    </xf>
    <xf numFmtId="164" fontId="58" fillId="0" borderId="14" xfId="69" applyFont="1" applyBorder="1" applyAlignment="1">
      <alignment vertical="center"/>
    </xf>
    <xf numFmtId="0" fontId="0" fillId="0" borderId="15" xfId="0" applyBorder="1" applyAlignment="1">
      <alignment horizontal="center" vertical="center"/>
    </xf>
    <xf numFmtId="0" fontId="0" fillId="0" borderId="16" xfId="0" applyBorder="1" applyAlignment="1">
      <alignment vertical="center"/>
    </xf>
    <xf numFmtId="0" fontId="58" fillId="0" borderId="16" xfId="0" applyFont="1" applyBorder="1" applyAlignment="1">
      <alignment vertical="center"/>
    </xf>
    <xf numFmtId="0" fontId="77" fillId="0" borderId="16" xfId="0" applyFont="1" applyBorder="1" applyAlignment="1">
      <alignment vertical="center"/>
    </xf>
    <xf numFmtId="171" fontId="0" fillId="0" borderId="16" xfId="69" applyNumberFormat="1" applyFont="1" applyBorder="1" applyAlignment="1">
      <alignment vertical="center"/>
    </xf>
    <xf numFmtId="0" fontId="0" fillId="0" borderId="17" xfId="0" applyBorder="1" applyAlignment="1">
      <alignment vertical="center"/>
    </xf>
    <xf numFmtId="10" fontId="58" fillId="0" borderId="14" xfId="70" applyNumberFormat="1" applyFont="1" applyFill="1" applyBorder="1" applyAlignment="1">
      <alignment horizontal="left" vertical="center"/>
    </xf>
    <xf numFmtId="171" fontId="58" fillId="0" borderId="14" xfId="69" applyNumberFormat="1" applyFont="1" applyFill="1" applyBorder="1" applyAlignment="1">
      <alignment vertical="center" wrapText="1"/>
    </xf>
    <xf numFmtId="43" fontId="0" fillId="0" borderId="0" xfId="69" applyNumberFormat="1" applyFont="1" applyFill="1" applyBorder="1" applyAlignment="1">
      <alignment horizontal="right" vertical="center"/>
    </xf>
    <xf numFmtId="0" fontId="16" fillId="7" borderId="4" xfId="31" applyFont="1" applyFill="1" applyBorder="1" applyAlignment="1">
      <alignment horizontal="center" vertical="center" wrapText="1"/>
    </xf>
    <xf numFmtId="0" fontId="15" fillId="6" borderId="11" xfId="0" applyFont="1" applyFill="1" applyBorder="1"/>
    <xf numFmtId="0" fontId="15" fillId="6" borderId="0" xfId="0" applyFont="1" applyFill="1"/>
    <xf numFmtId="0" fontId="16" fillId="6" borderId="0" xfId="82" applyFont="1" applyFill="1">
      <alignment vertical="center"/>
    </xf>
    <xf numFmtId="0" fontId="15" fillId="6" borderId="0" xfId="0" applyFont="1" applyFill="1" applyAlignment="1">
      <alignment vertical="center"/>
    </xf>
    <xf numFmtId="0" fontId="16" fillId="6" borderId="0" xfId="14" applyFont="1" applyFill="1" applyAlignment="1">
      <alignment horizontal="center" vertical="center"/>
    </xf>
    <xf numFmtId="164" fontId="16" fillId="6" borderId="0" xfId="82" applyNumberFormat="1" applyFont="1" applyFill="1">
      <alignment vertical="center"/>
    </xf>
    <xf numFmtId="0" fontId="16" fillId="6" borderId="0" xfId="0" applyFont="1" applyFill="1" applyAlignment="1">
      <alignment vertical="center"/>
    </xf>
    <xf numFmtId="0" fontId="15" fillId="6" borderId="0" xfId="0" applyFont="1" applyFill="1" applyAlignment="1">
      <alignment horizontal="center" vertical="center"/>
    </xf>
    <xf numFmtId="0" fontId="16" fillId="6" borderId="0" xfId="10" applyFont="1" applyFill="1" applyAlignment="1">
      <alignment horizontal="center" vertical="center"/>
    </xf>
    <xf numFmtId="164" fontId="16" fillId="6" borderId="0" xfId="0" applyNumberFormat="1" applyFont="1" applyFill="1" applyAlignment="1">
      <alignment vertical="center"/>
    </xf>
    <xf numFmtId="43" fontId="16" fillId="6" borderId="0" xfId="0" applyNumberFormat="1" applyFont="1" applyFill="1" applyAlignment="1">
      <alignment vertical="center"/>
    </xf>
    <xf numFmtId="0" fontId="16" fillId="6" borderId="0" xfId="35" applyFont="1" applyFill="1" applyAlignment="1">
      <alignment horizontal="center" vertical="top"/>
    </xf>
    <xf numFmtId="0" fontId="16" fillId="7" borderId="4" xfId="0" applyFont="1" applyFill="1" applyBorder="1"/>
    <xf numFmtId="0" fontId="15" fillId="7" borderId="4" xfId="0" applyFont="1" applyFill="1" applyBorder="1"/>
    <xf numFmtId="0" fontId="16" fillId="7" borderId="4" xfId="0" applyFont="1" applyFill="1" applyBorder="1" applyAlignment="1">
      <alignment vertical="top" wrapText="1"/>
    </xf>
    <xf numFmtId="0" fontId="16" fillId="7" borderId="4" xfId="0" applyFont="1" applyFill="1" applyBorder="1" applyAlignment="1">
      <alignment horizontal="center" vertical="top" wrapText="1"/>
    </xf>
    <xf numFmtId="0" fontId="15" fillId="6" borderId="4" xfId="0" applyFont="1" applyFill="1" applyBorder="1"/>
    <xf numFmtId="0" fontId="15" fillId="6" borderId="4" xfId="0" applyFont="1" applyFill="1" applyBorder="1" applyAlignment="1">
      <alignment horizontal="right"/>
    </xf>
    <xf numFmtId="0" fontId="16" fillId="6" borderId="4" xfId="0" applyFont="1" applyFill="1" applyBorder="1"/>
    <xf numFmtId="2" fontId="15" fillId="6" borderId="0" xfId="0" applyNumberFormat="1" applyFont="1" applyFill="1"/>
    <xf numFmtId="185" fontId="15" fillId="6" borderId="0" xfId="0" applyNumberFormat="1" applyFont="1" applyFill="1"/>
    <xf numFmtId="0" fontId="16" fillId="6" borderId="0" xfId="0" applyFont="1" applyFill="1"/>
    <xf numFmtId="14" fontId="15" fillId="0" borderId="4" xfId="10" applyNumberFormat="1" applyFont="1" applyBorder="1" applyAlignment="1">
      <alignment vertical="center" wrapText="1"/>
    </xf>
    <xf numFmtId="0" fontId="16" fillId="0" borderId="0" xfId="71" applyFont="1"/>
    <xf numFmtId="0" fontId="15" fillId="0" borderId="4" xfId="35" applyFont="1" applyBorder="1" applyAlignment="1">
      <alignment vertical="top"/>
    </xf>
    <xf numFmtId="0" fontId="15" fillId="0" borderId="4" xfId="35" applyFont="1" applyBorder="1" applyAlignment="1">
      <alignment horizontal="center" vertical="top"/>
    </xf>
    <xf numFmtId="0" fontId="15" fillId="0" borderId="4" xfId="35" applyFont="1" applyBorder="1" applyAlignment="1">
      <alignment horizontal="justify" vertical="center" wrapText="1"/>
    </xf>
    <xf numFmtId="0" fontId="15" fillId="0" borderId="4" xfId="80" applyFont="1" applyBorder="1" applyAlignment="1">
      <alignment horizontal="justify" vertical="center" wrapText="1"/>
    </xf>
    <xf numFmtId="164" fontId="15" fillId="0" borderId="4" xfId="69" applyFont="1" applyBorder="1" applyAlignment="1">
      <alignment vertical="top"/>
    </xf>
    <xf numFmtId="164" fontId="16" fillId="0" borderId="4" xfId="35" applyNumberFormat="1" applyFont="1" applyBorder="1" applyAlignment="1">
      <alignment vertical="top"/>
    </xf>
    <xf numFmtId="164" fontId="15" fillId="0" borderId="4" xfId="35" applyNumberFormat="1" applyFont="1" applyBorder="1" applyAlignment="1">
      <alignment vertical="top"/>
    </xf>
    <xf numFmtId="169" fontId="15" fillId="0" borderId="4" xfId="69" quotePrefix="1" applyNumberFormat="1" applyFont="1" applyBorder="1" applyAlignment="1">
      <alignment horizontal="center" vertical="center" wrapText="1"/>
    </xf>
    <xf numFmtId="169" fontId="15" fillId="0" borderId="4" xfId="69" applyNumberFormat="1" applyFont="1" applyBorder="1" applyAlignment="1">
      <alignment horizontal="center" vertical="center"/>
    </xf>
    <xf numFmtId="43" fontId="15" fillId="0" borderId="4" xfId="35" applyNumberFormat="1" applyFont="1" applyBorder="1" applyAlignment="1">
      <alignment vertical="top"/>
    </xf>
    <xf numFmtId="0" fontId="15" fillId="0" borderId="19" xfId="10" applyFont="1" applyBorder="1" applyAlignment="1">
      <alignment horizontal="center" vertical="center"/>
    </xf>
    <xf numFmtId="14" fontId="15" fillId="0" borderId="4" xfId="10" applyNumberFormat="1" applyFont="1" applyBorder="1" applyAlignment="1">
      <alignment horizontal="center" vertical="center"/>
    </xf>
    <xf numFmtId="4" fontId="15" fillId="0" borderId="4" xfId="10" applyNumberFormat="1" applyFont="1" applyBorder="1" applyAlignment="1">
      <alignment horizontal="center" vertical="center"/>
    </xf>
    <xf numFmtId="1" fontId="16" fillId="0" borderId="9" xfId="10" applyNumberFormat="1" applyFont="1" applyBorder="1" applyAlignment="1">
      <alignment horizontal="center" vertical="center"/>
    </xf>
    <xf numFmtId="2" fontId="16" fillId="0" borderId="4" xfId="10" applyNumberFormat="1" applyFont="1" applyBorder="1" applyAlignment="1">
      <alignment horizontal="center" vertical="center"/>
    </xf>
    <xf numFmtId="183" fontId="0" fillId="0" borderId="4" xfId="0" applyNumberFormat="1" applyBorder="1"/>
    <xf numFmtId="2" fontId="15" fillId="0" borderId="26" xfId="10" applyNumberFormat="1" applyFont="1" applyBorder="1" applyAlignment="1">
      <alignment horizontal="center" vertical="center"/>
    </xf>
    <xf numFmtId="0" fontId="15" fillId="0" borderId="0" xfId="34" applyFont="1" applyAlignment="1">
      <alignment horizontal="left" wrapText="1"/>
    </xf>
    <xf numFmtId="0" fontId="16" fillId="0" borderId="0" xfId="71" applyFont="1" applyAlignment="1">
      <alignment horizontal="left" vertical="center"/>
    </xf>
    <xf numFmtId="0" fontId="16" fillId="0" borderId="0" xfId="71" applyFont="1" applyAlignment="1">
      <alignment horizontal="left" vertical="top"/>
    </xf>
    <xf numFmtId="0" fontId="16" fillId="7" borderId="4" xfId="71" applyFont="1" applyFill="1" applyBorder="1" applyAlignment="1">
      <alignment horizontal="left" vertical="center" wrapText="1"/>
    </xf>
    <xf numFmtId="0" fontId="15" fillId="0" borderId="11" xfId="34" applyFont="1" applyBorder="1" applyAlignment="1">
      <alignment horizontal="left" wrapText="1"/>
    </xf>
    <xf numFmtId="0" fontId="15" fillId="0" borderId="0" xfId="71" applyFont="1" applyAlignment="1">
      <alignment horizontal="left" vertical="center"/>
    </xf>
    <xf numFmtId="2" fontId="15" fillId="0" borderId="4" xfId="10" applyNumberFormat="1" applyFont="1" applyBorder="1" applyAlignment="1">
      <alignment horizontal="left"/>
    </xf>
    <xf numFmtId="14" fontId="15" fillId="0" borderId="0" xfId="34" applyNumberFormat="1" applyFont="1" applyAlignment="1">
      <alignment wrapText="1"/>
    </xf>
    <xf numFmtId="2" fontId="15" fillId="0" borderId="0" xfId="34" applyNumberFormat="1" applyFont="1" applyAlignment="1">
      <alignment horizontal="center" vertical="center" wrapText="1"/>
    </xf>
    <xf numFmtId="0" fontId="15" fillId="0" borderId="11" xfId="10" applyFont="1" applyBorder="1"/>
    <xf numFmtId="15" fontId="15" fillId="0" borderId="4" xfId="10" applyNumberFormat="1" applyFont="1" applyBorder="1" applyAlignment="1">
      <alignment wrapText="1"/>
    </xf>
    <xf numFmtId="0" fontId="15" fillId="0" borderId="0" xfId="35" applyFont="1" applyAlignment="1">
      <alignment horizontal="center" vertical="top"/>
    </xf>
    <xf numFmtId="0" fontId="16" fillId="0" borderId="0" xfId="14" applyFont="1" applyAlignment="1">
      <alignment horizontal="center" vertical="top"/>
    </xf>
    <xf numFmtId="0" fontId="15" fillId="0" borderId="4" xfId="35" applyFont="1" applyBorder="1" applyAlignment="1">
      <alignment wrapText="1"/>
    </xf>
    <xf numFmtId="0" fontId="15" fillId="0" borderId="7" xfId="35" applyFont="1" applyBorder="1" applyAlignment="1">
      <alignment wrapText="1"/>
    </xf>
    <xf numFmtId="0" fontId="16" fillId="0" borderId="22" xfId="35" applyFont="1" applyBorder="1"/>
    <xf numFmtId="43" fontId="16" fillId="0" borderId="0" xfId="35" applyNumberFormat="1" applyFont="1"/>
    <xf numFmtId="164" fontId="15" fillId="0" borderId="0" xfId="25" applyFont="1" applyBorder="1" applyAlignment="1">
      <alignment horizontal="center" vertical="top"/>
    </xf>
    <xf numFmtId="43" fontId="49" fillId="0" borderId="0" xfId="35" applyNumberFormat="1" applyFont="1"/>
    <xf numFmtId="43" fontId="15" fillId="0" borderId="0" xfId="35" applyNumberFormat="1" applyFont="1"/>
    <xf numFmtId="10" fontId="0" fillId="0" borderId="0" xfId="70" applyNumberFormat="1" applyFont="1" applyAlignment="1">
      <alignment vertical="center"/>
    </xf>
    <xf numFmtId="9" fontId="0" fillId="0" borderId="0" xfId="70" applyFont="1" applyBorder="1" applyAlignment="1">
      <alignment horizontal="right" vertical="center"/>
    </xf>
    <xf numFmtId="164" fontId="15" fillId="0" borderId="0" xfId="69" applyFont="1"/>
    <xf numFmtId="164" fontId="16" fillId="0" borderId="4" xfId="69" applyFont="1" applyFill="1" applyBorder="1" applyAlignment="1" applyProtection="1">
      <alignment horizontal="left" vertical="center"/>
    </xf>
    <xf numFmtId="164" fontId="49" fillId="0" borderId="4" xfId="69" applyFont="1" applyFill="1" applyBorder="1" applyAlignment="1">
      <alignment vertical="center"/>
    </xf>
    <xf numFmtId="10" fontId="52" fillId="25" borderId="4" xfId="98" applyNumberFormat="1" applyFont="1" applyFill="1" applyBorder="1" applyAlignment="1">
      <alignment horizontal="center" vertical="center" shrinkToFit="1"/>
    </xf>
    <xf numFmtId="169" fontId="0" fillId="0" borderId="0" xfId="69" applyNumberFormat="1" applyFont="1" applyAlignment="1">
      <alignment horizontal="right" vertical="center"/>
    </xf>
    <xf numFmtId="169" fontId="24" fillId="0" borderId="4" xfId="69" quotePrefix="1" applyNumberFormat="1" applyFont="1" applyFill="1" applyBorder="1" applyAlignment="1">
      <alignment horizontal="right" vertical="center" wrapText="1"/>
    </xf>
    <xf numFmtId="169" fontId="24" fillId="0" borderId="4" xfId="69" applyNumberFormat="1" applyFont="1" applyFill="1" applyBorder="1" applyAlignment="1">
      <alignment horizontal="right" vertical="center" wrapText="1"/>
    </xf>
    <xf numFmtId="169" fontId="20" fillId="0" borderId="4" xfId="69" applyNumberFormat="1" applyFont="1" applyFill="1" applyBorder="1" applyAlignment="1">
      <alignment horizontal="center" vertical="center" wrapText="1"/>
    </xf>
    <xf numFmtId="169" fontId="24" fillId="0" borderId="4" xfId="29" applyNumberFormat="1" applyFont="1" applyFill="1" applyBorder="1" applyAlignment="1">
      <alignment horizontal="right" vertical="center" wrapText="1"/>
    </xf>
    <xf numFmtId="164" fontId="20" fillId="0" borderId="4" xfId="29" applyFont="1" applyFill="1" applyBorder="1" applyAlignment="1">
      <alignment horizontal="center" vertical="center"/>
    </xf>
    <xf numFmtId="177" fontId="15" fillId="0" borderId="4" xfId="69" applyNumberFormat="1" applyFont="1" applyBorder="1" applyAlignment="1">
      <alignment horizontal="center"/>
    </xf>
    <xf numFmtId="164" fontId="20" fillId="0" borderId="20" xfId="69" applyFont="1" applyFill="1" applyBorder="1" applyAlignment="1">
      <alignment horizontal="center"/>
    </xf>
    <xf numFmtId="43" fontId="38" fillId="0" borderId="4" xfId="10" applyNumberFormat="1" applyFont="1" applyBorder="1" applyAlignment="1">
      <alignment horizontal="center"/>
    </xf>
    <xf numFmtId="169" fontId="24" fillId="0" borderId="0" xfId="10" applyNumberFormat="1" applyFont="1" applyAlignment="1">
      <alignment vertical="top"/>
    </xf>
    <xf numFmtId="0" fontId="20" fillId="0" borderId="0" xfId="10" applyFont="1" applyAlignment="1">
      <alignment vertical="top"/>
    </xf>
    <xf numFmtId="0" fontId="20" fillId="0" borderId="4" xfId="10" applyFont="1" applyBorder="1" applyAlignment="1">
      <alignment vertical="top"/>
    </xf>
    <xf numFmtId="0" fontId="16" fillId="0" borderId="4" xfId="10" applyFont="1" applyBorder="1" applyAlignment="1">
      <alignment horizontal="center"/>
    </xf>
    <xf numFmtId="166" fontId="24" fillId="0" borderId="4" xfId="10" applyNumberFormat="1" applyFont="1" applyBorder="1" applyAlignment="1">
      <alignment horizontal="center"/>
    </xf>
    <xf numFmtId="176" fontId="38" fillId="0" borderId="4" xfId="10" applyNumberFormat="1" applyFont="1" applyBorder="1" applyAlignment="1">
      <alignment horizontal="center"/>
    </xf>
    <xf numFmtId="10" fontId="58" fillId="0" borderId="0" xfId="0" applyNumberFormat="1" applyFont="1" applyAlignment="1">
      <alignment horizontal="right" vertical="center"/>
    </xf>
    <xf numFmtId="9" fontId="58" fillId="0" borderId="0" xfId="0" applyNumberFormat="1" applyFont="1" applyAlignment="1">
      <alignment horizontal="right" vertical="center"/>
    </xf>
    <xf numFmtId="10" fontId="7" fillId="0" borderId="0" xfId="69" applyNumberFormat="1" applyFont="1" applyFill="1" applyBorder="1" applyAlignment="1">
      <alignment horizontal="right" vertical="center"/>
    </xf>
    <xf numFmtId="10" fontId="38" fillId="0" borderId="0" xfId="70" applyNumberFormat="1" applyFont="1"/>
    <xf numFmtId="0" fontId="88" fillId="0" borderId="0" xfId="0" applyFont="1" applyAlignment="1">
      <alignment vertical="center" wrapText="1"/>
    </xf>
    <xf numFmtId="0" fontId="88" fillId="0" borderId="0" xfId="0" applyFont="1" applyAlignment="1">
      <alignment horizontal="left" vertical="center" wrapText="1"/>
    </xf>
    <xf numFmtId="0" fontId="25" fillId="0" borderId="0" xfId="0" applyFont="1" applyAlignment="1">
      <alignment vertical="center"/>
    </xf>
    <xf numFmtId="164" fontId="24" fillId="0" borderId="0" xfId="29" quotePrefix="1" applyFont="1" applyFill="1" applyBorder="1" applyAlignment="1">
      <alignment horizontal="right" vertical="center" wrapText="1"/>
    </xf>
    <xf numFmtId="169" fontId="24" fillId="0" borderId="0" xfId="69" quotePrefix="1" applyNumberFormat="1" applyFont="1" applyFill="1" applyBorder="1" applyAlignment="1">
      <alignment horizontal="right" vertical="center" wrapText="1"/>
    </xf>
    <xf numFmtId="169" fontId="24" fillId="0" borderId="0" xfId="29" applyNumberFormat="1" applyFont="1" applyFill="1" applyBorder="1" applyAlignment="1">
      <alignment horizontal="right" vertical="center" wrapText="1"/>
    </xf>
    <xf numFmtId="164" fontId="24" fillId="0" borderId="0" xfId="29" applyFont="1" applyFill="1" applyBorder="1" applyAlignment="1">
      <alignment horizontal="right" vertical="center" wrapText="1"/>
    </xf>
    <xf numFmtId="43" fontId="15" fillId="0" borderId="0" xfId="71" applyNumberFormat="1" applyFont="1"/>
    <xf numFmtId="9" fontId="15" fillId="0" borderId="0" xfId="70" applyFont="1"/>
    <xf numFmtId="9" fontId="0" fillId="0" borderId="0" xfId="70" applyFont="1" applyFill="1" applyBorder="1" applyAlignment="1">
      <alignment horizontal="right" vertical="center"/>
    </xf>
    <xf numFmtId="164" fontId="16" fillId="0" borderId="0" xfId="69" applyFont="1" applyAlignment="1">
      <alignment horizontal="centerContinuous"/>
    </xf>
    <xf numFmtId="164" fontId="16" fillId="0" borderId="4" xfId="69" applyFont="1" applyFill="1" applyBorder="1" applyAlignment="1">
      <alignment horizontal="left" vertical="top"/>
    </xf>
    <xf numFmtId="164" fontId="15" fillId="0" borderId="4" xfId="69" applyFont="1" applyFill="1" applyBorder="1" applyAlignment="1">
      <alignment horizontal="right" vertical="top"/>
    </xf>
    <xf numFmtId="164" fontId="15" fillId="0" borderId="4" xfId="69" applyFont="1" applyFill="1" applyBorder="1" applyAlignment="1">
      <alignment vertical="top"/>
    </xf>
    <xf numFmtId="164" fontId="15" fillId="0" borderId="4" xfId="69" applyFont="1" applyFill="1" applyBorder="1" applyAlignment="1">
      <alignment horizontal="right" vertical="top" wrapText="1"/>
    </xf>
    <xf numFmtId="0" fontId="15" fillId="0" borderId="4" xfId="10" applyFont="1" applyBorder="1" applyAlignment="1">
      <alignment horizontal="right" vertical="top"/>
    </xf>
    <xf numFmtId="164" fontId="15" fillId="0" borderId="4" xfId="10" applyNumberFormat="1" applyFont="1" applyBorder="1"/>
    <xf numFmtId="164" fontId="15" fillId="0" borderId="4" xfId="29" applyFont="1" applyFill="1" applyBorder="1" applyAlignment="1">
      <alignment horizontal="left" vertical="top" wrapText="1"/>
    </xf>
    <xf numFmtId="43" fontId="15" fillId="0" borderId="4" xfId="10" applyNumberFormat="1" applyFont="1" applyBorder="1" applyAlignment="1">
      <alignment horizontal="right" vertical="top"/>
    </xf>
    <xf numFmtId="164" fontId="16" fillId="0" borderId="4" xfId="29" applyFont="1" applyFill="1" applyBorder="1" applyAlignment="1">
      <alignment horizontal="left" vertical="top"/>
    </xf>
    <xf numFmtId="0" fontId="15" fillId="14" borderId="0" xfId="10" applyFont="1" applyFill="1"/>
    <xf numFmtId="169" fontId="16" fillId="0" borderId="0" xfId="69" applyNumberFormat="1" applyFont="1" applyFill="1" applyAlignment="1">
      <alignment horizontal="left" vertical="top"/>
    </xf>
    <xf numFmtId="169" fontId="15" fillId="0" borderId="0" xfId="69" applyNumberFormat="1" applyFont="1" applyFill="1"/>
    <xf numFmtId="169" fontId="32" fillId="0" borderId="0" xfId="69" applyNumberFormat="1" applyFont="1" applyFill="1" applyAlignment="1">
      <alignment horizontal="left"/>
    </xf>
    <xf numFmtId="169" fontId="34" fillId="0" borderId="0" xfId="69" applyNumberFormat="1" applyFont="1" applyFill="1"/>
    <xf numFmtId="43" fontId="16" fillId="0" borderId="0" xfId="10" applyNumberFormat="1" applyFont="1" applyAlignment="1">
      <alignment horizontal="center"/>
    </xf>
    <xf numFmtId="164" fontId="16" fillId="0" borderId="7" xfId="29" applyFont="1" applyBorder="1" applyAlignment="1">
      <alignment horizontal="left" vertical="top"/>
    </xf>
    <xf numFmtId="164" fontId="16" fillId="0" borderId="0" xfId="29" applyFont="1" applyBorder="1" applyAlignment="1">
      <alignment horizontal="left" vertical="top"/>
    </xf>
    <xf numFmtId="164" fontId="15" fillId="0" borderId="4" xfId="25" applyFont="1" applyBorder="1"/>
    <xf numFmtId="164" fontId="15" fillId="0" borderId="4" xfId="25" applyFont="1" applyBorder="1" applyAlignment="1">
      <alignment horizontal="center" vertical="top"/>
    </xf>
    <xf numFmtId="164" fontId="15" fillId="0" borderId="7" xfId="25" applyFont="1" applyBorder="1"/>
    <xf numFmtId="164" fontId="15" fillId="0" borderId="7" xfId="25" applyFont="1" applyBorder="1" applyAlignment="1">
      <alignment horizontal="center" vertical="top"/>
    </xf>
    <xf numFmtId="2" fontId="15" fillId="0" borderId="7" xfId="35" applyNumberFormat="1" applyFont="1" applyBorder="1" applyAlignment="1">
      <alignment wrapText="1"/>
    </xf>
    <xf numFmtId="164" fontId="16" fillId="0" borderId="22" xfId="25" applyFont="1" applyFill="1" applyBorder="1" applyAlignment="1">
      <alignment horizontal="center" vertical="top"/>
    </xf>
    <xf numFmtId="0" fontId="16" fillId="0" borderId="22" xfId="35" applyFont="1" applyBorder="1" applyAlignment="1">
      <alignment wrapText="1"/>
    </xf>
    <xf numFmtId="164" fontId="0" fillId="0" borderId="0" xfId="69" applyFont="1" applyAlignment="1">
      <alignment vertical="center"/>
    </xf>
    <xf numFmtId="0" fontId="38" fillId="0" borderId="4" xfId="0" applyFont="1" applyBorder="1" applyAlignment="1">
      <alignment wrapText="1"/>
    </xf>
    <xf numFmtId="0" fontId="63" fillId="21" borderId="7" xfId="0" applyFont="1" applyFill="1" applyBorder="1" applyAlignment="1">
      <alignment horizontal="center" vertical="center"/>
    </xf>
    <xf numFmtId="14" fontId="0" fillId="0" borderId="4" xfId="0" applyNumberFormat="1" applyBorder="1"/>
    <xf numFmtId="10" fontId="0" fillId="0" borderId="4" xfId="0" applyNumberFormat="1" applyBorder="1"/>
    <xf numFmtId="9" fontId="15" fillId="0" borderId="4" xfId="10" applyNumberFormat="1" applyFont="1" applyBorder="1"/>
    <xf numFmtId="10" fontId="15" fillId="0" borderId="4" xfId="10" applyNumberFormat="1" applyFont="1" applyBorder="1"/>
    <xf numFmtId="0" fontId="16" fillId="5" borderId="4" xfId="10" applyFont="1" applyFill="1" applyBorder="1" applyAlignment="1">
      <alignment horizontal="center" vertical="top"/>
    </xf>
    <xf numFmtId="0" fontId="16" fillId="5" borderId="4" xfId="10" quotePrefix="1" applyFont="1" applyFill="1" applyBorder="1" applyAlignment="1">
      <alignment horizontal="center" vertical="top" wrapText="1"/>
    </xf>
    <xf numFmtId="17" fontId="16" fillId="0" borderId="4" xfId="10" applyNumberFormat="1" applyFont="1" applyBorder="1" applyAlignment="1">
      <alignment horizontal="center" vertical="center"/>
    </xf>
    <xf numFmtId="43" fontId="38" fillId="0" borderId="0" xfId="10" applyNumberFormat="1" applyFont="1"/>
    <xf numFmtId="164" fontId="64" fillId="0" borderId="4" xfId="29" applyFont="1" applyFill="1" applyBorder="1"/>
    <xf numFmtId="164" fontId="24" fillId="0" borderId="0" xfId="69" applyFont="1" applyAlignment="1">
      <alignment horizontal="center"/>
    </xf>
    <xf numFmtId="164" fontId="20" fillId="0" borderId="4" xfId="69" applyFont="1" applyBorder="1" applyAlignment="1">
      <alignment horizontal="center"/>
    </xf>
    <xf numFmtId="43" fontId="20" fillId="0" borderId="4" xfId="10" applyNumberFormat="1" applyFont="1" applyBorder="1" applyAlignment="1">
      <alignment horizontal="center"/>
    </xf>
    <xf numFmtId="10" fontId="17" fillId="16" borderId="4" xfId="70" applyNumberFormat="1" applyFont="1" applyFill="1" applyBorder="1" applyAlignment="1">
      <alignment horizontal="center" vertical="center"/>
    </xf>
    <xf numFmtId="177" fontId="17" fillId="0" borderId="4" xfId="69" applyNumberFormat="1" applyFont="1" applyFill="1" applyBorder="1" applyAlignment="1">
      <alignment horizontal="center" vertical="center"/>
    </xf>
    <xf numFmtId="43" fontId="17" fillId="0" borderId="4" xfId="14" applyNumberFormat="1" applyFont="1" applyBorder="1">
      <alignment vertical="center"/>
    </xf>
    <xf numFmtId="186" fontId="17" fillId="0" borderId="4" xfId="14" applyNumberFormat="1" applyFont="1" applyBorder="1">
      <alignment vertical="center"/>
    </xf>
    <xf numFmtId="43" fontId="91" fillId="0" borderId="0" xfId="10" applyNumberFormat="1" applyFont="1"/>
    <xf numFmtId="176" fontId="37" fillId="0" borderId="4" xfId="10" applyNumberFormat="1" applyFont="1" applyBorder="1" applyAlignment="1">
      <alignment horizontal="center"/>
    </xf>
    <xf numFmtId="2" fontId="24" fillId="0" borderId="4" xfId="40" applyNumberFormat="1" applyFont="1" applyFill="1" applyBorder="1" applyAlignment="1">
      <alignment horizontal="right" vertical="center"/>
    </xf>
    <xf numFmtId="10" fontId="15" fillId="0" borderId="4" xfId="40" applyNumberFormat="1" applyFont="1" applyFill="1" applyBorder="1" applyAlignment="1">
      <alignment horizontal="right" vertical="center"/>
    </xf>
    <xf numFmtId="177" fontId="16" fillId="0" borderId="4" xfId="29" applyNumberFormat="1" applyFont="1" applyFill="1" applyBorder="1" applyAlignment="1">
      <alignment horizontal="center" vertical="center"/>
    </xf>
    <xf numFmtId="0" fontId="20" fillId="0" borderId="19" xfId="10" applyFont="1" applyBorder="1" applyAlignment="1">
      <alignment horizontal="center" vertical="center" wrapText="1"/>
    </xf>
    <xf numFmtId="0" fontId="20" fillId="5" borderId="26" xfId="14" applyFont="1" applyFill="1" applyBorder="1" applyAlignment="1">
      <alignment horizontal="center" vertical="center" wrapText="1"/>
    </xf>
    <xf numFmtId="0" fontId="24" fillId="0" borderId="19" xfId="10" applyFont="1" applyBorder="1" applyAlignment="1">
      <alignment horizontal="center" vertical="top"/>
    </xf>
    <xf numFmtId="164" fontId="20" fillId="0" borderId="26" xfId="69" applyFont="1" applyFill="1" applyBorder="1" applyAlignment="1">
      <alignment horizontal="center" vertical="center" wrapText="1"/>
    </xf>
    <xf numFmtId="164" fontId="20" fillId="0" borderId="26" xfId="69" applyFont="1" applyFill="1" applyBorder="1"/>
    <xf numFmtId="0" fontId="20" fillId="0" borderId="19" xfId="10" applyFont="1" applyBorder="1" applyAlignment="1">
      <alignment horizontal="center" vertical="top"/>
    </xf>
    <xf numFmtId="0" fontId="20" fillId="0" borderId="26" xfId="10" applyFont="1" applyBorder="1"/>
    <xf numFmtId="164" fontId="16" fillId="0" borderId="26" xfId="69" applyFont="1" applyFill="1" applyBorder="1" applyAlignment="1">
      <alignment horizontal="center" vertical="center"/>
    </xf>
    <xf numFmtId="0" fontId="24" fillId="5" borderId="19" xfId="10" applyFont="1" applyFill="1" applyBorder="1" applyAlignment="1">
      <alignment horizontal="center" vertical="center"/>
    </xf>
    <xf numFmtId="0" fontId="20" fillId="5" borderId="19" xfId="10" applyFont="1" applyFill="1" applyBorder="1" applyAlignment="1">
      <alignment horizontal="center" vertical="top"/>
    </xf>
    <xf numFmtId="0" fontId="24" fillId="5" borderId="19" xfId="10" applyFont="1" applyFill="1" applyBorder="1" applyAlignment="1">
      <alignment horizontal="center" vertical="top"/>
    </xf>
    <xf numFmtId="164" fontId="20" fillId="0" borderId="26" xfId="69" applyFont="1" applyBorder="1"/>
    <xf numFmtId="0" fontId="24" fillId="0" borderId="26" xfId="10" applyFont="1" applyBorder="1"/>
    <xf numFmtId="0" fontId="20" fillId="5" borderId="19" xfId="10" applyFont="1" applyFill="1" applyBorder="1"/>
    <xf numFmtId="0" fontId="15" fillId="0" borderId="20" xfId="10" applyFont="1" applyBorder="1"/>
    <xf numFmtId="0" fontId="15" fillId="0" borderId="22" xfId="10" applyFont="1" applyBorder="1"/>
    <xf numFmtId="166" fontId="15" fillId="0" borderId="22" xfId="10" applyNumberFormat="1" applyFont="1" applyBorder="1"/>
    <xf numFmtId="0" fontId="16" fillId="0" borderId="22" xfId="10" applyFont="1" applyBorder="1"/>
    <xf numFmtId="0" fontId="16" fillId="0" borderId="35" xfId="10" applyFont="1" applyBorder="1"/>
    <xf numFmtId="1" fontId="16" fillId="4" borderId="4" xfId="10" applyNumberFormat="1" applyFont="1" applyFill="1" applyBorder="1" applyAlignment="1">
      <alignment horizontal="center"/>
    </xf>
    <xf numFmtId="1" fontId="15" fillId="0" borderId="4" xfId="29" applyNumberFormat="1" applyFont="1" applyFill="1" applyBorder="1" applyAlignment="1">
      <alignment horizontal="center" vertical="top" wrapText="1"/>
    </xf>
    <xf numFmtId="1" fontId="16" fillId="0" borderId="4" xfId="29" applyNumberFormat="1" applyFont="1" applyFill="1" applyBorder="1" applyAlignment="1">
      <alignment horizontal="center" vertical="top" wrapText="1"/>
    </xf>
    <xf numFmtId="2" fontId="16" fillId="0" borderId="4" xfId="14" applyNumberFormat="1" applyFont="1" applyBorder="1" applyAlignment="1">
      <alignment horizontal="center" vertical="center"/>
    </xf>
    <xf numFmtId="0" fontId="16" fillId="0" borderId="0" xfId="15" applyFont="1" applyAlignment="1">
      <alignment vertical="center" wrapText="1"/>
    </xf>
    <xf numFmtId="0" fontId="16" fillId="0" borderId="0" xfId="15" applyFont="1" applyAlignment="1">
      <alignment horizontal="center" vertical="center"/>
    </xf>
    <xf numFmtId="0" fontId="16" fillId="0" borderId="0" xfId="10" applyFont="1" applyAlignment="1">
      <alignment horizontal="centerContinuous" vertical="center" wrapText="1"/>
    </xf>
    <xf numFmtId="0" fontId="16" fillId="5" borderId="0" xfId="10" applyFont="1" applyFill="1" applyAlignment="1">
      <alignment horizontal="left" vertical="center"/>
    </xf>
    <xf numFmtId="0" fontId="16" fillId="0" borderId="0" xfId="10" applyFont="1" applyAlignment="1">
      <alignment horizontal="centerContinuous" wrapText="1"/>
    </xf>
    <xf numFmtId="0" fontId="21" fillId="5" borderId="0" xfId="10" applyFont="1" applyFill="1" applyAlignment="1">
      <alignment horizontal="left" wrapText="1"/>
    </xf>
    <xf numFmtId="0" fontId="21" fillId="5" borderId="0" xfId="10" applyFont="1" applyFill="1" applyAlignment="1">
      <alignment horizontal="left"/>
    </xf>
    <xf numFmtId="0" fontId="16" fillId="0" borderId="4" xfId="10" applyFont="1" applyBorder="1" applyAlignment="1">
      <alignment horizontal="left" wrapText="1"/>
    </xf>
    <xf numFmtId="0" fontId="75" fillId="0" borderId="4" xfId="10" applyFont="1" applyBorder="1" applyAlignment="1">
      <alignment wrapText="1"/>
    </xf>
    <xf numFmtId="0" fontId="15" fillId="0" borderId="4" xfId="10" applyFont="1" applyBorder="1" applyAlignment="1">
      <alignment horizontal="left" wrapText="1"/>
    </xf>
    <xf numFmtId="0" fontId="18" fillId="0" borderId="4" xfId="10" applyFont="1" applyBorder="1"/>
    <xf numFmtId="0" fontId="92" fillId="0" borderId="4" xfId="10" applyFont="1" applyBorder="1"/>
    <xf numFmtId="0" fontId="18" fillId="27" borderId="4" xfId="10" applyFont="1" applyFill="1" applyBorder="1"/>
    <xf numFmtId="0" fontId="16" fillId="27" borderId="4" xfId="10" applyFont="1" applyFill="1" applyBorder="1"/>
    <xf numFmtId="0" fontId="15" fillId="27" borderId="4" xfId="10" applyFont="1" applyFill="1" applyBorder="1"/>
    <xf numFmtId="2" fontId="16" fillId="27" borderId="4" xfId="10" applyNumberFormat="1" applyFont="1" applyFill="1" applyBorder="1"/>
    <xf numFmtId="0" fontId="16" fillId="27" borderId="4" xfId="10" applyFont="1" applyFill="1" applyBorder="1" applyAlignment="1">
      <alignment horizontal="center"/>
    </xf>
    <xf numFmtId="0" fontId="92" fillId="27" borderId="4" xfId="10" applyFont="1" applyFill="1" applyBorder="1"/>
    <xf numFmtId="2" fontId="15" fillId="0" borderId="4" xfId="69" applyNumberFormat="1" applyFont="1" applyBorder="1" applyAlignment="1">
      <alignment vertical="center"/>
    </xf>
    <xf numFmtId="0" fontId="4" fillId="0" borderId="0" xfId="125"/>
    <xf numFmtId="0" fontId="38" fillId="0" borderId="4" xfId="126" applyFont="1" applyBorder="1" applyAlignment="1">
      <alignment horizontal="left" vertical="center"/>
    </xf>
    <xf numFmtId="171" fontId="38" fillId="0" borderId="4" xfId="126" applyNumberFormat="1" applyFont="1" applyBorder="1" applyAlignment="1">
      <alignment vertical="center"/>
    </xf>
    <xf numFmtId="164" fontId="15" fillId="0" borderId="4" xfId="127" applyFont="1" applyFill="1" applyBorder="1" applyAlignment="1">
      <alignment vertical="center"/>
    </xf>
    <xf numFmtId="9" fontId="15" fillId="0" borderId="7" xfId="10" applyNumberFormat="1" applyFont="1" applyBorder="1" applyAlignment="1">
      <alignment vertical="center"/>
    </xf>
    <xf numFmtId="171" fontId="15" fillId="0" borderId="10" xfId="128" applyNumberFormat="1" applyFont="1" applyFill="1" applyBorder="1" applyAlignment="1">
      <alignment vertical="center"/>
    </xf>
    <xf numFmtId="0" fontId="15" fillId="0" borderId="10" xfId="10" applyFont="1" applyBorder="1" applyAlignment="1">
      <alignment vertical="center"/>
    </xf>
    <xf numFmtId="0" fontId="38" fillId="0" borderId="4" xfId="126" applyFont="1" applyBorder="1" applyAlignment="1">
      <alignment vertical="center"/>
    </xf>
    <xf numFmtId="43" fontId="4" fillId="0" borderId="0" xfId="125" applyNumberFormat="1"/>
    <xf numFmtId="0" fontId="15" fillId="0" borderId="4" xfId="125" applyFont="1" applyBorder="1"/>
    <xf numFmtId="0" fontId="4" fillId="0" borderId="0" xfId="125" applyAlignment="1">
      <alignment horizontal="left" vertical="center"/>
    </xf>
    <xf numFmtId="0" fontId="93" fillId="0" borderId="0" xfId="76" applyFont="1"/>
    <xf numFmtId="0" fontId="94" fillId="11" borderId="0" xfId="76" applyFont="1" applyFill="1" applyAlignment="1">
      <alignment horizontal="left"/>
    </xf>
    <xf numFmtId="0" fontId="94" fillId="0" borderId="0" xfId="76" applyFont="1"/>
    <xf numFmtId="0" fontId="94" fillId="12" borderId="4" xfId="76" applyFont="1" applyFill="1" applyBorder="1" applyAlignment="1">
      <alignment vertical="center"/>
    </xf>
    <xf numFmtId="0" fontId="94" fillId="12" borderId="4" xfId="76" applyFont="1" applyFill="1" applyBorder="1" applyAlignment="1">
      <alignment horizontal="center" vertical="center" wrapText="1"/>
    </xf>
    <xf numFmtId="0" fontId="94" fillId="12" borderId="4" xfId="76" applyFont="1" applyFill="1" applyBorder="1" applyAlignment="1">
      <alignment horizontal="center" vertical="center"/>
    </xf>
    <xf numFmtId="0" fontId="93" fillId="0" borderId="4" xfId="76" applyFont="1" applyBorder="1"/>
    <xf numFmtId="0" fontId="93" fillId="0" borderId="4" xfId="76" applyFont="1" applyBorder="1" applyAlignment="1">
      <alignment horizontal="left"/>
    </xf>
    <xf numFmtId="169" fontId="93" fillId="0" borderId="4" xfId="77" applyNumberFormat="1" applyFont="1" applyBorder="1"/>
    <xf numFmtId="170" fontId="93" fillId="0" borderId="4" xfId="64" applyNumberFormat="1" applyFont="1" applyBorder="1"/>
    <xf numFmtId="170" fontId="93" fillId="6" borderId="4" xfId="64" applyNumberFormat="1" applyFont="1" applyFill="1" applyBorder="1"/>
    <xf numFmtId="170" fontId="93" fillId="13" borderId="4" xfId="64" applyNumberFormat="1" applyFont="1" applyFill="1" applyBorder="1"/>
    <xf numFmtId="170" fontId="93" fillId="8" borderId="4" xfId="64" applyNumberFormat="1" applyFont="1" applyFill="1" applyBorder="1"/>
    <xf numFmtId="170" fontId="93" fillId="0" borderId="4" xfId="64" applyNumberFormat="1" applyFont="1" applyBorder="1" applyAlignment="1">
      <alignment vertical="center" wrapText="1"/>
    </xf>
    <xf numFmtId="0" fontId="94" fillId="10" borderId="4" xfId="76" applyFont="1" applyFill="1" applyBorder="1"/>
    <xf numFmtId="0" fontId="94" fillId="10" borderId="4" xfId="76" applyFont="1" applyFill="1" applyBorder="1" applyAlignment="1">
      <alignment horizontal="left"/>
    </xf>
    <xf numFmtId="170" fontId="94" fillId="10" borderId="4" xfId="64" applyNumberFormat="1" applyFont="1" applyFill="1" applyBorder="1"/>
    <xf numFmtId="170" fontId="93" fillId="0" borderId="0" xfId="76" applyNumberFormat="1" applyFont="1"/>
    <xf numFmtId="0" fontId="93" fillId="0" borderId="0" xfId="76" applyFont="1" applyAlignment="1">
      <alignment vertical="center" wrapText="1"/>
    </xf>
    <xf numFmtId="0" fontId="94" fillId="0" borderId="0" xfId="76" applyFont="1" applyAlignment="1">
      <alignment vertical="center"/>
    </xf>
    <xf numFmtId="0" fontId="94" fillId="12" borderId="4" xfId="76" applyFont="1" applyFill="1" applyBorder="1" applyAlignment="1">
      <alignment vertical="center" wrapText="1"/>
    </xf>
    <xf numFmtId="0" fontId="94" fillId="12" borderId="4" xfId="76" applyFont="1" applyFill="1" applyBorder="1" applyAlignment="1">
      <alignment horizontal="left" vertical="center"/>
    </xf>
    <xf numFmtId="10" fontId="93" fillId="0" borderId="4" xfId="76" applyNumberFormat="1" applyFont="1" applyBorder="1"/>
    <xf numFmtId="164" fontId="93" fillId="0" borderId="4" xfId="78" applyNumberFormat="1" applyFont="1" applyBorder="1" applyAlignment="1">
      <alignment vertical="center"/>
    </xf>
    <xf numFmtId="171" fontId="93" fillId="0" borderId="4" xfId="79" applyNumberFormat="1" applyFont="1" applyBorder="1"/>
    <xf numFmtId="10" fontId="93" fillId="6" borderId="4" xfId="76" applyNumberFormat="1" applyFont="1" applyFill="1" applyBorder="1"/>
    <xf numFmtId="165" fontId="94" fillId="10" borderId="4" xfId="64" applyFont="1" applyFill="1" applyBorder="1"/>
    <xf numFmtId="0" fontId="93" fillId="0" borderId="0" xfId="76" applyFont="1" applyAlignment="1">
      <alignment horizontal="left"/>
    </xf>
    <xf numFmtId="164" fontId="93" fillId="0" borderId="0" xfId="77" applyNumberFormat="1" applyFont="1"/>
    <xf numFmtId="0" fontId="93" fillId="0" borderId="0" xfId="76" applyFont="1" applyAlignment="1">
      <alignment vertical="center"/>
    </xf>
    <xf numFmtId="164" fontId="93" fillId="0" borderId="4" xfId="77" applyNumberFormat="1" applyFont="1" applyBorder="1"/>
    <xf numFmtId="170" fontId="93" fillId="0" borderId="4" xfId="76" applyNumberFormat="1" applyFont="1" applyBorder="1"/>
    <xf numFmtId="0" fontId="16" fillId="0" borderId="0" xfId="10" applyFont="1" applyAlignment="1">
      <alignment wrapText="1"/>
    </xf>
    <xf numFmtId="164" fontId="16" fillId="0" borderId="4" xfId="69" applyFont="1" applyBorder="1" applyAlignment="1">
      <alignment horizontal="center" vertical="center"/>
    </xf>
    <xf numFmtId="164" fontId="16" fillId="0" borderId="4" xfId="69" applyFont="1" applyBorder="1" applyAlignment="1">
      <alignment horizontal="left" wrapText="1"/>
    </xf>
    <xf numFmtId="164" fontId="75" fillId="0" borderId="4" xfId="69" applyFont="1" applyBorder="1" applyAlignment="1">
      <alignment wrapText="1"/>
    </xf>
    <xf numFmtId="164" fontId="15" fillId="0" borderId="4" xfId="69" applyFont="1" applyBorder="1" applyAlignment="1">
      <alignment wrapText="1"/>
    </xf>
    <xf numFmtId="164" fontId="44" fillId="0" borderId="4" xfId="69" applyFont="1" applyBorder="1" applyAlignment="1">
      <alignment vertical="center" wrapText="1"/>
    </xf>
    <xf numFmtId="164" fontId="16" fillId="0" borderId="4" xfId="69" applyFont="1" applyBorder="1" applyAlignment="1">
      <alignment horizontal="left" vertical="center" wrapText="1"/>
    </xf>
    <xf numFmtId="164" fontId="62" fillId="0" borderId="4" xfId="69" applyFont="1" applyBorder="1" applyAlignment="1">
      <alignment horizontal="left" vertical="center" wrapText="1"/>
    </xf>
    <xf numFmtId="164" fontId="16" fillId="26" borderId="4" xfId="69" applyFont="1" applyFill="1" applyBorder="1" applyAlignment="1">
      <alignment horizontal="left" vertical="center" wrapText="1"/>
    </xf>
    <xf numFmtId="164" fontId="75" fillId="0" borderId="4" xfId="69" applyFont="1" applyBorder="1" applyAlignment="1">
      <alignment vertical="center" wrapText="1"/>
    </xf>
    <xf numFmtId="43" fontId="17" fillId="0" borderId="0" xfId="10" applyNumberFormat="1" applyFont="1"/>
    <xf numFmtId="164" fontId="33" fillId="0" borderId="0" xfId="69" applyFont="1"/>
    <xf numFmtId="164" fontId="24" fillId="0" borderId="4" xfId="14" applyNumberFormat="1" applyFont="1" applyBorder="1" applyAlignment="1">
      <alignment horizontal="center" vertical="center" wrapText="1"/>
    </xf>
    <xf numFmtId="164" fontId="19" fillId="0" borderId="4" xfId="69" applyFont="1" applyFill="1" applyBorder="1" applyAlignment="1">
      <alignment horizontal="center" vertical="center" wrapText="1"/>
    </xf>
    <xf numFmtId="10" fontId="34" fillId="0" borderId="4" xfId="70" applyNumberFormat="1" applyFont="1" applyFill="1" applyBorder="1" applyAlignment="1">
      <alignment horizontal="center" vertical="center" wrapText="1"/>
    </xf>
    <xf numFmtId="10" fontId="24" fillId="0" borderId="4" xfId="14" applyNumberFormat="1" applyFont="1" applyBorder="1" applyAlignment="1">
      <alignment horizontal="center" vertical="center" wrapText="1"/>
    </xf>
    <xf numFmtId="164" fontId="93" fillId="0" borderId="4" xfId="29" applyFont="1" applyBorder="1"/>
    <xf numFmtId="10" fontId="93" fillId="0" borderId="4" xfId="83" applyNumberFormat="1" applyFont="1" applyBorder="1"/>
    <xf numFmtId="164" fontId="93" fillId="13" borderId="4" xfId="29" applyFont="1" applyFill="1" applyBorder="1"/>
    <xf numFmtId="164" fontId="93" fillId="6" borderId="4" xfId="29" applyFont="1" applyFill="1" applyBorder="1"/>
    <xf numFmtId="165" fontId="93" fillId="0" borderId="4" xfId="64" applyFont="1" applyBorder="1"/>
    <xf numFmtId="165" fontId="93" fillId="13" borderId="4" xfId="64" applyFont="1" applyFill="1" applyBorder="1"/>
    <xf numFmtId="165" fontId="93" fillId="0" borderId="4" xfId="64" applyFont="1" applyBorder="1" applyAlignment="1">
      <alignment vertical="center" wrapText="1"/>
    </xf>
    <xf numFmtId="165" fontId="93" fillId="0" borderId="4" xfId="78" applyNumberFormat="1" applyFont="1" applyBorder="1" applyAlignment="1">
      <alignment vertical="center"/>
    </xf>
    <xf numFmtId="165" fontId="93" fillId="8" borderId="4" xfId="64" applyFont="1" applyFill="1" applyBorder="1"/>
    <xf numFmtId="165" fontId="93" fillId="0" borderId="4" xfId="76" applyNumberFormat="1" applyFont="1" applyBorder="1"/>
    <xf numFmtId="164" fontId="53" fillId="0" borderId="4" xfId="69" applyFont="1" applyBorder="1"/>
    <xf numFmtId="164" fontId="53" fillId="0" borderId="0" xfId="69" applyFont="1"/>
    <xf numFmtId="0" fontId="95" fillId="0" borderId="0" xfId="14" applyFont="1">
      <alignment vertical="center"/>
    </xf>
    <xf numFmtId="0" fontId="63" fillId="0" borderId="4" xfId="129" applyFont="1" applyBorder="1"/>
    <xf numFmtId="0" fontId="3" fillId="0" borderId="4" xfId="129" applyBorder="1"/>
    <xf numFmtId="0" fontId="3" fillId="0" borderId="0" xfId="129"/>
    <xf numFmtId="0" fontId="3" fillId="0" borderId="4" xfId="129" applyBorder="1" applyAlignment="1">
      <alignment horizontal="center"/>
    </xf>
    <xf numFmtId="0" fontId="3" fillId="0" borderId="4" xfId="129" applyBorder="1" applyAlignment="1">
      <alignment vertical="center"/>
    </xf>
    <xf numFmtId="0" fontId="3" fillId="0" borderId="4" xfId="129" applyBorder="1" applyAlignment="1">
      <alignment horizontal="center" vertical="center"/>
    </xf>
    <xf numFmtId="0" fontId="3" fillId="0" borderId="4" xfId="129" applyBorder="1" applyAlignment="1">
      <alignment wrapText="1"/>
    </xf>
    <xf numFmtId="0" fontId="3" fillId="0" borderId="4" xfId="129" applyBorder="1" applyAlignment="1">
      <alignment vertical="center" wrapText="1"/>
    </xf>
    <xf numFmtId="0" fontId="3" fillId="0" borderId="0" xfId="129" applyAlignment="1">
      <alignment vertical="center"/>
    </xf>
    <xf numFmtId="0" fontId="82" fillId="0" borderId="4" xfId="129" applyFont="1" applyBorder="1"/>
    <xf numFmtId="0" fontId="3" fillId="0" borderId="4" xfId="129" applyBorder="1" applyAlignment="1">
      <alignment horizontal="left" wrapText="1"/>
    </xf>
    <xf numFmtId="0" fontId="3" fillId="0" borderId="4" xfId="129" applyBorder="1" applyAlignment="1">
      <alignment horizontal="left"/>
    </xf>
    <xf numFmtId="0" fontId="3" fillId="0" borderId="0" xfId="129" applyAlignment="1">
      <alignment horizontal="left"/>
    </xf>
    <xf numFmtId="43" fontId="63" fillId="0" borderId="4" xfId="130" applyFont="1" applyBorder="1" applyAlignment="1">
      <alignment horizontal="center"/>
    </xf>
    <xf numFmtId="0" fontId="63" fillId="0" borderId="0" xfId="129" applyFont="1"/>
    <xf numFmtId="43" fontId="63" fillId="0" borderId="0" xfId="129" applyNumberFormat="1" applyFont="1"/>
    <xf numFmtId="43" fontId="16" fillId="0" borderId="4" xfId="10" applyNumberFormat="1" applyFont="1" applyBorder="1"/>
    <xf numFmtId="10" fontId="15" fillId="20" borderId="0" xfId="70" applyNumberFormat="1" applyFont="1" applyFill="1" applyBorder="1"/>
    <xf numFmtId="10" fontId="16" fillId="0" borderId="4" xfId="14" applyNumberFormat="1" applyFont="1" applyBorder="1">
      <alignment vertical="center"/>
    </xf>
    <xf numFmtId="164" fontId="38" fillId="0" borderId="0" xfId="69" applyFont="1"/>
    <xf numFmtId="164" fontId="16" fillId="0" borderId="4" xfId="69" applyFont="1" applyFill="1" applyBorder="1" applyAlignment="1" applyProtection="1">
      <alignment vertical="center" wrapText="1"/>
    </xf>
    <xf numFmtId="10" fontId="41" fillId="0" borderId="4" xfId="70" applyNumberFormat="1" applyFont="1" applyFill="1" applyBorder="1"/>
    <xf numFmtId="164" fontId="15" fillId="0" borderId="4" xfId="69" applyFont="1" applyFill="1" applyBorder="1" applyAlignment="1">
      <alignment vertical="center" wrapText="1"/>
    </xf>
    <xf numFmtId="0" fontId="15" fillId="0" borderId="4" xfId="70" applyNumberFormat="1" applyFont="1" applyFill="1" applyBorder="1" applyAlignment="1">
      <alignment horizontal="center" vertical="center"/>
    </xf>
    <xf numFmtId="10" fontId="15" fillId="0" borderId="4" xfId="70" applyNumberFormat="1" applyFont="1" applyFill="1" applyBorder="1" applyAlignment="1">
      <alignment vertical="center" wrapText="1"/>
    </xf>
    <xf numFmtId="0" fontId="63" fillId="27" borderId="4" xfId="0" applyFont="1" applyFill="1" applyBorder="1" applyAlignment="1">
      <alignment vertical="center"/>
    </xf>
    <xf numFmtId="0" fontId="63" fillId="27" borderId="4" xfId="0" applyFont="1" applyFill="1" applyBorder="1" applyAlignment="1">
      <alignment horizontal="center" vertical="center" wrapText="1"/>
    </xf>
    <xf numFmtId="0" fontId="0" fillId="0" borderId="4" xfId="0" applyBorder="1" applyAlignment="1">
      <alignment wrapText="1"/>
    </xf>
    <xf numFmtId="164" fontId="0" fillId="0" borderId="4" xfId="69" applyFont="1" applyBorder="1" applyAlignment="1">
      <alignment vertical="center"/>
    </xf>
    <xf numFmtId="0" fontId="63" fillId="0" borderId="0" xfId="0" applyFont="1"/>
    <xf numFmtId="0" fontId="0" fillId="0" borderId="4" xfId="0" applyBorder="1" applyAlignment="1">
      <alignment horizontal="left"/>
    </xf>
    <xf numFmtId="0" fontId="63" fillId="27" borderId="7" xfId="0" applyFont="1" applyFill="1" applyBorder="1" applyAlignment="1">
      <alignment vertical="center"/>
    </xf>
    <xf numFmtId="164" fontId="0" fillId="0" borderId="4" xfId="69" applyFont="1" applyBorder="1" applyAlignment="1">
      <alignment horizontal="center"/>
    </xf>
    <xf numFmtId="164" fontId="63" fillId="0" borderId="4" xfId="69" applyFont="1" applyBorder="1" applyAlignment="1">
      <alignment horizontal="center"/>
    </xf>
    <xf numFmtId="14" fontId="15" fillId="0" borderId="0" xfId="10" applyNumberFormat="1" applyFont="1"/>
    <xf numFmtId="43" fontId="15" fillId="0" borderId="4" xfId="29" applyNumberFormat="1" applyFont="1" applyBorder="1" applyAlignment="1">
      <alignment horizontal="left" vertical="top"/>
    </xf>
    <xf numFmtId="10" fontId="16" fillId="0" borderId="0" xfId="70" applyNumberFormat="1" applyFont="1"/>
    <xf numFmtId="9" fontId="15" fillId="0" borderId="0" xfId="70" applyFont="1" applyAlignment="1">
      <alignment vertical="center"/>
    </xf>
    <xf numFmtId="43" fontId="16" fillId="0" borderId="4" xfId="35" applyNumberFormat="1" applyFont="1" applyBorder="1" applyAlignment="1">
      <alignment vertical="top"/>
    </xf>
    <xf numFmtId="2" fontId="15" fillId="0" borderId="7" xfId="35" applyNumberFormat="1" applyFont="1" applyBorder="1" applyAlignment="1">
      <alignment horizontal="left" wrapText="1"/>
    </xf>
    <xf numFmtId="2" fontId="15" fillId="0" borderId="7" xfId="35" applyNumberFormat="1" applyFont="1" applyBorder="1" applyAlignment="1">
      <alignment horizontal="right" wrapText="1"/>
    </xf>
    <xf numFmtId="0" fontId="16" fillId="0" borderId="7" xfId="35" applyFont="1" applyBorder="1" applyAlignment="1">
      <alignment wrapText="1"/>
    </xf>
    <xf numFmtId="0" fontId="15" fillId="0" borderId="4" xfId="131" applyFont="1" applyBorder="1" applyAlignment="1">
      <alignment vertical="top" wrapText="1"/>
    </xf>
    <xf numFmtId="2" fontId="16" fillId="0" borderId="22" xfId="10" quotePrefix="1" applyNumberFormat="1" applyFont="1" applyBorder="1" applyAlignment="1">
      <alignment horizontal="center" vertical="center" wrapText="1"/>
    </xf>
    <xf numFmtId="43" fontId="15" fillId="0" borderId="0" xfId="35" applyNumberFormat="1" applyFont="1" applyAlignment="1">
      <alignment wrapText="1"/>
    </xf>
    <xf numFmtId="164" fontId="15" fillId="0" borderId="0" xfId="35" applyNumberFormat="1" applyFont="1" applyAlignment="1">
      <alignment wrapText="1"/>
    </xf>
    <xf numFmtId="164" fontId="3" fillId="0" borderId="4" xfId="69" applyFont="1" applyBorder="1" applyAlignment="1">
      <alignment horizontal="center"/>
    </xf>
    <xf numFmtId="164" fontId="3" fillId="0" borderId="4" xfId="69" applyFont="1" applyBorder="1" applyAlignment="1">
      <alignment horizontal="center" vertical="center"/>
    </xf>
    <xf numFmtId="164" fontId="16" fillId="0" borderId="4" xfId="69" applyFont="1" applyBorder="1" applyAlignment="1">
      <alignment vertical="top"/>
    </xf>
    <xf numFmtId="176" fontId="20" fillId="0" borderId="4" xfId="10" applyNumberFormat="1" applyFont="1" applyBorder="1" applyAlignment="1">
      <alignment horizontal="center"/>
    </xf>
    <xf numFmtId="177" fontId="38" fillId="0" borderId="0" xfId="69" applyNumberFormat="1" applyFont="1"/>
    <xf numFmtId="175" fontId="16" fillId="0" borderId="4" xfId="29" applyNumberFormat="1" applyFont="1" applyFill="1" applyBorder="1" applyAlignment="1">
      <alignment horizontal="center" vertical="center" wrapText="1"/>
    </xf>
    <xf numFmtId="164" fontId="16" fillId="0" borderId="4" xfId="29" applyFont="1" applyFill="1" applyBorder="1" applyAlignment="1">
      <alignment horizontal="center" vertical="center" wrapText="1"/>
    </xf>
    <xf numFmtId="0" fontId="66" fillId="0" borderId="4" xfId="92" applyFont="1" applyBorder="1" applyAlignment="1">
      <alignment horizontal="center" vertical="center" wrapText="1"/>
    </xf>
    <xf numFmtId="183" fontId="66" fillId="0" borderId="4" xfId="92" applyNumberFormat="1" applyFont="1" applyBorder="1" applyAlignment="1">
      <alignment horizontal="center" vertical="center" wrapText="1"/>
    </xf>
    <xf numFmtId="43" fontId="66" fillId="0" borderId="4" xfId="86" applyFont="1" applyFill="1" applyBorder="1" applyAlignment="1">
      <alignment horizontal="center" vertical="center" wrapText="1"/>
    </xf>
    <xf numFmtId="183" fontId="15" fillId="0" borderId="4" xfId="10" applyNumberFormat="1" applyFont="1" applyBorder="1" applyAlignment="1">
      <alignment horizontal="center" vertical="center"/>
    </xf>
    <xf numFmtId="164" fontId="67" fillId="0" borderId="4" xfId="25" applyFont="1" applyFill="1" applyBorder="1" applyAlignment="1">
      <alignment horizontal="center" vertical="center" wrapText="1"/>
    </xf>
    <xf numFmtId="0" fontId="70" fillId="0" borderId="4" xfId="0" applyFont="1" applyBorder="1" applyAlignment="1">
      <alignment horizontal="center" vertical="center" wrapText="1"/>
    </xf>
    <xf numFmtId="0" fontId="70" fillId="0" borderId="4" xfId="0" applyFont="1" applyBorder="1" applyAlignment="1">
      <alignment horizontal="center" vertical="center"/>
    </xf>
    <xf numFmtId="183" fontId="70" fillId="0" borderId="4" xfId="0" applyNumberFormat="1" applyFont="1" applyBorder="1" applyAlignment="1">
      <alignment horizontal="center" vertical="center" wrapText="1"/>
    </xf>
    <xf numFmtId="0" fontId="58" fillId="0" borderId="4" xfId="10" applyFont="1" applyBorder="1"/>
    <xf numFmtId="43" fontId="58" fillId="0" borderId="4" xfId="10" applyNumberFormat="1" applyFont="1" applyBorder="1"/>
    <xf numFmtId="0" fontId="75" fillId="0" borderId="4" xfId="10" applyFont="1" applyBorder="1"/>
    <xf numFmtId="0" fontId="58" fillId="0" borderId="4" xfId="0" applyFont="1" applyBorder="1" applyAlignment="1">
      <alignment horizontal="left" vertical="center" wrapText="1" indent="2"/>
    </xf>
    <xf numFmtId="0" fontId="66" fillId="0" borderId="4" xfId="92" applyFont="1" applyBorder="1" applyAlignment="1">
      <alignment vertical="center" wrapText="1"/>
    </xf>
    <xf numFmtId="2" fontId="15" fillId="0" borderId="4" xfId="10" applyNumberFormat="1" applyFont="1" applyBorder="1" applyAlignment="1">
      <alignment horizontal="center" vertical="center"/>
    </xf>
    <xf numFmtId="2" fontId="15" fillId="0" borderId="0" xfId="10" applyNumberFormat="1" applyFont="1" applyAlignment="1">
      <alignment vertical="center"/>
    </xf>
    <xf numFmtId="187" fontId="52" fillId="0" borderId="4" xfId="0" applyNumberFormat="1" applyFont="1" applyBorder="1" applyAlignment="1">
      <alignment horizontal="left" vertical="center" wrapText="1"/>
    </xf>
    <xf numFmtId="168" fontId="15" fillId="0" borderId="4" xfId="10" applyNumberFormat="1" applyFont="1" applyBorder="1" applyAlignment="1">
      <alignment vertical="center"/>
    </xf>
    <xf numFmtId="0" fontId="21" fillId="0" borderId="4" xfId="10" applyFont="1" applyBorder="1" applyAlignment="1">
      <alignment vertical="center" wrapText="1"/>
    </xf>
    <xf numFmtId="2" fontId="16" fillId="0" borderId="4" xfId="10" applyNumberFormat="1" applyFont="1" applyBorder="1" applyAlignment="1">
      <alignment vertical="center"/>
    </xf>
    <xf numFmtId="164" fontId="21" fillId="0" borderId="4" xfId="69" applyFont="1" applyFill="1" applyBorder="1" applyAlignment="1">
      <alignment vertical="center"/>
    </xf>
    <xf numFmtId="164" fontId="33" fillId="0" borderId="4" xfId="29" applyFont="1" applyFill="1" applyBorder="1" applyAlignment="1">
      <alignment vertical="center"/>
    </xf>
    <xf numFmtId="9" fontId="90" fillId="0" borderId="19" xfId="0" applyNumberFormat="1" applyFont="1" applyBorder="1"/>
    <xf numFmtId="10" fontId="65" fillId="0" borderId="19" xfId="40" applyNumberFormat="1" applyFont="1" applyFill="1" applyBorder="1"/>
    <xf numFmtId="169" fontId="65" fillId="0" borderId="19" xfId="69" applyNumberFormat="1" applyFont="1" applyFill="1" applyBorder="1"/>
    <xf numFmtId="9" fontId="65" fillId="0" borderId="19" xfId="70" applyFont="1" applyFill="1" applyBorder="1"/>
    <xf numFmtId="10" fontId="77" fillId="0" borderId="0" xfId="0" applyNumberFormat="1" applyFont="1" applyAlignment="1">
      <alignment horizontal="right" vertical="center"/>
    </xf>
    <xf numFmtId="171" fontId="0" fillId="0" borderId="0" xfId="0" applyNumberFormat="1" applyAlignment="1">
      <alignment vertical="center"/>
    </xf>
    <xf numFmtId="171" fontId="58" fillId="0" borderId="0" xfId="69" applyNumberFormat="1" applyFont="1" applyFill="1" applyBorder="1" applyAlignment="1">
      <alignment horizontal="right" vertical="center"/>
    </xf>
    <xf numFmtId="2" fontId="63" fillId="0" borderId="0" xfId="0" applyNumberFormat="1" applyFont="1" applyAlignment="1">
      <alignment vertical="center"/>
    </xf>
    <xf numFmtId="10" fontId="0" fillId="0" borderId="0" xfId="70" applyNumberFormat="1" applyFont="1" applyFill="1" applyBorder="1" applyAlignment="1">
      <alignment vertical="center"/>
    </xf>
    <xf numFmtId="164" fontId="0" fillId="0" borderId="0" xfId="69" applyFont="1" applyFill="1" applyAlignment="1">
      <alignment horizontal="right" vertical="center"/>
    </xf>
    <xf numFmtId="9" fontId="0" fillId="0" borderId="0" xfId="0" applyNumberFormat="1" applyAlignment="1">
      <alignment vertical="center"/>
    </xf>
    <xf numFmtId="10" fontId="0" fillId="0" borderId="0" xfId="0" applyNumberFormat="1" applyAlignment="1">
      <alignment vertical="center"/>
    </xf>
    <xf numFmtId="169" fontId="0" fillId="0" borderId="0" xfId="69" applyNumberFormat="1" applyFont="1" applyFill="1" applyAlignment="1">
      <alignment vertical="center"/>
    </xf>
    <xf numFmtId="9" fontId="58" fillId="0" borderId="0" xfId="0" applyNumberFormat="1" applyFont="1" applyAlignment="1">
      <alignment vertical="center"/>
    </xf>
    <xf numFmtId="2" fontId="63" fillId="0" borderId="0" xfId="0" applyNumberFormat="1" applyFont="1" applyAlignment="1">
      <alignment horizontal="center" vertical="center"/>
    </xf>
    <xf numFmtId="0" fontId="50" fillId="0" borderId="0" xfId="0" applyFont="1" applyAlignment="1">
      <alignment horizontal="center" vertical="center" wrapText="1"/>
    </xf>
    <xf numFmtId="9" fontId="0" fillId="0" borderId="0" xfId="0" applyNumberFormat="1" applyAlignment="1">
      <alignment horizontal="center" vertical="center"/>
    </xf>
    <xf numFmtId="164" fontId="15" fillId="0" borderId="4" xfId="69" applyFont="1" applyBorder="1" applyAlignment="1">
      <alignment horizontal="right" vertical="center"/>
    </xf>
    <xf numFmtId="4" fontId="16" fillId="0" borderId="4" xfId="29" applyNumberFormat="1" applyFont="1" applyFill="1" applyBorder="1" applyAlignment="1">
      <alignment vertical="center"/>
    </xf>
    <xf numFmtId="0" fontId="63" fillId="0" borderId="0" xfId="0" applyFont="1" applyAlignment="1">
      <alignment horizontal="right" vertical="center"/>
    </xf>
    <xf numFmtId="179" fontId="0" fillId="0" borderId="0" xfId="70" applyNumberFormat="1" applyFont="1" applyFill="1" applyBorder="1" applyAlignment="1">
      <alignment horizontal="right" vertical="center"/>
    </xf>
    <xf numFmtId="0" fontId="85" fillId="0" borderId="0" xfId="95" applyFill="1" applyBorder="1" applyAlignment="1">
      <alignment vertical="center" wrapText="1"/>
    </xf>
    <xf numFmtId="0" fontId="17" fillId="0" borderId="0" xfId="0" applyFont="1" applyAlignment="1">
      <alignment vertical="center" wrapText="1"/>
    </xf>
    <xf numFmtId="171" fontId="0" fillId="0" borderId="0" xfId="69" applyNumberFormat="1" applyFont="1" applyFill="1" applyBorder="1" applyAlignment="1">
      <alignment vertical="center"/>
    </xf>
    <xf numFmtId="0" fontId="50" fillId="0" borderId="0" xfId="0" applyFont="1" applyAlignment="1">
      <alignment horizontal="center" vertical="center"/>
    </xf>
    <xf numFmtId="16" fontId="16" fillId="0" borderId="0" xfId="10" applyNumberFormat="1" applyFont="1" applyAlignment="1">
      <alignment horizontal="center" vertical="center" wrapText="1"/>
    </xf>
    <xf numFmtId="0" fontId="25" fillId="0" borderId="12" xfId="0" applyFont="1" applyBorder="1" applyAlignment="1">
      <alignment horizontal="center" vertical="center"/>
    </xf>
    <xf numFmtId="0" fontId="50" fillId="0" borderId="0" xfId="0" applyFont="1" applyAlignment="1">
      <alignment horizontal="left" vertical="center" wrapText="1"/>
    </xf>
    <xf numFmtId="164" fontId="50" fillId="0" borderId="0" xfId="69" applyFont="1" applyFill="1" applyBorder="1" applyAlignment="1">
      <alignment horizontal="right" vertical="center"/>
    </xf>
    <xf numFmtId="164" fontId="50" fillId="0" borderId="0" xfId="69" applyFont="1" applyBorder="1" applyAlignment="1">
      <alignment horizontal="right" vertical="center"/>
    </xf>
    <xf numFmtId="171" fontId="25" fillId="0" borderId="0" xfId="69" applyNumberFormat="1" applyFont="1" applyBorder="1" applyAlignment="1">
      <alignment vertical="center"/>
    </xf>
    <xf numFmtId="171" fontId="25" fillId="0" borderId="14" xfId="69" applyNumberFormat="1" applyFont="1" applyBorder="1" applyAlignment="1">
      <alignment vertical="center"/>
    </xf>
    <xf numFmtId="10" fontId="16" fillId="0" borderId="4" xfId="69" applyNumberFormat="1" applyFont="1" applyFill="1" applyBorder="1" applyAlignment="1">
      <alignment vertical="center"/>
    </xf>
    <xf numFmtId="10" fontId="16" fillId="0" borderId="4" xfId="29" applyNumberFormat="1" applyFont="1" applyFill="1" applyBorder="1" applyAlignment="1">
      <alignment vertical="center"/>
    </xf>
    <xf numFmtId="2" fontId="15" fillId="0" borderId="4" xfId="10" applyNumberFormat="1" applyFont="1" applyBorder="1"/>
    <xf numFmtId="2" fontId="15" fillId="0" borderId="5" xfId="10" applyNumberFormat="1" applyFont="1" applyBorder="1" applyAlignment="1">
      <alignment horizontal="center" vertical="center"/>
    </xf>
    <xf numFmtId="0" fontId="15" fillId="0" borderId="4" xfId="0" applyFont="1" applyBorder="1"/>
    <xf numFmtId="2" fontId="15" fillId="0" borderId="4" xfId="0" applyNumberFormat="1" applyFont="1" applyBorder="1"/>
    <xf numFmtId="0" fontId="16" fillId="0" borderId="4" xfId="0" applyFont="1" applyBorder="1"/>
    <xf numFmtId="2" fontId="16" fillId="0" borderId="4" xfId="0" applyNumberFormat="1" applyFont="1" applyBorder="1"/>
    <xf numFmtId="164" fontId="16" fillId="0" borderId="4" xfId="81" applyFont="1" applyFill="1" applyBorder="1"/>
    <xf numFmtId="17" fontId="17" fillId="0" borderId="4" xfId="0" applyNumberFormat="1" applyFont="1" applyBorder="1" applyAlignment="1">
      <alignment horizontal="center" vertical="center"/>
    </xf>
    <xf numFmtId="14" fontId="15" fillId="0" borderId="4" xfId="68" applyNumberFormat="1" applyFont="1" applyBorder="1" applyAlignment="1">
      <alignment horizontal="center" vertical="center"/>
    </xf>
    <xf numFmtId="9" fontId="15" fillId="0" borderId="4" xfId="68" applyNumberFormat="1" applyFont="1" applyBorder="1" applyAlignment="1">
      <alignment horizontal="center" vertical="center"/>
    </xf>
    <xf numFmtId="2" fontId="15" fillId="0" borderId="4" xfId="68" applyNumberFormat="1" applyFont="1" applyBorder="1" applyAlignment="1">
      <alignment horizontal="center" vertical="center"/>
    </xf>
    <xf numFmtId="43" fontId="96" fillId="0" borderId="0" xfId="14" applyNumberFormat="1" applyFont="1">
      <alignment vertical="center"/>
    </xf>
    <xf numFmtId="10" fontId="24" fillId="0" borderId="0" xfId="70" applyNumberFormat="1" applyFont="1" applyAlignment="1">
      <alignment vertical="top"/>
    </xf>
    <xf numFmtId="174" fontId="24" fillId="0" borderId="0" xfId="10" applyNumberFormat="1" applyFont="1" applyAlignment="1">
      <alignment vertical="top"/>
    </xf>
    <xf numFmtId="0" fontId="88" fillId="0" borderId="4" xfId="0" applyFont="1" applyBorder="1" applyAlignment="1">
      <alignment vertical="center"/>
    </xf>
    <xf numFmtId="0" fontId="25" fillId="0" borderId="4" xfId="0" applyFont="1" applyBorder="1" applyAlignment="1">
      <alignment vertical="center"/>
    </xf>
    <xf numFmtId="0" fontId="1" fillId="0" borderId="4" xfId="0" applyFont="1" applyBorder="1" applyAlignment="1">
      <alignment vertical="center"/>
    </xf>
    <xf numFmtId="0" fontId="0" fillId="0" borderId="4" xfId="0" applyBorder="1" applyAlignment="1">
      <alignment vertical="center" wrapText="1"/>
    </xf>
    <xf numFmtId="0" fontId="63" fillId="0" borderId="4" xfId="0" applyFont="1" applyBorder="1" applyAlignment="1">
      <alignment vertical="center"/>
    </xf>
    <xf numFmtId="0" fontId="50" fillId="0" borderId="4" xfId="0" applyFont="1" applyBorder="1" applyAlignment="1">
      <alignment vertical="center" wrapText="1"/>
    </xf>
    <xf numFmtId="0" fontId="50" fillId="0" borderId="4" xfId="0" applyFont="1" applyBorder="1" applyAlignment="1">
      <alignment vertical="center"/>
    </xf>
    <xf numFmtId="0" fontId="50" fillId="0" borderId="4" xfId="0" applyFont="1" applyBorder="1" applyAlignment="1">
      <alignment horizontal="center" vertical="center" wrapText="1"/>
    </xf>
    <xf numFmtId="0" fontId="50" fillId="0" borderId="4" xfId="0" applyFont="1" applyBorder="1" applyAlignment="1">
      <alignment horizontal="center" vertical="center"/>
    </xf>
    <xf numFmtId="164" fontId="17" fillId="0" borderId="4" xfId="69" applyFont="1" applyBorder="1" applyAlignment="1">
      <alignment vertical="center" wrapText="1"/>
    </xf>
    <xf numFmtId="0" fontId="82" fillId="0" borderId="4" xfId="0" applyFont="1" applyBorder="1" applyAlignment="1">
      <alignment vertical="center"/>
    </xf>
    <xf numFmtId="0" fontId="0" fillId="0" borderId="4" xfId="0" applyBorder="1" applyAlignment="1">
      <alignment horizontal="center" vertical="center"/>
    </xf>
    <xf numFmtId="10" fontId="0" fillId="0" borderId="4" xfId="0" applyNumberFormat="1" applyBorder="1" applyAlignment="1">
      <alignment horizontal="right" vertical="center"/>
    </xf>
    <xf numFmtId="0" fontId="0" fillId="0" borderId="4" xfId="0" applyBorder="1" applyAlignment="1">
      <alignment vertical="center"/>
    </xf>
    <xf numFmtId="164" fontId="17" fillId="0" borderId="4" xfId="0" applyNumberFormat="1" applyFont="1" applyBorder="1" applyAlignment="1">
      <alignment vertical="center" wrapText="1"/>
    </xf>
    <xf numFmtId="1" fontId="17" fillId="0" borderId="4" xfId="0" applyNumberFormat="1" applyFont="1" applyBorder="1" applyAlignment="1">
      <alignment vertical="center" wrapText="1"/>
    </xf>
    <xf numFmtId="171" fontId="0" fillId="0" borderId="4" xfId="0" applyNumberFormat="1" applyBorder="1" applyAlignment="1">
      <alignment vertical="center" wrapText="1"/>
    </xf>
    <xf numFmtId="43" fontId="0" fillId="0" borderId="4" xfId="0" applyNumberFormat="1" applyBorder="1" applyAlignment="1">
      <alignment vertical="center" wrapText="1"/>
    </xf>
    <xf numFmtId="2" fontId="17" fillId="0" borderId="4" xfId="69" applyNumberFormat="1" applyFont="1" applyBorder="1" applyAlignment="1">
      <alignment horizontal="center" vertical="center" wrapText="1"/>
    </xf>
    <xf numFmtId="1" fontId="17" fillId="0" borderId="4" xfId="69" applyNumberFormat="1" applyFont="1" applyBorder="1" applyAlignment="1">
      <alignment horizontal="center" vertical="center" wrapText="1"/>
    </xf>
    <xf numFmtId="1" fontId="0" fillId="0" borderId="4" xfId="69" applyNumberFormat="1" applyFont="1" applyBorder="1" applyAlignment="1">
      <alignment horizontal="center"/>
    </xf>
    <xf numFmtId="171" fontId="1" fillId="0" borderId="0" xfId="132" applyNumberFormat="1"/>
    <xf numFmtId="169" fontId="0" fillId="0" borderId="4" xfId="69" applyNumberFormat="1" applyFont="1" applyBorder="1"/>
    <xf numFmtId="169" fontId="50" fillId="0" borderId="4" xfId="0" applyNumberFormat="1" applyFont="1" applyBorder="1"/>
    <xf numFmtId="2" fontId="18" fillId="0" borderId="4" xfId="0" applyNumberFormat="1" applyFont="1" applyBorder="1" applyAlignment="1">
      <alignment horizontal="center" vertical="center" wrapText="1"/>
    </xf>
    <xf numFmtId="1" fontId="18" fillId="0" borderId="4" xfId="0" applyNumberFormat="1" applyFont="1" applyBorder="1" applyAlignment="1">
      <alignment horizontal="center" vertical="center" wrapText="1"/>
    </xf>
    <xf numFmtId="2" fontId="17" fillId="0" borderId="4" xfId="0" applyNumberFormat="1" applyFont="1" applyBorder="1" applyAlignment="1">
      <alignment horizontal="center" vertical="center" wrapText="1"/>
    </xf>
    <xf numFmtId="2" fontId="24" fillId="0" borderId="4" xfId="69" quotePrefix="1" applyNumberFormat="1" applyFont="1" applyFill="1" applyBorder="1" applyAlignment="1">
      <alignment horizontal="right" vertical="center" wrapText="1"/>
    </xf>
    <xf numFmtId="164" fontId="15" fillId="0" borderId="7" xfId="69" applyFont="1" applyFill="1" applyBorder="1" applyAlignment="1">
      <alignment horizontal="right"/>
    </xf>
    <xf numFmtId="164" fontId="15" fillId="0" borderId="7" xfId="69" applyFont="1" applyBorder="1"/>
    <xf numFmtId="164" fontId="16" fillId="0" borderId="7" xfId="69" applyFont="1" applyFill="1" applyBorder="1"/>
    <xf numFmtId="164" fontId="15" fillId="0" borderId="7" xfId="69" applyFont="1" applyFill="1" applyBorder="1"/>
    <xf numFmtId="164" fontId="16" fillId="0" borderId="22" xfId="69" applyFont="1" applyFill="1" applyBorder="1" applyAlignment="1">
      <alignment horizontal="center" vertical="top"/>
    </xf>
    <xf numFmtId="164" fontId="15" fillId="0" borderId="7" xfId="69" applyFont="1" applyBorder="1" applyAlignment="1">
      <alignment horizontal="right" wrapText="1"/>
    </xf>
    <xf numFmtId="164" fontId="15" fillId="0" borderId="7" xfId="69" applyFont="1" applyFill="1" applyBorder="1" applyAlignment="1">
      <alignment horizontal="center" vertical="top"/>
    </xf>
    <xf numFmtId="164" fontId="15" fillId="0" borderId="0" xfId="69" applyFont="1" applyBorder="1" applyAlignment="1">
      <alignment horizontal="center" vertical="top"/>
    </xf>
    <xf numFmtId="164" fontId="15" fillId="0" borderId="7" xfId="69" applyFont="1" applyFill="1" applyBorder="1" applyAlignment="1">
      <alignment horizontal="right" vertical="top"/>
    </xf>
    <xf numFmtId="164" fontId="15" fillId="0" borderId="7" xfId="69" applyFont="1" applyBorder="1" applyAlignment="1">
      <alignment wrapText="1"/>
    </xf>
    <xf numFmtId="164" fontId="15" fillId="0" borderId="0" xfId="69" applyFont="1" applyAlignment="1">
      <alignment wrapText="1"/>
    </xf>
    <xf numFmtId="164" fontId="15" fillId="0" borderId="0" xfId="69" applyFont="1" applyBorder="1"/>
    <xf numFmtId="43" fontId="24" fillId="0" borderId="8" xfId="10" applyNumberFormat="1" applyFont="1" applyBorder="1" applyAlignment="1">
      <alignment horizontal="center"/>
    </xf>
    <xf numFmtId="0" fontId="65" fillId="0" borderId="19" xfId="0" applyFont="1" applyBorder="1" applyAlignment="1">
      <alignment horizontal="center"/>
    </xf>
    <xf numFmtId="2" fontId="65" fillId="0" borderId="4" xfId="0" applyNumberFormat="1" applyFont="1" applyBorder="1"/>
    <xf numFmtId="2" fontId="65" fillId="0" borderId="19" xfId="0" applyNumberFormat="1" applyFont="1" applyBorder="1" applyAlignment="1">
      <alignment horizontal="center"/>
    </xf>
    <xf numFmtId="0" fontId="24" fillId="0" borderId="19" xfId="10" applyFont="1" applyBorder="1" applyAlignment="1">
      <alignment horizontal="center"/>
    </xf>
    <xf numFmtId="0" fontId="37" fillId="7" borderId="8" xfId="10" applyFont="1" applyFill="1" applyBorder="1" applyAlignment="1">
      <alignment horizontal="center" vertical="center"/>
    </xf>
    <xf numFmtId="0" fontId="20" fillId="4" borderId="4" xfId="14" applyFont="1" applyFill="1" applyBorder="1" applyAlignment="1">
      <alignment horizontal="center" vertical="center" wrapText="1"/>
    </xf>
    <xf numFmtId="0" fontId="16" fillId="7" borderId="4" xfId="10" applyFont="1" applyFill="1" applyBorder="1" applyAlignment="1">
      <alignment horizontal="center" vertical="center" wrapText="1"/>
    </xf>
    <xf numFmtId="171" fontId="24" fillId="0" borderId="4" xfId="29" applyNumberFormat="1" applyFont="1" applyFill="1" applyBorder="1" applyAlignment="1">
      <alignment horizontal="right" vertical="center" wrapText="1"/>
    </xf>
    <xf numFmtId="164" fontId="16" fillId="0" borderId="4" xfId="69" applyFont="1" applyFill="1" applyBorder="1" applyAlignment="1">
      <alignment horizontal="center" vertical="center" wrapText="1"/>
    </xf>
    <xf numFmtId="0" fontId="24" fillId="0" borderId="4" xfId="10" applyFont="1" applyFill="1" applyBorder="1" applyAlignment="1">
      <alignment vertical="top"/>
    </xf>
    <xf numFmtId="0" fontId="24" fillId="0" borderId="4" xfId="10" applyFont="1" applyFill="1" applyBorder="1"/>
    <xf numFmtId="0" fontId="20" fillId="0" borderId="4" xfId="14" quotePrefix="1" applyFont="1" applyFill="1" applyBorder="1" applyAlignment="1">
      <alignment horizontal="center" vertical="center" wrapText="1"/>
    </xf>
    <xf numFmtId="0" fontId="20" fillId="0" borderId="4" xfId="14" applyFont="1" applyFill="1" applyBorder="1" applyAlignment="1">
      <alignment horizontal="center" vertical="center" wrapText="1"/>
    </xf>
    <xf numFmtId="0" fontId="24" fillId="0" borderId="4" xfId="14" quotePrefix="1" applyFont="1" applyFill="1" applyBorder="1" applyAlignment="1">
      <alignment horizontal="center" vertical="center" wrapText="1"/>
    </xf>
    <xf numFmtId="10" fontId="51" fillId="0" borderId="4" xfId="40" applyNumberFormat="1" applyFont="1" applyFill="1" applyBorder="1" applyAlignment="1">
      <alignment wrapText="1"/>
    </xf>
    <xf numFmtId="10" fontId="52" fillId="0" borderId="4" xfId="70" applyNumberFormat="1" applyFont="1" applyFill="1" applyBorder="1" applyAlignment="1">
      <alignment horizontal="center" vertical="center"/>
    </xf>
    <xf numFmtId="0" fontId="24" fillId="0" borderId="4" xfId="70" applyNumberFormat="1" applyFont="1" applyFill="1" applyBorder="1" applyAlignment="1">
      <alignment horizontal="right" vertical="center"/>
    </xf>
    <xf numFmtId="169" fontId="24" fillId="0" borderId="4" xfId="29" applyNumberFormat="1" applyFont="1" applyFill="1" applyBorder="1" applyAlignment="1">
      <alignment horizontal="right" vertical="center"/>
    </xf>
    <xf numFmtId="0" fontId="24" fillId="0" borderId="4" xfId="40" applyNumberFormat="1" applyFont="1" applyFill="1" applyBorder="1" applyAlignment="1">
      <alignment horizontal="right" vertical="center"/>
    </xf>
    <xf numFmtId="43" fontId="24" fillId="0" borderId="0" xfId="10" applyNumberFormat="1" applyFont="1" applyAlignment="1">
      <alignment vertical="top"/>
    </xf>
    <xf numFmtId="164" fontId="24" fillId="0" borderId="0" xfId="69" quotePrefix="1" applyFont="1" applyFill="1" applyBorder="1" applyAlignment="1">
      <alignment horizontal="right" vertical="center" wrapText="1"/>
    </xf>
    <xf numFmtId="176" fontId="0" fillId="0" borderId="0" xfId="0" applyNumberFormat="1" applyAlignment="1">
      <alignment vertical="center" wrapText="1"/>
    </xf>
    <xf numFmtId="169" fontId="0" fillId="0" borderId="4" xfId="69" applyNumberFormat="1" applyFont="1" applyBorder="1" applyAlignment="1">
      <alignment vertical="center" wrapText="1"/>
    </xf>
    <xf numFmtId="169" fontId="17" fillId="0" borderId="4" xfId="69" applyNumberFormat="1" applyFont="1" applyBorder="1" applyAlignment="1">
      <alignment vertical="center" wrapText="1"/>
    </xf>
    <xf numFmtId="169" fontId="18" fillId="0" borderId="4" xfId="69" applyNumberFormat="1" applyFont="1" applyBorder="1" applyAlignment="1">
      <alignment vertical="center" wrapText="1"/>
    </xf>
    <xf numFmtId="0" fontId="16" fillId="4" borderId="4" xfId="14" applyFont="1" applyFill="1" applyBorder="1" applyAlignment="1">
      <alignment horizontal="center" vertical="center" wrapText="1"/>
    </xf>
    <xf numFmtId="169" fontId="3" fillId="0" borderId="4" xfId="69" applyNumberFormat="1" applyFont="1" applyBorder="1" applyAlignment="1">
      <alignment horizontal="center"/>
    </xf>
    <xf numFmtId="169" fontId="3" fillId="0" borderId="4" xfId="69" applyNumberFormat="1" applyFont="1" applyBorder="1" applyAlignment="1">
      <alignment horizontal="center" vertical="center"/>
    </xf>
    <xf numFmtId="169" fontId="63" fillId="0" borderId="4" xfId="69" applyNumberFormat="1" applyFont="1" applyBorder="1" applyAlignment="1">
      <alignment horizontal="center"/>
    </xf>
    <xf numFmtId="164" fontId="3" fillId="0" borderId="0" xfId="69" applyFont="1"/>
    <xf numFmtId="10" fontId="15" fillId="0" borderId="0" xfId="40" applyNumberFormat="1" applyFont="1" applyFill="1" applyBorder="1"/>
    <xf numFmtId="0" fontId="15" fillId="0" borderId="0" xfId="10" applyFont="1" applyFill="1"/>
    <xf numFmtId="10" fontId="58" fillId="0" borderId="0" xfId="0" applyNumberFormat="1" applyFont="1" applyFill="1" applyAlignment="1">
      <alignment horizontal="right" vertical="center"/>
    </xf>
    <xf numFmtId="0" fontId="54" fillId="12" borderId="4" xfId="0" applyFont="1" applyFill="1" applyBorder="1" applyAlignment="1">
      <alignment horizontal="center"/>
    </xf>
    <xf numFmtId="0" fontId="21" fillId="0" borderId="0" xfId="14" applyFont="1" applyAlignment="1">
      <alignment horizontal="center" vertical="center"/>
    </xf>
    <xf numFmtId="0" fontId="46" fillId="0" borderId="0" xfId="10" applyFont="1" applyAlignment="1">
      <alignment horizontal="center" vertical="center"/>
    </xf>
    <xf numFmtId="0" fontId="21" fillId="15" borderId="0" xfId="14" applyFont="1" applyFill="1" applyAlignment="1">
      <alignment horizontal="center" vertical="center"/>
    </xf>
    <xf numFmtId="0" fontId="46" fillId="15" borderId="0" xfId="10" applyFont="1" applyFill="1" applyAlignment="1">
      <alignment horizontal="center" vertical="center"/>
    </xf>
    <xf numFmtId="0" fontId="20" fillId="4" borderId="7" xfId="14" applyFont="1" applyFill="1" applyBorder="1" applyAlignment="1">
      <alignment horizontal="center" vertical="center"/>
    </xf>
    <xf numFmtId="0" fontId="20" fillId="4" borderId="10" xfId="14" applyFont="1" applyFill="1" applyBorder="1" applyAlignment="1">
      <alignment horizontal="center" vertical="center"/>
    </xf>
    <xf numFmtId="0" fontId="23" fillId="0" borderId="6" xfId="10" applyFont="1" applyBorder="1" applyAlignment="1">
      <alignment horizontal="center" vertical="center"/>
    </xf>
    <xf numFmtId="0" fontId="20" fillId="4" borderId="4" xfId="14" applyFont="1" applyFill="1" applyBorder="1" applyAlignment="1">
      <alignment horizontal="center" vertical="center"/>
    </xf>
    <xf numFmtId="0" fontId="23" fillId="0" borderId="4" xfId="10" applyFont="1" applyBorder="1" applyAlignment="1">
      <alignment horizontal="center" vertical="center"/>
    </xf>
    <xf numFmtId="0" fontId="16" fillId="4" borderId="4" xfId="14" applyFont="1" applyFill="1" applyBorder="1" applyAlignment="1">
      <alignment horizontal="center" vertical="center" wrapText="1"/>
    </xf>
    <xf numFmtId="0" fontId="15" fillId="0" borderId="4" xfId="10" applyFont="1" applyBorder="1" applyAlignment="1">
      <alignment horizontal="center" vertical="center" wrapText="1"/>
    </xf>
    <xf numFmtId="0" fontId="16" fillId="0" borderId="0" xfId="14" applyFont="1" applyAlignment="1">
      <alignment horizontal="center" vertical="center"/>
    </xf>
    <xf numFmtId="0" fontId="16" fillId="0" borderId="0" xfId="10" applyFont="1" applyAlignment="1">
      <alignment horizontal="center" vertical="center"/>
    </xf>
    <xf numFmtId="0" fontId="16" fillId="4" borderId="7" xfId="14" applyFont="1" applyFill="1" applyBorder="1" applyAlignment="1">
      <alignment horizontal="center" vertical="center" wrapText="1"/>
    </xf>
    <xf numFmtId="0" fontId="16" fillId="4" borderId="10" xfId="14" applyFont="1" applyFill="1" applyBorder="1" applyAlignment="1">
      <alignment horizontal="center" vertical="center" wrapText="1"/>
    </xf>
    <xf numFmtId="0" fontId="25" fillId="0" borderId="6" xfId="10" applyBorder="1" applyAlignment="1">
      <alignment horizontal="center" vertical="center" wrapText="1"/>
    </xf>
    <xf numFmtId="0" fontId="16" fillId="4" borderId="4" xfId="14" applyFont="1" applyFill="1" applyBorder="1" applyAlignment="1">
      <alignment horizontal="center" vertical="center"/>
    </xf>
    <xf numFmtId="0" fontId="25" fillId="0" borderId="4" xfId="10" applyBorder="1" applyAlignment="1">
      <alignment horizontal="center" vertical="center"/>
    </xf>
    <xf numFmtId="0" fontId="16" fillId="4" borderId="5" xfId="14" applyFont="1" applyFill="1" applyBorder="1" applyAlignment="1">
      <alignment horizontal="center" vertical="center" wrapText="1"/>
    </xf>
    <xf numFmtId="0" fontId="16" fillId="4" borderId="3" xfId="14" applyFont="1" applyFill="1" applyBorder="1" applyAlignment="1">
      <alignment horizontal="center" vertical="center" wrapText="1"/>
    </xf>
    <xf numFmtId="0" fontId="16" fillId="4" borderId="8" xfId="14" applyFont="1" applyFill="1" applyBorder="1" applyAlignment="1">
      <alignment horizontal="center" vertical="center" wrapText="1"/>
    </xf>
    <xf numFmtId="0" fontId="20" fillId="4" borderId="5" xfId="14" applyFont="1" applyFill="1" applyBorder="1" applyAlignment="1">
      <alignment horizontal="center" vertical="center" wrapText="1"/>
    </xf>
    <xf numFmtId="0" fontId="20" fillId="4" borderId="3" xfId="14" applyFont="1" applyFill="1" applyBorder="1" applyAlignment="1">
      <alignment horizontal="center" vertical="center" wrapText="1"/>
    </xf>
    <xf numFmtId="0" fontId="20" fillId="4" borderId="8" xfId="14" applyFont="1" applyFill="1" applyBorder="1" applyAlignment="1">
      <alignment horizontal="center" vertical="center" wrapText="1"/>
    </xf>
    <xf numFmtId="0" fontId="97" fillId="6" borderId="11" xfId="10" applyFont="1" applyFill="1" applyBorder="1" applyAlignment="1">
      <alignment horizontal="left"/>
    </xf>
    <xf numFmtId="0" fontId="16" fillId="7" borderId="4" xfId="14" applyFont="1" applyFill="1" applyBorder="1" applyAlignment="1">
      <alignment horizontal="center" vertical="center" wrapText="1"/>
    </xf>
    <xf numFmtId="0" fontId="15" fillId="7" borderId="4" xfId="10" applyFont="1" applyFill="1" applyBorder="1" applyAlignment="1">
      <alignment horizontal="center" vertical="center" wrapText="1"/>
    </xf>
    <xf numFmtId="0" fontId="37" fillId="7" borderId="7" xfId="10" applyFont="1" applyFill="1" applyBorder="1" applyAlignment="1">
      <alignment horizontal="center" vertical="center"/>
    </xf>
    <xf numFmtId="0" fontId="37" fillId="7" borderId="6" xfId="10" applyFont="1" applyFill="1" applyBorder="1" applyAlignment="1">
      <alignment horizontal="center" vertical="center"/>
    </xf>
    <xf numFmtId="0" fontId="37" fillId="7" borderId="7" xfId="10" applyFont="1" applyFill="1" applyBorder="1" applyAlignment="1">
      <alignment horizontal="center" vertical="center" wrapText="1"/>
    </xf>
    <xf numFmtId="0" fontId="37" fillId="7" borderId="6" xfId="10" applyFont="1" applyFill="1" applyBorder="1" applyAlignment="1">
      <alignment horizontal="center" vertical="center" wrapText="1"/>
    </xf>
    <xf numFmtId="0" fontId="37" fillId="7" borderId="5" xfId="10" applyFont="1" applyFill="1" applyBorder="1" applyAlignment="1">
      <alignment horizontal="center" vertical="center"/>
    </xf>
    <xf numFmtId="0" fontId="37" fillId="7" borderId="3" xfId="10" applyFont="1" applyFill="1" applyBorder="1" applyAlignment="1">
      <alignment horizontal="center" vertical="center"/>
    </xf>
    <xf numFmtId="0" fontId="37" fillId="7" borderId="8" xfId="10" applyFont="1" applyFill="1" applyBorder="1" applyAlignment="1">
      <alignment horizontal="center" vertical="center"/>
    </xf>
    <xf numFmtId="0" fontId="20" fillId="4" borderId="4" xfId="14" applyFont="1" applyFill="1" applyBorder="1" applyAlignment="1">
      <alignment horizontal="center" vertical="center" wrapText="1"/>
    </xf>
    <xf numFmtId="0" fontId="16" fillId="6" borderId="0" xfId="14" applyFont="1" applyFill="1" applyAlignment="1">
      <alignment horizontal="center" vertical="center"/>
    </xf>
    <xf numFmtId="0" fontId="16" fillId="6" borderId="0" xfId="10" applyFont="1" applyFill="1" applyAlignment="1">
      <alignment horizontal="center" vertical="center"/>
    </xf>
    <xf numFmtId="0" fontId="15" fillId="0" borderId="7" xfId="10" applyFont="1" applyBorder="1" applyAlignment="1">
      <alignment horizontal="center" vertical="top" wrapText="1"/>
    </xf>
    <xf numFmtId="0" fontId="15" fillId="0" borderId="10" xfId="10" applyFont="1" applyBorder="1" applyAlignment="1">
      <alignment horizontal="center" vertical="top" wrapText="1"/>
    </xf>
    <xf numFmtId="0" fontId="15" fillId="0" borderId="6" xfId="10" applyFont="1" applyBorder="1" applyAlignment="1">
      <alignment horizontal="center" vertical="top" wrapText="1"/>
    </xf>
    <xf numFmtId="0" fontId="50" fillId="0" borderId="0" xfId="10" applyFont="1" applyAlignment="1">
      <alignment horizontal="center" vertical="center"/>
    </xf>
    <xf numFmtId="0" fontId="16" fillId="4" borderId="4" xfId="14" quotePrefix="1" applyFont="1" applyFill="1" applyBorder="1" applyAlignment="1">
      <alignment horizontal="center" vertical="center" wrapText="1"/>
    </xf>
    <xf numFmtId="0" fontId="16" fillId="4" borderId="6" xfId="14" applyFont="1" applyFill="1" applyBorder="1" applyAlignment="1">
      <alignment horizontal="center" vertical="center" wrapText="1"/>
    </xf>
    <xf numFmtId="0" fontId="20" fillId="4" borderId="7" xfId="14" applyFont="1" applyFill="1" applyBorder="1" applyAlignment="1">
      <alignment horizontal="center" vertical="center" wrapText="1"/>
    </xf>
    <xf numFmtId="0" fontId="20" fillId="4" borderId="6" xfId="14" applyFont="1" applyFill="1" applyBorder="1" applyAlignment="1">
      <alignment horizontal="center" vertical="center" wrapText="1"/>
    </xf>
    <xf numFmtId="0" fontId="29" fillId="0" borderId="0" xfId="10" applyFont="1" applyAlignment="1">
      <alignment horizontal="center" vertical="center"/>
    </xf>
    <xf numFmtId="0" fontId="20" fillId="4" borderId="4" xfId="14" quotePrefix="1" applyFont="1" applyFill="1" applyBorder="1" applyAlignment="1">
      <alignment horizontal="center" vertical="center" wrapText="1"/>
    </xf>
    <xf numFmtId="0" fontId="24" fillId="0" borderId="4" xfId="10" applyFont="1" applyBorder="1" applyAlignment="1">
      <alignment horizontal="center" vertical="center" wrapText="1"/>
    </xf>
    <xf numFmtId="0" fontId="20" fillId="0" borderId="0" xfId="14" applyFont="1" applyAlignment="1">
      <alignment horizontal="center" vertical="center"/>
    </xf>
    <xf numFmtId="0" fontId="20" fillId="7" borderId="12" xfId="97" applyFont="1" applyFill="1" applyBorder="1" applyAlignment="1">
      <alignment horizontal="center" vertical="center"/>
    </xf>
    <xf numFmtId="0" fontId="20" fillId="7" borderId="0" xfId="97" applyFont="1" applyFill="1" applyAlignment="1">
      <alignment horizontal="center" vertical="center"/>
    </xf>
    <xf numFmtId="0" fontId="58" fillId="14" borderId="5" xfId="96" applyFont="1" applyFill="1" applyBorder="1" applyAlignment="1">
      <alignment horizontal="center"/>
    </xf>
    <xf numFmtId="0" fontId="58" fillId="14" borderId="3" xfId="96" applyFont="1" applyFill="1" applyBorder="1" applyAlignment="1">
      <alignment horizontal="center"/>
    </xf>
    <xf numFmtId="0" fontId="58" fillId="14" borderId="8" xfId="96" applyFont="1" applyFill="1" applyBorder="1" applyAlignment="1">
      <alignment horizontal="center"/>
    </xf>
    <xf numFmtId="0" fontId="20" fillId="7" borderId="4" xfId="97" applyFont="1" applyFill="1" applyBorder="1" applyAlignment="1">
      <alignment horizontal="center" vertical="center"/>
    </xf>
    <xf numFmtId="0" fontId="20" fillId="7" borderId="5" xfId="97" applyFont="1" applyFill="1" applyBorder="1" applyAlignment="1">
      <alignment horizontal="center" vertical="center"/>
    </xf>
    <xf numFmtId="0" fontId="20" fillId="7" borderId="3" xfId="97" applyFont="1" applyFill="1" applyBorder="1" applyAlignment="1">
      <alignment horizontal="center" vertical="center"/>
    </xf>
    <xf numFmtId="164" fontId="15" fillId="0" borderId="7" xfId="69" applyFont="1" applyFill="1" applyBorder="1" applyAlignment="1">
      <alignment horizontal="center" vertical="center"/>
    </xf>
    <xf numFmtId="164" fontId="15" fillId="0" borderId="10" xfId="69" applyFont="1" applyFill="1" applyBorder="1" applyAlignment="1">
      <alignment horizontal="center" vertical="center"/>
    </xf>
    <xf numFmtId="164" fontId="15" fillId="0" borderId="6" xfId="69" applyFont="1" applyFill="1" applyBorder="1" applyAlignment="1">
      <alignment horizontal="center" vertical="center"/>
    </xf>
    <xf numFmtId="164" fontId="15" fillId="0" borderId="7" xfId="29" applyFont="1" applyFill="1" applyBorder="1" applyAlignment="1">
      <alignment horizontal="center" vertical="center"/>
    </xf>
    <xf numFmtId="164" fontId="15" fillId="0" borderId="10" xfId="29" applyFont="1" applyFill="1" applyBorder="1" applyAlignment="1">
      <alignment horizontal="center" vertical="center"/>
    </xf>
    <xf numFmtId="164" fontId="15" fillId="0" borderId="6" xfId="29" applyFont="1" applyFill="1" applyBorder="1" applyAlignment="1">
      <alignment horizontal="center" vertical="center"/>
    </xf>
    <xf numFmtId="0" fontId="16" fillId="4" borderId="25" xfId="10" applyFont="1" applyFill="1" applyBorder="1" applyAlignment="1">
      <alignment horizontal="center" vertical="center" wrapText="1"/>
    </xf>
    <xf numFmtId="0" fontId="16" fillId="4" borderId="19" xfId="10" applyFont="1" applyFill="1" applyBorder="1" applyAlignment="1">
      <alignment horizontal="center" vertical="center" wrapText="1"/>
    </xf>
    <xf numFmtId="0" fontId="25" fillId="0" borderId="19" xfId="10" applyBorder="1" applyAlignment="1">
      <alignment horizontal="center" vertical="center" wrapText="1"/>
    </xf>
    <xf numFmtId="0" fontId="16" fillId="4" borderId="28" xfId="10" applyFont="1" applyFill="1" applyBorder="1" applyAlignment="1">
      <alignment horizontal="center" vertical="center"/>
    </xf>
    <xf numFmtId="0" fontId="16" fillId="4" borderId="4" xfId="10" applyFont="1" applyFill="1" applyBorder="1" applyAlignment="1">
      <alignment horizontal="center" vertical="center"/>
    </xf>
    <xf numFmtId="0" fontId="16" fillId="4" borderId="29" xfId="14" applyFont="1" applyFill="1" applyBorder="1" applyAlignment="1">
      <alignment horizontal="center" vertical="center" wrapText="1"/>
    </xf>
    <xf numFmtId="0" fontId="16" fillId="4" borderId="30" xfId="14" applyFont="1" applyFill="1" applyBorder="1" applyAlignment="1">
      <alignment horizontal="center" vertical="center" wrapText="1"/>
    </xf>
    <xf numFmtId="0" fontId="16" fillId="4" borderId="31" xfId="14" applyFont="1" applyFill="1" applyBorder="1" applyAlignment="1">
      <alignment horizontal="center" vertical="center" wrapText="1"/>
    </xf>
    <xf numFmtId="0" fontId="16" fillId="4" borderId="32" xfId="14" applyFont="1" applyFill="1" applyBorder="1" applyAlignment="1">
      <alignment horizontal="center" vertical="center" wrapText="1"/>
    </xf>
    <xf numFmtId="0" fontId="16" fillId="4" borderId="33" xfId="14" applyFont="1" applyFill="1" applyBorder="1" applyAlignment="1">
      <alignment horizontal="center" vertical="center" wrapText="1"/>
    </xf>
    <xf numFmtId="0" fontId="16" fillId="4" borderId="34" xfId="14" applyFont="1" applyFill="1" applyBorder="1" applyAlignment="1">
      <alignment horizontal="center" vertical="center" wrapText="1"/>
    </xf>
    <xf numFmtId="0" fontId="20" fillId="4" borderId="29" xfId="14" applyFont="1" applyFill="1" applyBorder="1" applyAlignment="1">
      <alignment horizontal="center" vertical="center" wrapText="1"/>
    </xf>
    <xf numFmtId="0" fontId="20" fillId="4" borderId="30" xfId="14" applyFont="1" applyFill="1" applyBorder="1" applyAlignment="1">
      <alignment horizontal="center" vertical="center" wrapText="1"/>
    </xf>
    <xf numFmtId="0" fontId="20" fillId="4" borderId="31" xfId="14" applyFont="1" applyFill="1" applyBorder="1" applyAlignment="1">
      <alignment horizontal="center" vertical="center" wrapText="1"/>
    </xf>
    <xf numFmtId="0" fontId="0" fillId="0" borderId="4" xfId="0" applyBorder="1" applyAlignment="1">
      <alignment horizontal="left" vertical="center" wrapText="1"/>
    </xf>
    <xf numFmtId="10" fontId="0" fillId="0" borderId="4" xfId="70" applyNumberFormat="1" applyFont="1" applyBorder="1" applyAlignment="1">
      <alignment horizontal="center" vertical="center"/>
    </xf>
    <xf numFmtId="10" fontId="0" fillId="0" borderId="4" xfId="0" applyNumberFormat="1" applyBorder="1" applyAlignment="1">
      <alignment horizontal="center" vertical="center"/>
    </xf>
    <xf numFmtId="0" fontId="16" fillId="4" borderId="7" xfId="10" applyFont="1" applyFill="1" applyBorder="1" applyAlignment="1">
      <alignment horizontal="center" vertical="center" wrapText="1"/>
    </xf>
    <xf numFmtId="0" fontId="16" fillId="4" borderId="6" xfId="10" applyFont="1" applyFill="1" applyBorder="1" applyAlignment="1">
      <alignment horizontal="center" vertical="center" wrapText="1"/>
    </xf>
    <xf numFmtId="0" fontId="16" fillId="4" borderId="7" xfId="10" applyFont="1" applyFill="1" applyBorder="1" applyAlignment="1">
      <alignment horizontal="center" vertical="center"/>
    </xf>
    <xf numFmtId="0" fontId="16" fillId="4" borderId="6" xfId="10" applyFont="1" applyFill="1" applyBorder="1" applyAlignment="1">
      <alignment horizontal="center" vertical="center"/>
    </xf>
    <xf numFmtId="0" fontId="16" fillId="4" borderId="7" xfId="14" applyFont="1" applyFill="1" applyBorder="1" applyAlignment="1">
      <alignment horizontal="left" vertical="center" wrapText="1"/>
    </xf>
    <xf numFmtId="0" fontId="16" fillId="4" borderId="6" xfId="14" applyFont="1" applyFill="1" applyBorder="1" applyAlignment="1">
      <alignment horizontal="left" vertical="center" wrapText="1"/>
    </xf>
    <xf numFmtId="0" fontId="16" fillId="4" borderId="4" xfId="10" applyFont="1" applyFill="1" applyBorder="1" applyAlignment="1">
      <alignment horizontal="center" vertical="center" wrapText="1"/>
    </xf>
    <xf numFmtId="0" fontId="15" fillId="0" borderId="9" xfId="14" quotePrefix="1" applyFont="1" applyBorder="1" applyAlignment="1">
      <alignment horizontal="center" vertical="center" wrapText="1"/>
    </xf>
    <xf numFmtId="0" fontId="15" fillId="0" borderId="11" xfId="14" quotePrefix="1" applyFont="1" applyBorder="1" applyAlignment="1">
      <alignment horizontal="center" vertical="center" wrapText="1"/>
    </xf>
    <xf numFmtId="0" fontId="15" fillId="0" borderId="12" xfId="14" quotePrefix="1" applyFont="1" applyBorder="1" applyAlignment="1">
      <alignment horizontal="center" vertical="center" wrapText="1"/>
    </xf>
    <xf numFmtId="0" fontId="15" fillId="0" borderId="0" xfId="14" quotePrefix="1" applyFont="1" applyAlignment="1">
      <alignment horizontal="center" vertical="center" wrapText="1"/>
    </xf>
    <xf numFmtId="0" fontId="15" fillId="0" borderId="15" xfId="14" quotePrefix="1" applyFont="1" applyBorder="1" applyAlignment="1">
      <alignment horizontal="center" vertical="center" wrapText="1"/>
    </xf>
    <xf numFmtId="0" fontId="15" fillId="0" borderId="16" xfId="14" quotePrefix="1" applyFont="1" applyBorder="1" applyAlignment="1">
      <alignment horizontal="center" vertical="center" wrapText="1"/>
    </xf>
    <xf numFmtId="0" fontId="25" fillId="0" borderId="0" xfId="10" applyAlignment="1">
      <alignment horizontal="center" vertical="center"/>
    </xf>
    <xf numFmtId="0" fontId="25" fillId="0" borderId="4" xfId="10" applyBorder="1" applyAlignment="1">
      <alignment horizontal="center" vertical="center" wrapText="1"/>
    </xf>
    <xf numFmtId="0" fontId="16" fillId="0" borderId="9" xfId="10" quotePrefix="1" applyFont="1" applyBorder="1" applyAlignment="1">
      <alignment horizontal="center" vertical="center"/>
    </xf>
    <xf numFmtId="0" fontId="16" fillId="0" borderId="11" xfId="10" quotePrefix="1" applyFont="1" applyBorder="1" applyAlignment="1">
      <alignment horizontal="center" vertical="center"/>
    </xf>
    <xf numFmtId="0" fontId="16" fillId="0" borderId="12" xfId="10" quotePrefix="1" applyFont="1" applyBorder="1" applyAlignment="1">
      <alignment horizontal="center" vertical="center"/>
    </xf>
    <xf numFmtId="0" fontId="16" fillId="0" borderId="0" xfId="10" quotePrefix="1" applyFont="1" applyAlignment="1">
      <alignment horizontal="center" vertical="center"/>
    </xf>
    <xf numFmtId="0" fontId="16" fillId="0" borderId="15" xfId="10" quotePrefix="1" applyFont="1" applyBorder="1" applyAlignment="1">
      <alignment horizontal="center" vertical="center"/>
    </xf>
    <xf numFmtId="0" fontId="16" fillId="0" borderId="16" xfId="10" quotePrefix="1" applyFont="1" applyBorder="1" applyAlignment="1">
      <alignment horizontal="center" vertical="center"/>
    </xf>
    <xf numFmtId="0" fontId="16" fillId="0" borderId="9" xfId="14" quotePrefix="1" applyFont="1" applyBorder="1" applyAlignment="1">
      <alignment horizontal="center" vertical="center" wrapText="1"/>
    </xf>
    <xf numFmtId="0" fontId="16" fillId="0" borderId="11" xfId="14" applyFont="1" applyBorder="1" applyAlignment="1">
      <alignment horizontal="center" vertical="center" wrapText="1"/>
    </xf>
    <xf numFmtId="0" fontId="16" fillId="0" borderId="13" xfId="14" applyFont="1" applyBorder="1" applyAlignment="1">
      <alignment horizontal="center" vertical="center" wrapText="1"/>
    </xf>
    <xf numFmtId="0" fontId="16" fillId="0" borderId="12" xfId="14" applyFont="1" applyBorder="1" applyAlignment="1">
      <alignment horizontal="center" vertical="center" wrapText="1"/>
    </xf>
    <xf numFmtId="0" fontId="16" fillId="0" borderId="0" xfId="14" applyFont="1" applyAlignment="1">
      <alignment horizontal="center" vertical="center" wrapText="1"/>
    </xf>
    <xf numFmtId="0" fontId="16" fillId="0" borderId="14" xfId="14" applyFont="1" applyBorder="1" applyAlignment="1">
      <alignment horizontal="center" vertical="center" wrapText="1"/>
    </xf>
    <xf numFmtId="0" fontId="16" fillId="0" borderId="15" xfId="14" applyFont="1" applyBorder="1" applyAlignment="1">
      <alignment horizontal="center" vertical="center" wrapText="1"/>
    </xf>
    <xf numFmtId="0" fontId="16" fillId="0" borderId="16" xfId="14" applyFont="1" applyBorder="1" applyAlignment="1">
      <alignment horizontal="center" vertical="center" wrapText="1"/>
    </xf>
    <xf numFmtId="0" fontId="16" fillId="0" borderId="17" xfId="14" applyFont="1" applyBorder="1" applyAlignment="1">
      <alignment horizontal="center" vertical="center" wrapText="1"/>
    </xf>
    <xf numFmtId="0" fontId="16" fillId="5" borderId="9" xfId="14" quotePrefix="1" applyFont="1" applyFill="1" applyBorder="1" applyAlignment="1">
      <alignment horizontal="center" vertical="center"/>
    </xf>
    <xf numFmtId="0" fontId="16" fillId="5" borderId="11" xfId="14" applyFont="1" applyFill="1" applyBorder="1" applyAlignment="1">
      <alignment horizontal="center" vertical="center"/>
    </xf>
    <xf numFmtId="0" fontId="16" fillId="5" borderId="13" xfId="14" applyFont="1" applyFill="1" applyBorder="1" applyAlignment="1">
      <alignment horizontal="center" vertical="center"/>
    </xf>
    <xf numFmtId="0" fontId="16" fillId="5" borderId="12" xfId="14" applyFont="1" applyFill="1" applyBorder="1" applyAlignment="1">
      <alignment horizontal="center" vertical="center"/>
    </xf>
    <xf numFmtId="0" fontId="16" fillId="5" borderId="0" xfId="14" applyFont="1" applyFill="1" applyAlignment="1">
      <alignment horizontal="center" vertical="center"/>
    </xf>
    <xf numFmtId="0" fontId="16" fillId="5" borderId="14" xfId="14" applyFont="1" applyFill="1" applyBorder="1" applyAlignment="1">
      <alignment horizontal="center" vertical="center"/>
    </xf>
    <xf numFmtId="0" fontId="16" fillId="5" borderId="15" xfId="14" applyFont="1" applyFill="1" applyBorder="1" applyAlignment="1">
      <alignment horizontal="center" vertical="center"/>
    </xf>
    <xf numFmtId="0" fontId="16" fillId="5" borderId="16" xfId="14" applyFont="1" applyFill="1" applyBorder="1" applyAlignment="1">
      <alignment horizontal="center" vertical="center"/>
    </xf>
    <xf numFmtId="0" fontId="16" fillId="5" borderId="17" xfId="14" applyFont="1" applyFill="1" applyBorder="1" applyAlignment="1">
      <alignment horizontal="center" vertical="center"/>
    </xf>
    <xf numFmtId="0" fontId="89" fillId="0" borderId="7" xfId="10" applyFont="1" applyBorder="1" applyAlignment="1">
      <alignment horizontal="center" vertical="center" wrapText="1"/>
    </xf>
    <xf numFmtId="0" fontId="89" fillId="0" borderId="10" xfId="10" applyFont="1" applyBorder="1" applyAlignment="1">
      <alignment horizontal="center" vertical="center" wrapText="1"/>
    </xf>
    <xf numFmtId="0" fontId="89" fillId="0" borderId="6" xfId="10" applyFont="1" applyBorder="1" applyAlignment="1">
      <alignment horizontal="center" vertical="center" wrapText="1"/>
    </xf>
    <xf numFmtId="0" fontId="16" fillId="0" borderId="7" xfId="10" applyFont="1" applyBorder="1" applyAlignment="1">
      <alignment horizontal="center" vertical="center" wrapText="1"/>
    </xf>
    <xf numFmtId="0" fontId="16" fillId="0" borderId="6" xfId="10" applyFont="1" applyBorder="1" applyAlignment="1">
      <alignment horizontal="center" vertical="center" wrapText="1"/>
    </xf>
    <xf numFmtId="0" fontId="15" fillId="0" borderId="4" xfId="0" applyFont="1" applyBorder="1" applyAlignment="1">
      <alignment horizontal="center" vertical="top"/>
    </xf>
    <xf numFmtId="164" fontId="15" fillId="0" borderId="4" xfId="29" applyFont="1" applyFill="1" applyBorder="1" applyAlignment="1">
      <alignment horizontal="center" vertical="center"/>
    </xf>
    <xf numFmtId="0" fontId="16" fillId="7" borderId="4" xfId="10" applyFont="1" applyFill="1" applyBorder="1" applyAlignment="1">
      <alignment horizontal="center" vertical="center" wrapText="1"/>
    </xf>
    <xf numFmtId="0" fontId="16" fillId="7" borderId="4" xfId="10" applyFont="1" applyFill="1" applyBorder="1" applyAlignment="1">
      <alignment horizontal="center" vertical="center"/>
    </xf>
    <xf numFmtId="0" fontId="15" fillId="0" borderId="0" xfId="10" applyFont="1" applyAlignment="1">
      <alignment horizontal="center" vertical="center" wrapText="1"/>
    </xf>
    <xf numFmtId="164" fontId="16" fillId="0" borderId="4" xfId="29" applyFont="1" applyFill="1" applyBorder="1" applyAlignment="1" applyProtection="1">
      <alignment horizontal="center" vertical="center"/>
    </xf>
    <xf numFmtId="4" fontId="15" fillId="0" borderId="7" xfId="10" applyNumberFormat="1" applyFont="1" applyBorder="1" applyAlignment="1">
      <alignment horizontal="center" vertical="center"/>
    </xf>
    <xf numFmtId="4" fontId="15" fillId="0" borderId="10" xfId="10" applyNumberFormat="1" applyFont="1" applyBorder="1" applyAlignment="1">
      <alignment horizontal="center" vertical="center"/>
    </xf>
    <xf numFmtId="4" fontId="15" fillId="0" borderId="6" xfId="10" applyNumberFormat="1" applyFont="1" applyBorder="1" applyAlignment="1">
      <alignment horizontal="center" vertical="center"/>
    </xf>
    <xf numFmtId="0" fontId="16" fillId="7" borderId="5" xfId="10" applyFont="1" applyFill="1" applyBorder="1" applyAlignment="1">
      <alignment horizontal="center" vertical="center" wrapText="1"/>
    </xf>
    <xf numFmtId="0" fontId="16" fillId="7" borderId="3" xfId="10" applyFont="1" applyFill="1" applyBorder="1" applyAlignment="1">
      <alignment horizontal="center" vertical="center" wrapText="1"/>
    </xf>
    <xf numFmtId="0" fontId="16" fillId="7" borderId="8" xfId="10" applyFont="1" applyFill="1" applyBorder="1" applyAlignment="1">
      <alignment horizontal="center" vertical="center" wrapText="1"/>
    </xf>
    <xf numFmtId="0" fontId="20" fillId="0" borderId="0" xfId="14" applyFont="1" applyAlignment="1">
      <alignment horizontal="center" vertical="center" wrapText="1"/>
    </xf>
    <xf numFmtId="0" fontId="16" fillId="7" borderId="5" xfId="10" applyFont="1" applyFill="1" applyBorder="1" applyAlignment="1">
      <alignment horizontal="center" vertical="center"/>
    </xf>
    <xf numFmtId="0" fontId="16" fillId="7" borderId="8" xfId="10" applyFont="1" applyFill="1" applyBorder="1" applyAlignment="1">
      <alignment horizontal="center" vertical="center"/>
    </xf>
    <xf numFmtId="164" fontId="15" fillId="0" borderId="7" xfId="29" applyFont="1" applyFill="1" applyBorder="1" applyAlignment="1" applyProtection="1">
      <alignment horizontal="center" vertical="center"/>
    </xf>
    <xf numFmtId="164" fontId="15" fillId="0" borderId="10" xfId="29" applyFont="1" applyFill="1" applyBorder="1" applyAlignment="1" applyProtection="1">
      <alignment horizontal="center" vertical="center"/>
    </xf>
    <xf numFmtId="164" fontId="15" fillId="0" borderId="6" xfId="29" applyFont="1" applyFill="1" applyBorder="1" applyAlignment="1" applyProtection="1">
      <alignment horizontal="center" vertical="center"/>
    </xf>
    <xf numFmtId="4" fontId="16" fillId="0" borderId="4" xfId="10" applyNumberFormat="1" applyFont="1" applyBorder="1" applyAlignment="1">
      <alignment horizontal="center" vertical="center"/>
    </xf>
    <xf numFmtId="0" fontId="16" fillId="0" borderId="0" xfId="10" applyFont="1" applyAlignment="1">
      <alignment horizontal="left"/>
    </xf>
    <xf numFmtId="0" fontId="16" fillId="7" borderId="7" xfId="14" applyFont="1" applyFill="1" applyBorder="1" applyAlignment="1">
      <alignment horizontal="center" vertical="center" wrapText="1"/>
    </xf>
    <xf numFmtId="0" fontId="16" fillId="7" borderId="10" xfId="14" applyFont="1" applyFill="1" applyBorder="1" applyAlignment="1">
      <alignment horizontal="center" vertical="center" wrapText="1"/>
    </xf>
    <xf numFmtId="0" fontId="16" fillId="7" borderId="6" xfId="14" applyFont="1" applyFill="1" applyBorder="1" applyAlignment="1">
      <alignment horizontal="center" vertical="center" wrapText="1"/>
    </xf>
    <xf numFmtId="2" fontId="15" fillId="0" borderId="7" xfId="10" applyNumberFormat="1" applyFont="1" applyBorder="1" applyAlignment="1">
      <alignment horizontal="center" vertical="center"/>
    </xf>
    <xf numFmtId="2" fontId="15" fillId="0" borderId="10" xfId="10" applyNumberFormat="1" applyFont="1" applyBorder="1" applyAlignment="1">
      <alignment horizontal="center" vertical="center"/>
    </xf>
    <xf numFmtId="2" fontId="15" fillId="0" borderId="6" xfId="10" applyNumberFormat="1" applyFont="1" applyBorder="1" applyAlignment="1">
      <alignment horizontal="center" vertical="center"/>
    </xf>
    <xf numFmtId="0" fontId="16" fillId="7" borderId="4" xfId="10" applyFont="1" applyFill="1" applyBorder="1" applyAlignment="1">
      <alignment horizontal="center" wrapText="1"/>
    </xf>
    <xf numFmtId="0" fontId="16" fillId="7" borderId="5" xfId="14" applyFont="1" applyFill="1" applyBorder="1" applyAlignment="1">
      <alignment horizontal="center" vertical="center" wrapText="1"/>
    </xf>
    <xf numFmtId="0" fontId="15" fillId="7" borderId="5" xfId="10" applyFont="1" applyFill="1" applyBorder="1" applyAlignment="1">
      <alignment horizontal="center" vertical="center" wrapText="1"/>
    </xf>
    <xf numFmtId="0" fontId="16" fillId="7" borderId="3" xfId="14" applyFont="1" applyFill="1" applyBorder="1" applyAlignment="1">
      <alignment horizontal="center" vertical="center" wrapText="1"/>
    </xf>
    <xf numFmtId="0" fontId="16" fillId="7" borderId="8" xfId="14" applyFont="1" applyFill="1" applyBorder="1" applyAlignment="1">
      <alignment horizontal="center" vertical="center" wrapText="1"/>
    </xf>
    <xf numFmtId="0" fontId="25" fillId="0" borderId="4" xfId="10" applyBorder="1" applyAlignment="1">
      <alignment vertical="center"/>
    </xf>
    <xf numFmtId="0" fontId="63" fillId="0" borderId="4" xfId="129" applyFont="1" applyBorder="1" applyAlignment="1">
      <alignment horizontal="center"/>
    </xf>
    <xf numFmtId="0" fontId="63" fillId="0" borderId="0" xfId="129" applyFont="1" applyAlignment="1">
      <alignment horizontal="left"/>
    </xf>
    <xf numFmtId="0" fontId="19" fillId="4" borderId="4" xfId="10" applyFont="1" applyFill="1" applyBorder="1" applyAlignment="1">
      <alignment horizontal="center" vertical="center" wrapText="1"/>
    </xf>
    <xf numFmtId="0" fontId="16" fillId="4" borderId="5" xfId="10" applyFont="1" applyFill="1" applyBorder="1" applyAlignment="1">
      <alignment horizontal="center" vertical="center" wrapText="1"/>
    </xf>
    <xf numFmtId="0" fontId="16" fillId="4" borderId="3" xfId="10" applyFont="1" applyFill="1" applyBorder="1" applyAlignment="1">
      <alignment horizontal="center" vertical="center" wrapText="1"/>
    </xf>
    <xf numFmtId="0" fontId="16" fillId="4" borderId="8" xfId="10" applyFont="1" applyFill="1" applyBorder="1" applyAlignment="1">
      <alignment horizontal="center" vertical="center" wrapText="1"/>
    </xf>
    <xf numFmtId="175" fontId="16" fillId="4" borderId="4" xfId="29" applyNumberFormat="1" applyFont="1" applyFill="1" applyBorder="1" applyAlignment="1">
      <alignment horizontal="center" vertical="center" wrapText="1"/>
    </xf>
    <xf numFmtId="164" fontId="16" fillId="4" borderId="4" xfId="29" applyFont="1" applyFill="1" applyBorder="1" applyAlignment="1">
      <alignment horizontal="center" vertical="center" wrapText="1"/>
    </xf>
    <xf numFmtId="0" fontId="16" fillId="4" borderId="10" xfId="10" applyFont="1" applyFill="1" applyBorder="1" applyAlignment="1">
      <alignment horizontal="center" vertical="center" wrapText="1"/>
    </xf>
    <xf numFmtId="0" fontId="16" fillId="0" borderId="0" xfId="15" applyFont="1" applyAlignment="1">
      <alignment horizontal="center" vertical="center"/>
    </xf>
    <xf numFmtId="0" fontId="16" fillId="5" borderId="0" xfId="10" applyFont="1" applyFill="1" applyAlignment="1">
      <alignment horizontal="center" vertical="center"/>
    </xf>
    <xf numFmtId="0" fontId="16" fillId="4" borderId="9" xfId="10" applyFont="1" applyFill="1" applyBorder="1" applyAlignment="1">
      <alignment horizontal="center" vertical="center" wrapText="1"/>
    </xf>
    <xf numFmtId="0" fontId="16" fillId="4" borderId="11" xfId="10" applyFont="1" applyFill="1" applyBorder="1" applyAlignment="1">
      <alignment horizontal="center" vertical="center" wrapText="1"/>
    </xf>
    <xf numFmtId="0" fontId="16" fillId="4" borderId="7" xfId="58" applyFont="1" applyFill="1" applyBorder="1" applyAlignment="1">
      <alignment horizontal="center" vertical="center" wrapText="1"/>
    </xf>
    <xf numFmtId="0" fontId="16" fillId="4" borderId="6" xfId="58" applyFont="1" applyFill="1" applyBorder="1" applyAlignment="1">
      <alignment horizontal="center" vertical="center" wrapText="1"/>
    </xf>
    <xf numFmtId="0" fontId="16" fillId="4" borderId="5" xfId="35" applyFont="1" applyFill="1" applyBorder="1" applyAlignment="1">
      <alignment horizontal="center" vertical="top" wrapText="1"/>
    </xf>
    <xf numFmtId="0" fontId="16" fillId="4" borderId="8" xfId="35" applyFont="1" applyFill="1" applyBorder="1" applyAlignment="1">
      <alignment horizontal="center" vertical="top" wrapText="1"/>
    </xf>
    <xf numFmtId="0" fontId="16" fillId="4" borderId="7" xfId="35" applyFont="1" applyFill="1" applyBorder="1" applyAlignment="1">
      <alignment horizontal="center" vertical="top" wrapText="1"/>
    </xf>
    <xf numFmtId="0" fontId="16" fillId="4" borderId="6" xfId="35" applyFont="1" applyFill="1" applyBorder="1" applyAlignment="1">
      <alignment horizontal="center" vertical="top" wrapText="1"/>
    </xf>
    <xf numFmtId="0" fontId="16" fillId="4" borderId="4" xfId="31" applyFont="1" applyFill="1" applyBorder="1" applyAlignment="1">
      <alignment horizontal="center" vertical="center" wrapText="1"/>
    </xf>
    <xf numFmtId="0" fontId="16" fillId="4" borderId="4" xfId="10" applyFont="1" applyFill="1" applyBorder="1" applyAlignment="1">
      <alignment horizontal="center" wrapText="1"/>
    </xf>
    <xf numFmtId="0" fontId="33" fillId="0" borderId="4" xfId="10" applyFont="1" applyBorder="1" applyAlignment="1">
      <alignment horizontal="center" wrapText="1"/>
    </xf>
    <xf numFmtId="0" fontId="16" fillId="4" borderId="4" xfId="31" applyFont="1" applyFill="1" applyBorder="1" applyAlignment="1">
      <alignment horizontal="center" wrapText="1"/>
    </xf>
    <xf numFmtId="0" fontId="25" fillId="0" borderId="4" xfId="31" applyBorder="1" applyAlignment="1">
      <alignment horizontal="center" wrapText="1"/>
    </xf>
    <xf numFmtId="0" fontId="15" fillId="6" borderId="0" xfId="68" applyFont="1" applyFill="1" applyAlignment="1">
      <alignment horizontal="left" vertical="center"/>
    </xf>
    <xf numFmtId="0" fontId="16" fillId="4" borderId="5" xfId="31" applyFont="1" applyFill="1" applyBorder="1" applyAlignment="1">
      <alignment horizontal="center" vertical="center" wrapText="1"/>
    </xf>
    <xf numFmtId="0" fontId="16" fillId="4" borderId="3" xfId="31" applyFont="1" applyFill="1" applyBorder="1" applyAlignment="1">
      <alignment horizontal="center" vertical="center" wrapText="1"/>
    </xf>
    <xf numFmtId="0" fontId="16" fillId="4" borderId="8" xfId="31" applyFont="1" applyFill="1" applyBorder="1" applyAlignment="1">
      <alignment horizontal="center" vertical="center" wrapText="1"/>
    </xf>
    <xf numFmtId="0" fontId="16" fillId="4" borderId="5" xfId="31" applyFont="1" applyFill="1" applyBorder="1" applyAlignment="1">
      <alignment horizontal="center" wrapText="1"/>
    </xf>
    <xf numFmtId="0" fontId="16" fillId="4" borderId="3" xfId="31" applyFont="1" applyFill="1" applyBorder="1" applyAlignment="1">
      <alignment horizontal="center" wrapText="1"/>
    </xf>
    <xf numFmtId="0" fontId="16" fillId="4" borderId="8" xfId="31" applyFont="1" applyFill="1" applyBorder="1" applyAlignment="1">
      <alignment horizontal="center" wrapText="1"/>
    </xf>
    <xf numFmtId="0" fontId="15" fillId="0" borderId="0" xfId="14" applyFont="1" applyAlignment="1">
      <alignment horizontal="left" vertical="center" wrapText="1"/>
    </xf>
    <xf numFmtId="0" fontId="16" fillId="4" borderId="7" xfId="14" applyFont="1" applyFill="1" applyBorder="1" applyAlignment="1">
      <alignment horizontal="center" vertical="center"/>
    </xf>
    <xf numFmtId="0" fontId="16" fillId="4" borderId="6" xfId="14" applyFont="1" applyFill="1" applyBorder="1" applyAlignment="1">
      <alignment horizontal="center" vertical="center"/>
    </xf>
    <xf numFmtId="0" fontId="18" fillId="4" borderId="4" xfId="14" applyFont="1" applyFill="1" applyBorder="1" applyAlignment="1">
      <alignment horizontal="center" vertical="center"/>
    </xf>
    <xf numFmtId="0" fontId="25" fillId="0" borderId="4" xfId="10" applyBorder="1"/>
    <xf numFmtId="0" fontId="16" fillId="4" borderId="4" xfId="10" applyFont="1" applyFill="1" applyBorder="1" applyAlignment="1">
      <alignment horizontal="center" vertical="top" wrapText="1"/>
    </xf>
    <xf numFmtId="0" fontId="16" fillId="0" borderId="0" xfId="10" applyFont="1" applyAlignment="1">
      <alignment horizontal="center" vertical="top"/>
    </xf>
    <xf numFmtId="0" fontId="17" fillId="0" borderId="0" xfId="10" applyFont="1" applyAlignment="1">
      <alignment horizontal="center" vertical="center"/>
    </xf>
    <xf numFmtId="0" fontId="17" fillId="6" borderId="0" xfId="10" applyFont="1" applyFill="1" applyAlignment="1">
      <alignment horizontal="center" vertical="center"/>
    </xf>
    <xf numFmtId="0" fontId="17" fillId="7" borderId="4" xfId="10" applyFont="1" applyFill="1" applyBorder="1" applyAlignment="1">
      <alignment horizontal="center" vertical="center" wrapText="1"/>
    </xf>
    <xf numFmtId="0" fontId="16" fillId="0" borderId="0" xfId="10" applyFont="1" applyAlignment="1">
      <alignment horizontal="center" vertical="center" wrapText="1"/>
    </xf>
    <xf numFmtId="0" fontId="72" fillId="0" borderId="0" xfId="14" applyFont="1" applyAlignment="1">
      <alignment horizontal="left" vertical="center" wrapText="1"/>
    </xf>
    <xf numFmtId="0" fontId="16" fillId="4" borderId="7" xfId="35" applyFont="1" applyFill="1" applyBorder="1" applyAlignment="1">
      <alignment horizontal="left" vertical="center" wrapText="1"/>
    </xf>
    <xf numFmtId="0" fontId="16" fillId="4" borderId="10" xfId="35" applyFont="1" applyFill="1" applyBorder="1" applyAlignment="1">
      <alignment horizontal="left" vertical="center" wrapText="1"/>
    </xf>
    <xf numFmtId="0" fontId="15" fillId="0" borderId="10" xfId="71" applyFont="1" applyBorder="1" applyAlignment="1">
      <alignment horizontal="left" vertical="center" wrapText="1"/>
    </xf>
    <xf numFmtId="0" fontId="15" fillId="0" borderId="6" xfId="71" applyFont="1" applyBorder="1" applyAlignment="1">
      <alignment horizontal="left" vertical="center" wrapText="1"/>
    </xf>
    <xf numFmtId="0" fontId="16" fillId="4" borderId="6" xfId="35" applyFont="1" applyFill="1" applyBorder="1" applyAlignment="1">
      <alignment horizontal="left" vertical="center" wrapText="1"/>
    </xf>
    <xf numFmtId="0" fontId="16" fillId="4" borderId="5" xfId="35" applyFont="1" applyFill="1" applyBorder="1" applyAlignment="1">
      <alignment horizontal="center" vertical="center"/>
    </xf>
    <xf numFmtId="0" fontId="16" fillId="4" borderId="3" xfId="35" applyFont="1" applyFill="1" applyBorder="1" applyAlignment="1">
      <alignment horizontal="center" vertical="center"/>
    </xf>
    <xf numFmtId="2" fontId="16" fillId="4" borderId="7" xfId="35" applyNumberFormat="1" applyFont="1" applyFill="1" applyBorder="1" applyAlignment="1">
      <alignment horizontal="center" vertical="top"/>
    </xf>
    <xf numFmtId="2" fontId="16" fillId="4" borderId="10" xfId="35" applyNumberFormat="1" applyFont="1" applyFill="1" applyBorder="1" applyAlignment="1">
      <alignment horizontal="center" vertical="top"/>
    </xf>
    <xf numFmtId="2" fontId="16" fillId="4" borderId="6" xfId="35" applyNumberFormat="1" applyFont="1" applyFill="1" applyBorder="1" applyAlignment="1">
      <alignment horizontal="center" vertical="top"/>
    </xf>
    <xf numFmtId="0" fontId="16" fillId="4" borderId="10" xfId="35" applyFont="1" applyFill="1" applyBorder="1" applyAlignment="1">
      <alignment horizontal="center" vertical="top" wrapText="1"/>
    </xf>
    <xf numFmtId="0" fontId="16" fillId="4" borderId="4" xfId="35" applyFont="1" applyFill="1" applyBorder="1" applyAlignment="1">
      <alignment horizontal="center" vertical="center" wrapText="1"/>
    </xf>
    <xf numFmtId="0" fontId="15" fillId="0" borderId="7" xfId="35" applyFont="1" applyBorder="1" applyAlignment="1">
      <alignment horizontal="center" vertical="top"/>
    </xf>
    <xf numFmtId="0" fontId="15" fillId="0" borderId="6" xfId="35" applyFont="1" applyBorder="1" applyAlignment="1">
      <alignment horizontal="center" vertical="top"/>
    </xf>
    <xf numFmtId="164" fontId="15" fillId="0" borderId="7" xfId="69" applyFont="1" applyBorder="1" applyAlignment="1">
      <alignment horizontal="center" vertical="top"/>
    </xf>
    <xf numFmtId="164" fontId="15" fillId="0" borderId="6" xfId="69" applyFont="1" applyBorder="1" applyAlignment="1">
      <alignment horizontal="center" vertical="top"/>
    </xf>
    <xf numFmtId="0" fontId="16" fillId="4" borderId="5" xfId="10" applyFont="1" applyFill="1" applyBorder="1" applyAlignment="1">
      <alignment horizontal="center" vertical="top" wrapText="1"/>
    </xf>
    <xf numFmtId="0" fontId="16" fillId="4" borderId="3" xfId="10" applyFont="1" applyFill="1" applyBorder="1" applyAlignment="1">
      <alignment horizontal="center" vertical="top" wrapText="1"/>
    </xf>
    <xf numFmtId="0" fontId="16" fillId="4" borderId="8" xfId="10" applyFont="1" applyFill="1" applyBorder="1" applyAlignment="1">
      <alignment horizontal="center" vertical="top" wrapText="1"/>
    </xf>
    <xf numFmtId="0" fontId="15" fillId="0" borderId="0" xfId="10" applyFont="1" applyAlignment="1">
      <alignment horizontal="left" wrapText="1"/>
    </xf>
    <xf numFmtId="0" fontId="16" fillId="0" borderId="0" xfId="71" applyFont="1" applyAlignment="1">
      <alignment horizontal="center" vertical="center"/>
    </xf>
    <xf numFmtId="0" fontId="16" fillId="7" borderId="4" xfId="0" applyFont="1" applyFill="1" applyBorder="1" applyAlignment="1">
      <alignment horizontal="center"/>
    </xf>
    <xf numFmtId="0" fontId="16" fillId="7" borderId="7" xfId="0" applyFont="1" applyFill="1" applyBorder="1" applyAlignment="1">
      <alignment horizontal="center" vertical="top" wrapText="1"/>
    </xf>
    <xf numFmtId="0" fontId="16" fillId="7" borderId="10" xfId="0" applyFont="1" applyFill="1" applyBorder="1" applyAlignment="1">
      <alignment horizontal="center" vertical="top" wrapText="1"/>
    </xf>
    <xf numFmtId="0" fontId="16" fillId="7" borderId="6" xfId="0" applyFont="1" applyFill="1" applyBorder="1" applyAlignment="1">
      <alignment horizontal="center" vertical="top" wrapText="1"/>
    </xf>
    <xf numFmtId="0" fontId="94" fillId="12" borderId="7" xfId="76" applyFont="1" applyFill="1" applyBorder="1" applyAlignment="1">
      <alignment horizontal="center" vertical="center" wrapText="1"/>
    </xf>
    <xf numFmtId="0" fontId="94" fillId="12" borderId="6" xfId="76" applyFont="1" applyFill="1" applyBorder="1" applyAlignment="1">
      <alignment horizontal="center" vertical="center" wrapText="1"/>
    </xf>
    <xf numFmtId="0" fontId="62" fillId="12" borderId="5" xfId="76" applyFont="1" applyFill="1" applyBorder="1" applyAlignment="1">
      <alignment horizontal="center"/>
    </xf>
    <xf numFmtId="0" fontId="62" fillId="12" borderId="3" xfId="76" applyFont="1" applyFill="1" applyBorder="1" applyAlignment="1">
      <alignment horizontal="center"/>
    </xf>
    <xf numFmtId="0" fontId="62" fillId="12" borderId="8" xfId="76" applyFont="1" applyFill="1" applyBorder="1" applyAlignment="1">
      <alignment horizontal="center"/>
    </xf>
    <xf numFmtId="0" fontId="94" fillId="12" borderId="7" xfId="76" applyFont="1" applyFill="1" applyBorder="1" applyAlignment="1">
      <alignment horizontal="center" vertical="center"/>
    </xf>
    <xf numFmtId="0" fontId="94" fillId="12" borderId="6" xfId="76" applyFont="1" applyFill="1" applyBorder="1" applyAlignment="1">
      <alignment horizontal="center" vertical="center"/>
    </xf>
    <xf numFmtId="0" fontId="44" fillId="0" borderId="0" xfId="14" applyFont="1" applyAlignment="1">
      <alignment horizontal="left" vertical="center"/>
    </xf>
    <xf numFmtId="0" fontId="15" fillId="0" borderId="7" xfId="14" applyFont="1" applyBorder="1" applyAlignment="1">
      <alignment horizontal="center" vertical="center"/>
    </xf>
    <xf numFmtId="0" fontId="15" fillId="0" borderId="10" xfId="14" applyFont="1" applyBorder="1" applyAlignment="1">
      <alignment horizontal="center" vertical="center"/>
    </xf>
    <xf numFmtId="0" fontId="15" fillId="0" borderId="6" xfId="14" applyFont="1" applyBorder="1" applyAlignment="1">
      <alignment horizontal="center" vertical="center"/>
    </xf>
    <xf numFmtId="0" fontId="38" fillId="0" borderId="7" xfId="126" applyFont="1" applyBorder="1" applyAlignment="1">
      <alignment horizontal="center" vertical="center"/>
    </xf>
    <xf numFmtId="0" fontId="38" fillId="0" borderId="10" xfId="126" applyFont="1" applyBorder="1" applyAlignment="1">
      <alignment horizontal="center" vertical="center"/>
    </xf>
    <xf numFmtId="0" fontId="38" fillId="0" borderId="6" xfId="126" applyFont="1" applyBorder="1" applyAlignment="1">
      <alignment horizontal="center" vertical="center"/>
    </xf>
    <xf numFmtId="0" fontId="38" fillId="0" borderId="7" xfId="126" applyFont="1" applyBorder="1" applyAlignment="1">
      <alignment horizontal="center" vertical="center" wrapText="1"/>
    </xf>
    <xf numFmtId="0" fontId="38" fillId="0" borderId="10" xfId="126" applyFont="1" applyBorder="1" applyAlignment="1">
      <alignment horizontal="center" vertical="center" wrapText="1"/>
    </xf>
    <xf numFmtId="0" fontId="38" fillId="0" borderId="6" xfId="126" applyFont="1" applyBorder="1" applyAlignment="1">
      <alignment horizontal="center" vertical="center" wrapText="1"/>
    </xf>
    <xf numFmtId="164" fontId="15" fillId="0" borderId="7" xfId="127" applyFont="1" applyFill="1" applyBorder="1" applyAlignment="1">
      <alignment horizontal="center" vertical="center"/>
    </xf>
    <xf numFmtId="164" fontId="15" fillId="0" borderId="10" xfId="127" applyFont="1" applyFill="1" applyBorder="1" applyAlignment="1">
      <alignment horizontal="center" vertical="center"/>
    </xf>
    <xf numFmtId="164" fontId="15" fillId="0" borderId="6" xfId="127" applyFont="1" applyFill="1" applyBorder="1" applyAlignment="1">
      <alignment horizontal="center" vertical="center"/>
    </xf>
    <xf numFmtId="0" fontId="15" fillId="0" borderId="7" xfId="10" applyFont="1" applyBorder="1" applyAlignment="1">
      <alignment horizontal="left" vertical="top" wrapText="1"/>
    </xf>
    <xf numFmtId="0" fontId="15" fillId="0" borderId="10" xfId="10" applyFont="1" applyBorder="1" applyAlignment="1">
      <alignment horizontal="left" vertical="top" wrapText="1"/>
    </xf>
    <xf numFmtId="0" fontId="15" fillId="0" borderId="6" xfId="10" applyFont="1" applyBorder="1" applyAlignment="1">
      <alignment horizontal="left" vertical="top" wrapText="1"/>
    </xf>
    <xf numFmtId="164" fontId="15" fillId="0" borderId="4" xfId="127" applyFont="1" applyFill="1" applyBorder="1" applyAlignment="1">
      <alignment horizontal="center" vertical="center"/>
    </xf>
    <xf numFmtId="0" fontId="16" fillId="7" borderId="7" xfId="68" applyFont="1" applyFill="1" applyBorder="1" applyAlignment="1">
      <alignment horizontal="center" vertical="center"/>
    </xf>
    <xf numFmtId="0" fontId="16" fillId="7" borderId="6" xfId="68" applyFont="1" applyFill="1" applyBorder="1" applyAlignment="1">
      <alignment horizontal="center" vertical="center"/>
    </xf>
    <xf numFmtId="0" fontId="16" fillId="7" borderId="5" xfId="31" applyFont="1" applyFill="1" applyBorder="1" applyAlignment="1">
      <alignment horizontal="center" vertical="center" wrapText="1"/>
    </xf>
    <xf numFmtId="0" fontId="16" fillId="7" borderId="3" xfId="31" applyFont="1" applyFill="1" applyBorder="1" applyAlignment="1">
      <alignment horizontal="center" vertical="center" wrapText="1"/>
    </xf>
    <xf numFmtId="0" fontId="16" fillId="7" borderId="8" xfId="31" applyFont="1" applyFill="1" applyBorder="1" applyAlignment="1">
      <alignment horizontal="center" vertical="center" wrapText="1"/>
    </xf>
    <xf numFmtId="0" fontId="16" fillId="7" borderId="4" xfId="31" applyFont="1" applyFill="1" applyBorder="1" applyAlignment="1">
      <alignment horizontal="center" vertical="center" wrapText="1"/>
    </xf>
    <xf numFmtId="0" fontId="16" fillId="0" borderId="9" xfId="10" applyFont="1" applyBorder="1" applyAlignment="1">
      <alignment horizontal="center" vertical="center"/>
    </xf>
    <xf numFmtId="0" fontId="16" fillId="0" borderId="11" xfId="10" applyFont="1" applyBorder="1" applyAlignment="1">
      <alignment horizontal="center" vertical="center"/>
    </xf>
    <xf numFmtId="0" fontId="16" fillId="0" borderId="13" xfId="10" applyFont="1" applyBorder="1" applyAlignment="1">
      <alignment horizontal="center" vertical="center"/>
    </xf>
    <xf numFmtId="0" fontId="16" fillId="0" borderId="12" xfId="10" applyFont="1" applyBorder="1" applyAlignment="1">
      <alignment horizontal="center" vertical="center"/>
    </xf>
    <xf numFmtId="0" fontId="16" fillId="0" borderId="14" xfId="10" applyFont="1" applyBorder="1" applyAlignment="1">
      <alignment horizontal="center" vertical="center"/>
    </xf>
    <xf numFmtId="0" fontId="16" fillId="0" borderId="15" xfId="10" applyFont="1" applyBorder="1" applyAlignment="1">
      <alignment horizontal="center" vertical="center"/>
    </xf>
    <xf numFmtId="0" fontId="16" fillId="0" borderId="16" xfId="10" applyFont="1" applyBorder="1" applyAlignment="1">
      <alignment horizontal="center" vertical="center"/>
    </xf>
    <xf numFmtId="0" fontId="16" fillId="0" borderId="17" xfId="10" applyFont="1" applyBorder="1" applyAlignment="1">
      <alignment horizontal="center" vertical="center"/>
    </xf>
    <xf numFmtId="0" fontId="0" fillId="0" borderId="0" xfId="10" applyFont="1" applyAlignment="1">
      <alignment horizontal="center" vertical="center"/>
    </xf>
    <xf numFmtId="0" fontId="0" fillId="0" borderId="4" xfId="10" applyFont="1" applyBorder="1" applyAlignment="1">
      <alignment horizontal="center" vertical="center" wrapText="1"/>
    </xf>
    <xf numFmtId="0" fontId="0" fillId="0" borderId="4" xfId="10" applyFont="1" applyBorder="1" applyAlignment="1">
      <alignment horizontal="center" vertical="center"/>
    </xf>
    <xf numFmtId="0" fontId="16" fillId="4" borderId="10" xfId="10" applyFont="1" applyFill="1" applyBorder="1" applyAlignment="1">
      <alignment horizontal="center" vertical="center"/>
    </xf>
    <xf numFmtId="0" fontId="50" fillId="0" borderId="0" xfId="0" applyFont="1" applyAlignment="1">
      <alignment horizontal="center" vertical="center"/>
    </xf>
    <xf numFmtId="0" fontId="76" fillId="22" borderId="0" xfId="0" applyFont="1" applyFill="1" applyAlignment="1">
      <alignment horizontal="center" vertical="center" wrapText="1"/>
    </xf>
    <xf numFmtId="0" fontId="78" fillId="21" borderId="4" xfId="0" applyFont="1" applyFill="1" applyBorder="1" applyAlignment="1">
      <alignment horizontal="center" vertical="center"/>
    </xf>
  </cellXfs>
  <cellStyles count="134">
    <cellStyle name="Body" xfId="1"/>
    <cellStyle name="Comma" xfId="69" builtinId="3"/>
    <cellStyle name="Comma  - Style1" xfId="2"/>
    <cellStyle name="Comma 10" xfId="73"/>
    <cellStyle name="Comma 10 2" xfId="128"/>
    <cellStyle name="Comma 11" xfId="84"/>
    <cellStyle name="Comma 11 2" xfId="20"/>
    <cellStyle name="Comma 11 2 2" xfId="91"/>
    <cellStyle name="Comma 11 2 2 2" xfId="124"/>
    <cellStyle name="Comma 11 2 3" xfId="101"/>
    <cellStyle name="Comma 11 2 4" xfId="127"/>
    <cellStyle name="Comma 12" xfId="116"/>
    <cellStyle name="Comma 13" xfId="130"/>
    <cellStyle name="Comma 2" xfId="25"/>
    <cellStyle name="Comma 2 2" xfId="26"/>
    <cellStyle name="Comma 2 2 2" xfId="64"/>
    <cellStyle name="Comma 2 2 3" xfId="103"/>
    <cellStyle name="Comma 2 3" xfId="27"/>
    <cellStyle name="Comma 2 3 2" xfId="104"/>
    <cellStyle name="Comma 2 4" xfId="57"/>
    <cellStyle name="Comma 2 5" xfId="86"/>
    <cellStyle name="Comma 3" xfId="28"/>
    <cellStyle name="Comma 3 2" xfId="63"/>
    <cellStyle name="Comma 3 2 2" xfId="120"/>
    <cellStyle name="Comma 3 2 3" xfId="77"/>
    <cellStyle name="Comma 3 2 4" xfId="112"/>
    <cellStyle name="Comma 3 3" xfId="105"/>
    <cellStyle name="Comma 4" xfId="29"/>
    <cellStyle name="Comma 4 2" xfId="65"/>
    <cellStyle name="Comma 4 2 2" xfId="121"/>
    <cellStyle name="Comma 4 2 3" xfId="78"/>
    <cellStyle name="Comma 4 2 4" xfId="113"/>
    <cellStyle name="Comma 4 3" xfId="106"/>
    <cellStyle name="Comma 5" xfId="30"/>
    <cellStyle name="Comma 5 2" xfId="107"/>
    <cellStyle name="Comma 6" xfId="49"/>
    <cellStyle name="Comma 6 2" xfId="50"/>
    <cellStyle name="Comma 6 3" xfId="51"/>
    <cellStyle name="Comma 6 4" xfId="52"/>
    <cellStyle name="Comma 6 5" xfId="81"/>
    <cellStyle name="Comma 6 5 2" xfId="118"/>
    <cellStyle name="Comma 6 6" xfId="110"/>
    <cellStyle name="Comma 7" xfId="22"/>
    <cellStyle name="Comma 8" xfId="66"/>
    <cellStyle name="Comma 8 2" xfId="122"/>
    <cellStyle name="Comma 8 3" xfId="79"/>
    <cellStyle name="Comma 8 4" xfId="114"/>
    <cellStyle name="Comma 9" xfId="72"/>
    <cellStyle name="Comma 9 2" xfId="87"/>
    <cellStyle name="Comma 9 3" xfId="93"/>
    <cellStyle name="Curren - Style2" xfId="3"/>
    <cellStyle name="Grey" xfId="4"/>
    <cellStyle name="Header1" xfId="5"/>
    <cellStyle name="Header2" xfId="6"/>
    <cellStyle name="Hyperlink" xfId="95" builtinId="8"/>
    <cellStyle name="Input [yellow]" xfId="7"/>
    <cellStyle name="no dec" xfId="8"/>
    <cellStyle name="Normal" xfId="0" builtinId="0"/>
    <cellStyle name="Normal - Style1" xfId="9"/>
    <cellStyle name="Normal 10" xfId="74"/>
    <cellStyle name="Normal 10 2" xfId="85"/>
    <cellStyle name="Normal 10 2 2 2" xfId="96"/>
    <cellStyle name="Normal 10 2 2 2 3" xfId="97"/>
    <cellStyle name="Normal 10 3" xfId="92"/>
    <cellStyle name="Normal 11" xfId="99"/>
    <cellStyle name="Normal 12" xfId="125"/>
    <cellStyle name="Normal 13" xfId="129"/>
    <cellStyle name="Normal 14" xfId="131"/>
    <cellStyle name="Normal 142" xfId="71"/>
    <cellStyle name="Normal 15" xfId="19"/>
    <cellStyle name="Normal 15 2" xfId="90"/>
    <cellStyle name="Normal 15 2 2" xfId="123"/>
    <cellStyle name="Normal 15 3" xfId="100"/>
    <cellStyle name="Normal 15 4" xfId="126"/>
    <cellStyle name="Normal 16" xfId="133"/>
    <cellStyle name="Normal 17" xfId="132"/>
    <cellStyle name="Normal 18" xfId="62"/>
    <cellStyle name="Normal 18 2" xfId="119"/>
    <cellStyle name="Normal 18 3" xfId="76"/>
    <cellStyle name="Normal 18 4" xfId="111"/>
    <cellStyle name="Normal 2" xfId="10"/>
    <cellStyle name="Normal 2 2" xfId="11"/>
    <cellStyle name="Normal 2 2 2" xfId="31"/>
    <cellStyle name="Normal 2 2 2 2" xfId="58"/>
    <cellStyle name="Normal 2 2_Working APR 2007-08 Mahagenco_Bhushan_1.3" xfId="32"/>
    <cellStyle name="Normal 2 3" xfId="12"/>
    <cellStyle name="Normal 2 4" xfId="53"/>
    <cellStyle name="Normal 2 7" xfId="89"/>
    <cellStyle name="Normal 2_ARR FINAL" xfId="33"/>
    <cellStyle name="Normal 3" xfId="13"/>
    <cellStyle name="Normal 3 2" xfId="34"/>
    <cellStyle name="Normal 3 2 2" xfId="59"/>
    <cellStyle name="Normal 39" xfId="23"/>
    <cellStyle name="Normal 4" xfId="35"/>
    <cellStyle name="Normal 4 2" xfId="60"/>
    <cellStyle name="Normal 5" xfId="36"/>
    <cellStyle name="Normal 5 2" xfId="37"/>
    <cellStyle name="Normal 5 3" xfId="108"/>
    <cellStyle name="Normal 6" xfId="38"/>
    <cellStyle name="Normal 7" xfId="39"/>
    <cellStyle name="Normal 7 2" xfId="109"/>
    <cellStyle name="Normal 8" xfId="54"/>
    <cellStyle name="Normal 9" xfId="55"/>
    <cellStyle name="Normal_FORMATS 5 YEAR ALOKE 2" xfId="14"/>
    <cellStyle name="Normal_FORMATS 5 YEAR ALOKE 2 2" xfId="68"/>
    <cellStyle name="Normal_FORMATS 5 YEAR ALOKE 3 2" xfId="15"/>
    <cellStyle name="Normal_FORMATS 5 YEAR ALOKE 4" xfId="82"/>
    <cellStyle name="Normal_Sheet1" xfId="80"/>
    <cellStyle name="Percent" xfId="70" builtinId="5"/>
    <cellStyle name="Percent [0]_#6 Temps &amp; Contractors" xfId="16"/>
    <cellStyle name="Percent [2]" xfId="17"/>
    <cellStyle name="Percent 12 10" xfId="83"/>
    <cellStyle name="Percent 2" xfId="40"/>
    <cellStyle name="Percent 2 2" xfId="41"/>
    <cellStyle name="Percent 2 3" xfId="61"/>
    <cellStyle name="Percent 3" xfId="42"/>
    <cellStyle name="Percent 3 2" xfId="43"/>
    <cellStyle name="Percent 4" xfId="24"/>
    <cellStyle name="Percent 41" xfId="21"/>
    <cellStyle name="Percent 41 2" xfId="102"/>
    <cellStyle name="Percent 41 2 2 2" xfId="98"/>
    <cellStyle name="Percent 5" xfId="44"/>
    <cellStyle name="Percent 5 2" xfId="45"/>
    <cellStyle name="Percent 5 3" xfId="46"/>
    <cellStyle name="Percent 6" xfId="47"/>
    <cellStyle name="Percent 6 2" xfId="48"/>
    <cellStyle name="Percent 7" xfId="67"/>
    <cellStyle name="Percent 7 2" xfId="115"/>
    <cellStyle name="Percent 8" xfId="75"/>
    <cellStyle name="Percent 8 2" xfId="88"/>
    <cellStyle name="Percent 8 3" xfId="94"/>
    <cellStyle name="Percent 9" xfId="117"/>
    <cellStyle name="Style 1" xfId="18"/>
    <cellStyle name="Style 2" xfId="56"/>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F0"/>
      </font>
    </dxf>
    <dxf>
      <font>
        <color rgb="FF9C6500"/>
      </font>
      <fill>
        <patternFill patternType="solid">
          <bgColor rgb="FFFFEB9C"/>
        </patternFill>
      </fill>
    </dxf>
    <dxf>
      <font>
        <color rgb="FF00B050"/>
      </font>
    </dxf>
    <dxf>
      <font>
        <color rgb="FF006100"/>
      </font>
      <fill>
        <patternFill patternType="solid">
          <bgColor rgb="FFC6EF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theme="0" tint="-0.34998626667073579"/>
        </patternFill>
      </fill>
    </dxf>
    <dxf>
      <font>
        <b val="0"/>
        <i/>
        <color rgb="FFFF0000"/>
      </font>
      <fill>
        <patternFill patternType="none"/>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s>
  <tableStyles count="0" defaultTableStyle="TableStyleMedium9" defaultPivotStyle="PivotStyleLight16"/>
  <colors>
    <mruColors>
      <color rgb="FFFBCB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ssignments\Mahagenco\MYT%20FY26-30\Model\True%20Up%20and%20MYT%20Summary_FY2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dro"/>
      <sheetName val="9.1 FY 23"/>
      <sheetName val="MCLR "/>
      <sheetName val="Incremental O&amp;M Koradi"/>
      <sheetName val="CPR8-9 UDL impact"/>
      <sheetName val="KRD_8-10 LD impact"/>
      <sheetName val="Parli8 UDL impact"/>
      <sheetName val="BSL 500 Incr Claim-186 of 2024"/>
      <sheetName val="Others_MYT"/>
      <sheetName val="O&amp;M_normative"/>
      <sheetName val="Revenue loss due to higher aux"/>
      <sheetName val="Generation_MYT"/>
      <sheetName val="Sheet1"/>
      <sheetName val="Op Parameters MYT"/>
      <sheetName val="FY 19-20"/>
      <sheetName val="FY 20-21"/>
      <sheetName val="FY 21-22"/>
      <sheetName val="FY 22-23"/>
      <sheetName val="FY 23-24"/>
      <sheetName val="BTPS_4-5 LD Impact"/>
      <sheetName val="FY 24-25 H1"/>
      <sheetName val="FY 24-25 H2"/>
      <sheetName val="FY 24-25 total"/>
      <sheetName val="Capitalisation_MYT"/>
      <sheetName val="Fuel Projection"/>
      <sheetName val="FY 25-26"/>
      <sheetName val="FY 26-27"/>
      <sheetName val="FY 27-28"/>
      <sheetName val="FY 28-29"/>
      <sheetName val="FY 29-30"/>
      <sheetName val="Esc rates"/>
      <sheetName val="COD's"/>
      <sheetName val="O&amp;M_New Plants"/>
      <sheetName val="Limestone Cal."/>
      <sheetName val="Notinal interest"/>
      <sheetName val="FSA linkage"/>
      <sheetName val="Corporate Asset Add FY 23&amp;FY24"/>
      <sheetName val="Review Order claimed allowed"/>
      <sheetName val="Case-IV Aux imp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76">
          <cell r="P576">
            <v>1.0966819999999999</v>
          </cell>
        </row>
        <row r="585">
          <cell r="S585"/>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about:blank" TargetMode="External"/><Relationship Id="rId1" Type="http://schemas.openxmlformats.org/officeDocument/2006/relationships/hyperlink" Target="about:blank"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FF0000"/>
  </sheetPr>
  <dimension ref="B1:N57"/>
  <sheetViews>
    <sheetView showGridLines="0" topLeftCell="C1" zoomScaleNormal="80" workbookViewId="0">
      <selection activeCell="D4" sqref="D4"/>
    </sheetView>
  </sheetViews>
  <sheetFormatPr defaultColWidth="8.81640625" defaultRowHeight="13" x14ac:dyDescent="0.3"/>
  <cols>
    <col min="1" max="1" width="8.81640625" style="358"/>
    <col min="2" max="2" width="20.1796875" style="359" customWidth="1"/>
    <col min="3" max="3" width="8.81640625" style="358"/>
    <col min="4" max="4" width="16.1796875" style="358" customWidth="1"/>
    <col min="5" max="6" width="8.81640625" style="358"/>
    <col min="7" max="7" width="12.81640625" style="358" customWidth="1"/>
    <col min="8" max="8" width="14.1796875" style="358" customWidth="1"/>
    <col min="9" max="9" width="12.453125" style="358" customWidth="1"/>
    <col min="10" max="10" width="15.1796875" style="358" customWidth="1"/>
    <col min="11" max="11" width="13.81640625" style="358" customWidth="1"/>
    <col min="12" max="12" width="14.1796875" style="358" customWidth="1"/>
    <col min="13" max="13" width="13.81640625" style="358" customWidth="1"/>
    <col min="14" max="14" width="16.1796875" style="358" customWidth="1"/>
    <col min="15" max="16384" width="8.81640625" style="358"/>
  </cols>
  <sheetData>
    <row r="1" spans="2:4" x14ac:dyDescent="0.3">
      <c r="B1" s="1394" t="s">
        <v>835</v>
      </c>
      <c r="C1" s="1394"/>
      <c r="D1" s="1394"/>
    </row>
    <row r="2" spans="2:4" x14ac:dyDescent="0.3">
      <c r="B2" s="503" t="s">
        <v>35</v>
      </c>
      <c r="C2" s="504" t="s">
        <v>834</v>
      </c>
      <c r="D2" s="504" t="s">
        <v>1284</v>
      </c>
    </row>
    <row r="3" spans="2:4" x14ac:dyDescent="0.3">
      <c r="B3" s="360" t="s">
        <v>828</v>
      </c>
      <c r="C3" s="362" t="s">
        <v>96</v>
      </c>
      <c r="D3" s="415">
        <f>F2.1!$G$15</f>
        <v>0.85</v>
      </c>
    </row>
    <row r="4" spans="2:4" x14ac:dyDescent="0.3">
      <c r="B4" s="360" t="s">
        <v>629</v>
      </c>
      <c r="C4" s="362" t="s">
        <v>96</v>
      </c>
      <c r="D4" s="415">
        <f>F2.1!$G$16</f>
        <v>0.51398977912589505</v>
      </c>
    </row>
    <row r="5" spans="2:4" x14ac:dyDescent="0.3">
      <c r="B5" s="361" t="s">
        <v>829</v>
      </c>
      <c r="C5" s="362" t="s">
        <v>423</v>
      </c>
      <c r="D5" s="710">
        <f ca="1">'F1'!$F13+'F1'!$G16+'F1'!$F17+'F1'!$G18+'F1'!$G19+'F1'!$F20+'F1'!$F22+'F1'!$G27+'F1'!$G29-'F1'!$G30</f>
        <v>120.44740804053141</v>
      </c>
    </row>
    <row r="6" spans="2:4" x14ac:dyDescent="0.3">
      <c r="B6" s="361" t="s">
        <v>830</v>
      </c>
      <c r="C6" s="362" t="s">
        <v>423</v>
      </c>
      <c r="D6" s="414">
        <f>+F3.1!$E$27</f>
        <v>0.39331454999999993</v>
      </c>
    </row>
    <row r="7" spans="2:4" ht="26" x14ac:dyDescent="0.3">
      <c r="B7" s="361" t="s">
        <v>842</v>
      </c>
      <c r="C7" s="362" t="s">
        <v>423</v>
      </c>
      <c r="D7" s="414">
        <f ca="1">D5-D6</f>
        <v>120.05409349053141</v>
      </c>
    </row>
    <row r="8" spans="2:4" x14ac:dyDescent="0.3">
      <c r="B8" s="363" t="s">
        <v>831</v>
      </c>
      <c r="C8" s="501" t="s">
        <v>423</v>
      </c>
      <c r="D8" s="522">
        <f ca="1">D48</f>
        <v>17.714475834912875</v>
      </c>
    </row>
    <row r="9" spans="2:4" x14ac:dyDescent="0.3">
      <c r="B9" s="361" t="s">
        <v>832</v>
      </c>
      <c r="C9" s="362" t="s">
        <v>423</v>
      </c>
      <c r="D9" s="507">
        <f ca="1">D7-D8</f>
        <v>102.33961765561854</v>
      </c>
    </row>
    <row r="10" spans="2:4" ht="26" x14ac:dyDescent="0.3">
      <c r="B10" s="363" t="s">
        <v>833</v>
      </c>
      <c r="C10" s="501" t="s">
        <v>423</v>
      </c>
      <c r="D10" s="502">
        <f ca="1">D9+D6</f>
        <v>102.73293220561854</v>
      </c>
    </row>
    <row r="12" spans="2:4" x14ac:dyDescent="0.3">
      <c r="B12" s="364" t="s">
        <v>847</v>
      </c>
    </row>
    <row r="13" spans="2:4" x14ac:dyDescent="0.3">
      <c r="B13" s="496" t="s">
        <v>843</v>
      </c>
      <c r="C13" s="362" t="s">
        <v>96</v>
      </c>
      <c r="D13" s="783">
        <f>F2.1!G18</f>
        <v>0.46249000000000001</v>
      </c>
    </row>
    <row r="14" spans="2:4" x14ac:dyDescent="0.3">
      <c r="B14" s="496" t="s">
        <v>844</v>
      </c>
      <c r="C14" s="362" t="s">
        <v>96</v>
      </c>
      <c r="D14" s="783">
        <f>F2.1!G19</f>
        <v>0.44533</v>
      </c>
    </row>
    <row r="15" spans="2:4" x14ac:dyDescent="0.3">
      <c r="B15" s="496" t="s">
        <v>845</v>
      </c>
      <c r="C15" s="362" t="s">
        <v>96</v>
      </c>
      <c r="D15" s="783">
        <f>F2.1!G21</f>
        <v>0.83346999999999993</v>
      </c>
    </row>
    <row r="16" spans="2:4" x14ac:dyDescent="0.3">
      <c r="B16" s="496" t="s">
        <v>846</v>
      </c>
      <c r="C16" s="362" t="s">
        <v>96</v>
      </c>
      <c r="D16" s="783">
        <f>F2.1!G22</f>
        <v>0.81228</v>
      </c>
    </row>
    <row r="18" spans="2:4" x14ac:dyDescent="0.3">
      <c r="B18" s="497" t="s">
        <v>893</v>
      </c>
    </row>
    <row r="19" spans="2:4" x14ac:dyDescent="0.3">
      <c r="B19" s="496" t="s">
        <v>894</v>
      </c>
      <c r="C19" s="445" t="s">
        <v>423</v>
      </c>
      <c r="D19" s="508">
        <f ca="1">D7*1/4*20%</f>
        <v>6.0027046745265711</v>
      </c>
    </row>
    <row r="20" spans="2:4" x14ac:dyDescent="0.3">
      <c r="B20" s="496" t="s">
        <v>895</v>
      </c>
      <c r="C20" s="445" t="s">
        <v>423</v>
      </c>
      <c r="D20" s="509">
        <f ca="1">D7*1/4*80%</f>
        <v>24.010818698106284</v>
      </c>
    </row>
    <row r="21" spans="2:4" x14ac:dyDescent="0.3">
      <c r="B21" s="496" t="s">
        <v>896</v>
      </c>
      <c r="C21" s="445" t="s">
        <v>423</v>
      </c>
      <c r="D21" s="508">
        <f ca="1">D7*3/4*20%</f>
        <v>18.008114023579715</v>
      </c>
    </row>
    <row r="22" spans="2:4" x14ac:dyDescent="0.3">
      <c r="B22" s="496" t="s">
        <v>897</v>
      </c>
      <c r="C22" s="445" t="s">
        <v>423</v>
      </c>
      <c r="D22" s="509">
        <f ca="1">D7*3/4*80%</f>
        <v>72.03245609431886</v>
      </c>
    </row>
    <row r="23" spans="2:4" x14ac:dyDescent="0.3">
      <c r="B23" s="498"/>
      <c r="C23" s="445"/>
      <c r="D23" s="446"/>
    </row>
    <row r="24" spans="2:4" ht="39" x14ac:dyDescent="0.3">
      <c r="B24" s="499" t="s">
        <v>898</v>
      </c>
      <c r="C24" s="445"/>
      <c r="D24" s="446"/>
    </row>
    <row r="25" spans="2:4" x14ac:dyDescent="0.3">
      <c r="B25" s="496" t="s">
        <v>894</v>
      </c>
      <c r="C25" s="445" t="s">
        <v>423</v>
      </c>
      <c r="D25" s="519">
        <f ca="1">MIN(D13/$D$3,1)*D19</f>
        <v>3.2661069234374049</v>
      </c>
    </row>
    <row r="26" spans="2:4" x14ac:dyDescent="0.3">
      <c r="B26" s="496" t="s">
        <v>895</v>
      </c>
      <c r="C26" s="445" t="s">
        <v>423</v>
      </c>
      <c r="D26" s="519">
        <f t="shared" ref="D26:D28" ca="1" si="0">MIN(D14/$D$3,1)*D20</f>
        <v>12.579691636267851</v>
      </c>
    </row>
    <row r="27" spans="2:4" x14ac:dyDescent="0.3">
      <c r="B27" s="496" t="s">
        <v>896</v>
      </c>
      <c r="C27" s="445" t="s">
        <v>423</v>
      </c>
      <c r="D27" s="519">
        <f t="shared" ca="1" si="0"/>
        <v>17.657909170862332</v>
      </c>
    </row>
    <row r="28" spans="2:4" x14ac:dyDescent="0.3">
      <c r="B28" s="496" t="s">
        <v>897</v>
      </c>
      <c r="C28" s="445" t="s">
        <v>423</v>
      </c>
      <c r="D28" s="519">
        <f t="shared" ca="1" si="0"/>
        <v>68.83590992505097</v>
      </c>
    </row>
    <row r="29" spans="2:4" x14ac:dyDescent="0.3">
      <c r="B29" s="500"/>
      <c r="C29" s="447"/>
      <c r="D29" s="448"/>
    </row>
    <row r="30" spans="2:4" ht="26" x14ac:dyDescent="0.3">
      <c r="B30" s="499" t="s">
        <v>899</v>
      </c>
      <c r="C30" s="445"/>
      <c r="D30" s="446"/>
    </row>
    <row r="31" spans="2:4" x14ac:dyDescent="0.3">
      <c r="B31" s="496" t="s">
        <v>894</v>
      </c>
      <c r="C31" s="445" t="s">
        <v>423</v>
      </c>
      <c r="D31" s="1195"/>
    </row>
    <row r="32" spans="2:4" x14ac:dyDescent="0.3">
      <c r="B32" s="496" t="s">
        <v>895</v>
      </c>
      <c r="C32" s="445" t="s">
        <v>423</v>
      </c>
      <c r="D32" s="1195">
        <f ca="1">D26-D20</f>
        <v>-11.431127061838433</v>
      </c>
    </row>
    <row r="33" spans="2:14" x14ac:dyDescent="0.3">
      <c r="B33" s="496" t="s">
        <v>896</v>
      </c>
      <c r="C33" s="445" t="s">
        <v>423</v>
      </c>
      <c r="D33" s="1195"/>
    </row>
    <row r="34" spans="2:14" x14ac:dyDescent="0.3">
      <c r="B34" s="496" t="s">
        <v>897</v>
      </c>
      <c r="C34" s="445" t="s">
        <v>423</v>
      </c>
      <c r="D34" s="1195">
        <f ca="1">D28-D22</f>
        <v>-3.19654616926789</v>
      </c>
    </row>
    <row r="35" spans="2:14" x14ac:dyDescent="0.3">
      <c r="B35" s="498"/>
      <c r="C35" s="445"/>
      <c r="D35" s="1195"/>
    </row>
    <row r="36" spans="2:14" ht="26" x14ac:dyDescent="0.3">
      <c r="B36" s="499" t="s">
        <v>900</v>
      </c>
      <c r="C36" s="445"/>
      <c r="D36" s="1195"/>
    </row>
    <row r="37" spans="2:14" x14ac:dyDescent="0.3">
      <c r="B37" s="498" t="s">
        <v>894</v>
      </c>
      <c r="C37" s="445" t="s">
        <v>423</v>
      </c>
      <c r="D37" s="1195">
        <f ca="1">D13/D3*D19-D25</f>
        <v>0</v>
      </c>
    </row>
    <row r="38" spans="2:14" x14ac:dyDescent="0.3">
      <c r="B38" s="498" t="s">
        <v>895</v>
      </c>
      <c r="C38" s="445" t="s">
        <v>423</v>
      </c>
      <c r="D38" s="1195"/>
    </row>
    <row r="39" spans="2:14" x14ac:dyDescent="0.3">
      <c r="B39" s="498" t="s">
        <v>896</v>
      </c>
      <c r="C39" s="445" t="s">
        <v>423</v>
      </c>
      <c r="D39" s="1195">
        <f ca="1">D15/D3*D21-D27</f>
        <v>0</v>
      </c>
    </row>
    <row r="40" spans="2:14" x14ac:dyDescent="0.3">
      <c r="B40" s="498" t="s">
        <v>897</v>
      </c>
      <c r="C40" s="445" t="s">
        <v>423</v>
      </c>
      <c r="D40" s="1195"/>
    </row>
    <row r="41" spans="2:14" x14ac:dyDescent="0.3">
      <c r="B41" s="498"/>
      <c r="C41" s="445"/>
      <c r="D41" s="1195"/>
    </row>
    <row r="42" spans="2:14" ht="39" x14ac:dyDescent="0.3">
      <c r="B42" s="499" t="s">
        <v>901</v>
      </c>
      <c r="C42" s="445"/>
      <c r="D42" s="1195"/>
    </row>
    <row r="43" spans="2:14" x14ac:dyDescent="0.3">
      <c r="B43" s="498" t="s">
        <v>894</v>
      </c>
      <c r="C43" s="445" t="s">
        <v>423</v>
      </c>
      <c r="D43" s="1195"/>
    </row>
    <row r="44" spans="2:14" ht="14" x14ac:dyDescent="0.3">
      <c r="B44" s="498" t="s">
        <v>895</v>
      </c>
      <c r="C44" s="445" t="s">
        <v>423</v>
      </c>
      <c r="D44" s="1195">
        <f ca="1">IF(D32&lt;0,MIN(D37,-D32),0)</f>
        <v>0</v>
      </c>
      <c r="G44" s="17" t="s">
        <v>818</v>
      </c>
      <c r="H44" s="10"/>
      <c r="I44" s="10"/>
      <c r="J44" s="10"/>
      <c r="K44" s="10"/>
      <c r="L44" s="10"/>
      <c r="M44" s="10"/>
      <c r="N44" s="10"/>
    </row>
    <row r="45" spans="2:14" ht="56" x14ac:dyDescent="0.3">
      <c r="B45" s="498" t="s">
        <v>896</v>
      </c>
      <c r="C45" s="445" t="s">
        <v>423</v>
      </c>
      <c r="D45" s="1195"/>
      <c r="G45" s="494" t="s">
        <v>819</v>
      </c>
      <c r="H45" s="495" t="s">
        <v>820</v>
      </c>
      <c r="I45" s="495" t="s">
        <v>821</v>
      </c>
      <c r="J45" s="495" t="s">
        <v>822</v>
      </c>
      <c r="K45" s="495" t="s">
        <v>823</v>
      </c>
      <c r="L45" s="495" t="s">
        <v>824</v>
      </c>
      <c r="M45" s="495" t="s">
        <v>825</v>
      </c>
      <c r="N45" s="495" t="s">
        <v>826</v>
      </c>
    </row>
    <row r="46" spans="2:14" ht="15.5" x14ac:dyDescent="0.3">
      <c r="B46" s="498" t="s">
        <v>897</v>
      </c>
      <c r="C46" s="445" t="s">
        <v>423</v>
      </c>
      <c r="D46" s="1195">
        <f ca="1">IF(D34&lt;0,MIN(D39,-D34),0)</f>
        <v>0</v>
      </c>
      <c r="G46" s="19" t="s">
        <v>514</v>
      </c>
      <c r="H46" s="339">
        <f>F2.1!G30</f>
        <v>308.238</v>
      </c>
      <c r="I46" s="398">
        <f>F2.1!$G$34</f>
        <v>5.7500000000000002E-2</v>
      </c>
      <c r="J46" s="398">
        <f>F2.1!$G$38</f>
        <v>9.5600000000000004E-2</v>
      </c>
      <c r="K46" s="339">
        <f>(J46-I46)*H46</f>
        <v>11.7438678</v>
      </c>
      <c r="L46" s="492">
        <f>F2.2!F157</f>
        <v>3.2492332881444899</v>
      </c>
      <c r="M46" s="339">
        <f>K46*L46/10</f>
        <v>3.8158566187328198</v>
      </c>
      <c r="N46" s="493">
        <f>IF(M46&lt;0,2/3,1/3)*M46</f>
        <v>1.2719522062442732</v>
      </c>
    </row>
    <row r="47" spans="2:14" ht="15.5" x14ac:dyDescent="0.3">
      <c r="B47" s="498"/>
      <c r="C47" s="445"/>
      <c r="D47" s="1195"/>
      <c r="G47" s="19"/>
      <c r="H47" s="339"/>
      <c r="I47" s="398"/>
      <c r="J47" s="398"/>
      <c r="K47" s="339"/>
      <c r="L47" s="492"/>
      <c r="M47" s="339"/>
      <c r="N47" s="493"/>
    </row>
    <row r="48" spans="2:14" ht="15.5" x14ac:dyDescent="0.3">
      <c r="B48" s="500" t="s">
        <v>831</v>
      </c>
      <c r="C48" s="445" t="s">
        <v>423</v>
      </c>
      <c r="D48" s="1195">
        <f ca="1">SUM(D19:D22)-SUM(D25:D28)+SUM(D43:D46)</f>
        <v>17.714475834912875</v>
      </c>
      <c r="G48" s="19"/>
      <c r="H48" s="339"/>
      <c r="I48" s="398"/>
      <c r="J48" s="398"/>
      <c r="K48" s="339"/>
      <c r="L48" s="492"/>
      <c r="M48" s="339"/>
      <c r="N48" s="493"/>
    </row>
    <row r="49" spans="4:14" ht="14" x14ac:dyDescent="0.3">
      <c r="D49" s="1196"/>
      <c r="G49" s="19"/>
      <c r="H49" s="339"/>
      <c r="I49" s="19"/>
      <c r="J49" s="19"/>
      <c r="K49" s="19"/>
      <c r="L49" s="19"/>
      <c r="M49" s="19"/>
      <c r="N49" s="19"/>
    </row>
    <row r="57" spans="4:14" x14ac:dyDescent="0.3">
      <c r="D57" s="510"/>
    </row>
  </sheetData>
  <mergeCells count="1">
    <mergeCell ref="B1:D1"/>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T24"/>
  <sheetViews>
    <sheetView showGridLines="0" view="pageBreakPreview" zoomScale="80" zoomScaleNormal="75" zoomScaleSheetLayoutView="80" workbookViewId="0">
      <selection activeCell="B5" sqref="B5:T5"/>
    </sheetView>
  </sheetViews>
  <sheetFormatPr defaultColWidth="9.453125" defaultRowHeight="14" x14ac:dyDescent="0.3"/>
  <cols>
    <col min="1" max="1" width="4.453125" style="1" customWidth="1"/>
    <col min="2" max="2" width="6.453125" style="1" customWidth="1"/>
    <col min="3" max="3" width="44.54296875" style="1" customWidth="1"/>
    <col min="4" max="4" width="6.453125" style="39" bestFit="1" customWidth="1"/>
    <col min="5" max="5" width="11.54296875" style="39" customWidth="1"/>
    <col min="6" max="7" width="15.54296875" style="39" customWidth="1"/>
    <col min="8" max="8" width="9.1796875" style="39" customWidth="1"/>
    <col min="9" max="10" width="15.54296875" style="39" customWidth="1"/>
    <col min="11" max="11" width="12.81640625" style="1" customWidth="1"/>
    <col min="12" max="14" width="15.54296875" style="1" customWidth="1"/>
    <col min="15" max="19" width="5.81640625" style="1" bestFit="1" customWidth="1"/>
    <col min="20" max="20" width="9.54296875" style="1" bestFit="1" customWidth="1"/>
    <col min="21" max="16384" width="9.453125" style="1"/>
  </cols>
  <sheetData>
    <row r="2" spans="2:20" x14ac:dyDescent="0.3">
      <c r="B2" s="1406" t="str">
        <f>Index!B2</f>
        <v xml:space="preserve">      Maharashtra State Power Generation Company Ltd.</v>
      </c>
      <c r="C2" s="1406"/>
      <c r="D2" s="1406"/>
      <c r="E2" s="1406"/>
      <c r="F2" s="1406"/>
      <c r="G2" s="1406"/>
      <c r="H2" s="1406"/>
      <c r="I2" s="1406"/>
      <c r="J2" s="1406"/>
      <c r="K2" s="1435"/>
      <c r="L2" s="1435"/>
      <c r="M2" s="1435"/>
      <c r="N2" s="1435"/>
      <c r="O2" s="1435"/>
      <c r="P2" s="1435"/>
      <c r="Q2" s="1435"/>
      <c r="R2" s="1435"/>
      <c r="S2" s="1435"/>
      <c r="T2" s="1435"/>
    </row>
    <row r="3" spans="2:20" x14ac:dyDescent="0.3">
      <c r="B3" s="1406" t="str">
        <f>Index!B3</f>
        <v>MYT Petition Formats for Bhusawal Unit 6</v>
      </c>
      <c r="C3" s="1406"/>
      <c r="D3" s="1406"/>
      <c r="E3" s="1406"/>
      <c r="F3" s="1406"/>
      <c r="G3" s="1406"/>
      <c r="H3" s="1406"/>
      <c r="I3" s="1406"/>
      <c r="J3" s="1406"/>
      <c r="K3" s="1435"/>
      <c r="L3" s="1435"/>
      <c r="M3" s="1435"/>
      <c r="N3" s="1435"/>
      <c r="O3" s="1435"/>
      <c r="P3" s="1435"/>
      <c r="Q3" s="1435"/>
      <c r="R3" s="1435"/>
      <c r="S3" s="1435"/>
      <c r="T3" s="1435"/>
    </row>
    <row r="4" spans="2:20" x14ac:dyDescent="0.3">
      <c r="B4" s="1406" t="s">
        <v>372</v>
      </c>
      <c r="C4" s="1406"/>
      <c r="D4" s="1406"/>
      <c r="E4" s="1406"/>
      <c r="F4" s="1406"/>
      <c r="G4" s="1406"/>
      <c r="H4" s="1406"/>
      <c r="I4" s="1406"/>
      <c r="J4" s="1406"/>
      <c r="K4" s="1435"/>
      <c r="L4" s="1435"/>
      <c r="M4" s="1435"/>
      <c r="N4" s="1435"/>
      <c r="O4" s="1435"/>
      <c r="P4" s="1435"/>
      <c r="Q4" s="1435"/>
      <c r="R4" s="1435"/>
      <c r="S4" s="1435"/>
      <c r="T4" s="1435"/>
    </row>
    <row r="5" spans="2:20" x14ac:dyDescent="0.3">
      <c r="B5" s="1406"/>
      <c r="C5" s="1488"/>
      <c r="D5" s="1488"/>
      <c r="E5" s="1488"/>
      <c r="F5" s="1488"/>
      <c r="G5" s="1488"/>
      <c r="H5" s="1488"/>
      <c r="I5" s="1488"/>
      <c r="J5" s="1488"/>
      <c r="K5" s="1488"/>
      <c r="L5" s="1488"/>
      <c r="M5" s="1488"/>
      <c r="N5" s="1488"/>
      <c r="O5" s="1488"/>
      <c r="P5" s="1488"/>
      <c r="Q5" s="1488"/>
      <c r="R5" s="1488"/>
      <c r="S5" s="1488"/>
      <c r="T5" s="1488"/>
    </row>
    <row r="6" spans="2:20" x14ac:dyDescent="0.3">
      <c r="B6" s="62"/>
      <c r="C6" s="96"/>
      <c r="D6" s="96"/>
      <c r="E6" s="96"/>
      <c r="F6" s="96"/>
      <c r="G6" s="96"/>
      <c r="H6" s="96"/>
      <c r="I6" s="96"/>
      <c r="J6" s="96"/>
      <c r="K6" s="96"/>
      <c r="L6" s="96"/>
      <c r="M6" s="96"/>
      <c r="N6" s="96"/>
      <c r="O6" s="96"/>
      <c r="P6" s="96"/>
      <c r="Q6" s="96"/>
      <c r="R6" s="96"/>
      <c r="S6" s="96"/>
      <c r="T6" s="96"/>
    </row>
    <row r="7" spans="2:20" s="10" customFormat="1" x14ac:dyDescent="0.3">
      <c r="C7" s="6"/>
      <c r="D7" s="28"/>
      <c r="E7" s="28"/>
      <c r="F7" s="28"/>
      <c r="G7" s="28"/>
      <c r="H7" s="28"/>
      <c r="I7" s="28"/>
      <c r="J7" s="28"/>
      <c r="K7" s="12"/>
      <c r="L7" s="12"/>
      <c r="M7" s="12"/>
      <c r="T7" s="12"/>
    </row>
    <row r="8" spans="2:20" ht="13.75" customHeight="1" x14ac:dyDescent="0.3">
      <c r="B8" s="1404" t="s">
        <v>327</v>
      </c>
      <c r="C8" s="1436" t="s">
        <v>35</v>
      </c>
      <c r="D8" s="1436" t="s">
        <v>91</v>
      </c>
      <c r="E8" s="1413" t="s">
        <v>477</v>
      </c>
      <c r="F8" s="1414"/>
      <c r="G8" s="1415"/>
      <c r="H8" s="1429" t="s">
        <v>848</v>
      </c>
      <c r="I8" s="1429"/>
      <c r="J8" s="1429"/>
      <c r="K8" s="1429"/>
      <c r="L8" s="1429"/>
      <c r="M8" s="1404" t="s">
        <v>25</v>
      </c>
    </row>
    <row r="9" spans="2:20" s="29" customFormat="1" ht="30" customHeight="1" x14ac:dyDescent="0.25">
      <c r="B9" s="1436"/>
      <c r="C9" s="1436"/>
      <c r="D9" s="1436"/>
      <c r="E9" s="97" t="s">
        <v>1216</v>
      </c>
      <c r="F9" s="97" t="s">
        <v>77</v>
      </c>
      <c r="G9" s="97" t="s">
        <v>427</v>
      </c>
      <c r="H9" s="456" t="s">
        <v>849</v>
      </c>
      <c r="I9" s="456" t="s">
        <v>850</v>
      </c>
      <c r="J9" s="456" t="s">
        <v>851</v>
      </c>
      <c r="K9" s="456" t="s">
        <v>852</v>
      </c>
      <c r="L9" s="456" t="s">
        <v>853</v>
      </c>
      <c r="M9" s="1404"/>
    </row>
    <row r="10" spans="2:20" s="29" customFormat="1" ht="20.149999999999999" customHeight="1" x14ac:dyDescent="0.25">
      <c r="B10" s="1489"/>
      <c r="C10" s="1489"/>
      <c r="D10" s="1489"/>
      <c r="E10" s="97" t="s">
        <v>78</v>
      </c>
      <c r="F10" s="97" t="s">
        <v>79</v>
      </c>
      <c r="G10" s="97" t="s">
        <v>627</v>
      </c>
      <c r="H10" s="97" t="s">
        <v>20</v>
      </c>
      <c r="I10" s="97" t="s">
        <v>20</v>
      </c>
      <c r="J10" s="97" t="s">
        <v>20</v>
      </c>
      <c r="K10" s="97" t="s">
        <v>20</v>
      </c>
      <c r="L10" s="97" t="s">
        <v>20</v>
      </c>
      <c r="M10" s="1405"/>
    </row>
    <row r="11" spans="2:20" s="29" customFormat="1" ht="42" customHeight="1" x14ac:dyDescent="0.25">
      <c r="B11" s="31">
        <v>1</v>
      </c>
      <c r="C11" s="102" t="s">
        <v>92</v>
      </c>
      <c r="D11" s="103"/>
      <c r="E11" s="1482" t="s">
        <v>703</v>
      </c>
      <c r="F11" s="1483"/>
      <c r="G11" s="1483"/>
      <c r="H11" s="1483"/>
      <c r="I11" s="1483"/>
      <c r="J11" s="1483"/>
      <c r="K11" s="1483"/>
      <c r="L11" s="1483"/>
      <c r="M11" s="792"/>
    </row>
    <row r="12" spans="2:20" s="29" customFormat="1" x14ac:dyDescent="0.25">
      <c r="B12" s="104">
        <v>1.1000000000000001</v>
      </c>
      <c r="C12" s="106" t="s">
        <v>93</v>
      </c>
      <c r="D12" s="104" t="s">
        <v>94</v>
      </c>
      <c r="E12" s="1484"/>
      <c r="F12" s="1485"/>
      <c r="G12" s="1485"/>
      <c r="H12" s="1485"/>
      <c r="I12" s="1485"/>
      <c r="J12" s="1485"/>
      <c r="K12" s="1485"/>
      <c r="L12" s="1485"/>
      <c r="M12" s="793"/>
    </row>
    <row r="13" spans="2:20" s="29" customFormat="1" x14ac:dyDescent="0.25">
      <c r="B13" s="104">
        <v>1.2</v>
      </c>
      <c r="C13" s="105" t="s">
        <v>153</v>
      </c>
      <c r="D13" s="104" t="s">
        <v>96</v>
      </c>
      <c r="E13" s="1484"/>
      <c r="F13" s="1485"/>
      <c r="G13" s="1485"/>
      <c r="H13" s="1485"/>
      <c r="I13" s="1485"/>
      <c r="J13" s="1485"/>
      <c r="K13" s="1485"/>
      <c r="L13" s="1485"/>
      <c r="M13" s="793"/>
    </row>
    <row r="14" spans="2:20" s="29" customFormat="1" x14ac:dyDescent="0.25">
      <c r="B14" s="104">
        <v>1.3</v>
      </c>
      <c r="C14" s="105" t="s">
        <v>309</v>
      </c>
      <c r="D14" s="104" t="s">
        <v>96</v>
      </c>
      <c r="E14" s="1484"/>
      <c r="F14" s="1485"/>
      <c r="G14" s="1485"/>
      <c r="H14" s="1485"/>
      <c r="I14" s="1485"/>
      <c r="J14" s="1485"/>
      <c r="K14" s="1485"/>
      <c r="L14" s="1485"/>
      <c r="M14" s="793"/>
    </row>
    <row r="15" spans="2:20" s="29" customFormat="1" x14ac:dyDescent="0.25">
      <c r="B15" s="104">
        <v>1.4</v>
      </c>
      <c r="C15" s="105" t="s">
        <v>154</v>
      </c>
      <c r="D15" s="104" t="s">
        <v>98</v>
      </c>
      <c r="E15" s="1484"/>
      <c r="F15" s="1485"/>
      <c r="G15" s="1485"/>
      <c r="H15" s="1485"/>
      <c r="I15" s="1485"/>
      <c r="J15" s="1485"/>
      <c r="K15" s="1485"/>
      <c r="L15" s="1485"/>
      <c r="M15" s="793"/>
    </row>
    <row r="16" spans="2:20" s="29" customFormat="1" x14ac:dyDescent="0.25">
      <c r="B16" s="104">
        <v>1.5</v>
      </c>
      <c r="C16" s="108" t="s">
        <v>155</v>
      </c>
      <c r="D16" s="104" t="s">
        <v>98</v>
      </c>
      <c r="E16" s="1484"/>
      <c r="F16" s="1485"/>
      <c r="G16" s="1485"/>
      <c r="H16" s="1485"/>
      <c r="I16" s="1485"/>
      <c r="J16" s="1485"/>
      <c r="K16" s="1485"/>
      <c r="L16" s="1485"/>
      <c r="M16" s="793"/>
    </row>
    <row r="17" spans="2:19" s="29" customFormat="1" x14ac:dyDescent="0.25">
      <c r="B17" s="104">
        <v>1.6</v>
      </c>
      <c r="C17" s="108" t="s">
        <v>156</v>
      </c>
      <c r="D17" s="104" t="s">
        <v>96</v>
      </c>
      <c r="E17" s="1484"/>
      <c r="F17" s="1485"/>
      <c r="G17" s="1485"/>
      <c r="H17" s="1485"/>
      <c r="I17" s="1485"/>
      <c r="J17" s="1485"/>
      <c r="K17" s="1485"/>
      <c r="L17" s="1485"/>
      <c r="M17" s="793"/>
    </row>
    <row r="18" spans="2:19" s="29" customFormat="1" x14ac:dyDescent="0.25">
      <c r="B18" s="104">
        <v>1.7</v>
      </c>
      <c r="C18" s="109" t="s">
        <v>156</v>
      </c>
      <c r="D18" s="104" t="s">
        <v>98</v>
      </c>
      <c r="E18" s="1484"/>
      <c r="F18" s="1485"/>
      <c r="G18" s="1485"/>
      <c r="H18" s="1485"/>
      <c r="I18" s="1485"/>
      <c r="J18" s="1485"/>
      <c r="K18" s="1485"/>
      <c r="L18" s="1485"/>
      <c r="M18" s="793"/>
    </row>
    <row r="19" spans="2:19" s="29" customFormat="1" x14ac:dyDescent="0.25">
      <c r="B19" s="70">
        <v>1.8</v>
      </c>
      <c r="C19" s="108" t="s">
        <v>99</v>
      </c>
      <c r="D19" s="104" t="s">
        <v>98</v>
      </c>
      <c r="E19" s="1486"/>
      <c r="F19" s="1487"/>
      <c r="G19" s="1487"/>
      <c r="H19" s="1487"/>
      <c r="I19" s="1487"/>
      <c r="J19" s="1487"/>
      <c r="K19" s="1487"/>
      <c r="L19" s="1487"/>
      <c r="M19" s="794"/>
    </row>
    <row r="20" spans="2:19" ht="16" x14ac:dyDescent="0.3">
      <c r="B20" s="32"/>
      <c r="D20" s="33"/>
      <c r="E20" s="33"/>
      <c r="F20" s="33"/>
      <c r="G20" s="33"/>
      <c r="H20" s="33"/>
      <c r="I20" s="33"/>
      <c r="J20" s="33"/>
      <c r="K20" s="37"/>
      <c r="L20" s="37"/>
    </row>
    <row r="21" spans="2:19" ht="16" x14ac:dyDescent="0.3">
      <c r="B21" s="4"/>
      <c r="C21" s="34"/>
      <c r="D21" s="35"/>
      <c r="E21" s="35"/>
      <c r="F21" s="35"/>
      <c r="G21" s="35"/>
      <c r="H21" s="35"/>
      <c r="I21" s="35"/>
      <c r="J21" s="35"/>
      <c r="K21" s="34"/>
      <c r="L21" s="34"/>
      <c r="M21" s="34"/>
      <c r="N21" s="34"/>
      <c r="O21" s="34"/>
      <c r="P21" s="34"/>
      <c r="Q21" s="34"/>
      <c r="R21" s="34"/>
      <c r="S21" s="34"/>
    </row>
    <row r="22" spans="2:19" ht="16" x14ac:dyDescent="0.3">
      <c r="B22" s="118"/>
      <c r="C22" s="34"/>
      <c r="D22" s="35"/>
      <c r="E22" s="35"/>
      <c r="F22" s="35"/>
      <c r="G22" s="35"/>
      <c r="H22" s="35"/>
      <c r="I22" s="35"/>
      <c r="J22" s="35"/>
      <c r="K22" s="34"/>
      <c r="L22" s="34"/>
      <c r="M22" s="34"/>
      <c r="N22" s="34"/>
      <c r="O22" s="34"/>
      <c r="P22" s="34"/>
      <c r="Q22" s="34"/>
      <c r="R22" s="34"/>
      <c r="S22" s="34"/>
    </row>
    <row r="23" spans="2:19" x14ac:dyDescent="0.3">
      <c r="B23" s="5"/>
      <c r="C23" s="40"/>
      <c r="D23" s="38"/>
      <c r="E23" s="38"/>
      <c r="F23" s="38"/>
      <c r="G23" s="38"/>
      <c r="H23" s="38"/>
      <c r="I23" s="38"/>
      <c r="J23" s="38"/>
      <c r="K23" s="40"/>
      <c r="L23" s="40"/>
      <c r="M23" s="40"/>
      <c r="N23" s="40"/>
      <c r="O23" s="40"/>
      <c r="P23" s="40"/>
      <c r="Q23" s="40"/>
      <c r="R23" s="40"/>
      <c r="S23" s="40"/>
    </row>
    <row r="24" spans="2:19" x14ac:dyDescent="0.3">
      <c r="M24" s="41"/>
    </row>
  </sheetData>
  <mergeCells count="14">
    <mergeCell ref="E11:L19"/>
    <mergeCell ref="K2:T2"/>
    <mergeCell ref="K3:T3"/>
    <mergeCell ref="K4:T4"/>
    <mergeCell ref="B5:T5"/>
    <mergeCell ref="B8:B10"/>
    <mergeCell ref="C8:C10"/>
    <mergeCell ref="D8:D10"/>
    <mergeCell ref="E8:G8"/>
    <mergeCell ref="M8:M10"/>
    <mergeCell ref="B2:J2"/>
    <mergeCell ref="H8:L8"/>
    <mergeCell ref="B3:J3"/>
    <mergeCell ref="B4:J4"/>
  </mergeCells>
  <pageMargins left="0.6692913385826772" right="0.23622047244094491" top="0.98425196850393704" bottom="0.98425196850393704" header="0.51181102362204722" footer="0.51181102362204722"/>
  <pageSetup paperSize="9" scale="60" orientation="landscape" r:id="rId1"/>
  <headerFooter alignWithMargins="0"/>
  <colBreaks count="1" manualBreakCount="1">
    <brk id="10" max="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U22"/>
  <sheetViews>
    <sheetView showGridLines="0" view="pageBreakPreview" zoomScale="87" zoomScaleNormal="80" zoomScaleSheetLayoutView="87" workbookViewId="0">
      <selection activeCell="K2" sqref="K2:U4"/>
    </sheetView>
  </sheetViews>
  <sheetFormatPr defaultColWidth="9.453125" defaultRowHeight="14" x14ac:dyDescent="0.25"/>
  <cols>
    <col min="1" max="1" width="3.453125" style="67" customWidth="1"/>
    <col min="2" max="2" width="7.54296875" style="67" customWidth="1"/>
    <col min="3" max="3" width="54.54296875" style="67" bestFit="1" customWidth="1"/>
    <col min="4" max="4" width="13" style="67" bestFit="1" customWidth="1"/>
    <col min="5" max="5" width="10.81640625" style="67" customWidth="1"/>
    <col min="6" max="6" width="15.453125" style="67" customWidth="1"/>
    <col min="7" max="7" width="12.54296875" style="67" bestFit="1" customWidth="1"/>
    <col min="8" max="8" width="13.54296875" style="67" customWidth="1"/>
    <col min="9" max="10" width="12.54296875" style="67" bestFit="1" customWidth="1"/>
    <col min="11" max="11" width="14.453125" style="67" customWidth="1"/>
    <col min="12" max="12" width="13.453125" style="67" customWidth="1"/>
    <col min="13" max="13" width="11.81640625" style="67" bestFit="1" customWidth="1"/>
    <col min="14" max="14" width="13.81640625" style="67" bestFit="1" customWidth="1"/>
    <col min="15" max="20" width="15.453125" style="67" customWidth="1"/>
    <col min="21" max="21" width="9.54296875" style="67" bestFit="1" customWidth="1"/>
    <col min="22" max="16384" width="9.453125" style="67"/>
  </cols>
  <sheetData>
    <row r="2" spans="2:21" x14ac:dyDescent="0.25">
      <c r="B2" s="1406" t="str">
        <f>Index!B2</f>
        <v xml:space="preserve">      Maharashtra State Power Generation Company Ltd.</v>
      </c>
      <c r="C2" s="1406"/>
      <c r="D2" s="1406"/>
      <c r="E2" s="1406"/>
      <c r="F2" s="1406"/>
      <c r="G2" s="1406"/>
      <c r="H2" s="1406"/>
      <c r="I2" s="1406"/>
      <c r="J2" s="1406"/>
      <c r="K2" s="1435"/>
      <c r="L2" s="1435"/>
      <c r="M2" s="1435"/>
      <c r="N2" s="1435"/>
      <c r="O2" s="1435"/>
      <c r="P2" s="1435"/>
      <c r="Q2" s="1435"/>
      <c r="R2" s="1435"/>
      <c r="S2" s="1435"/>
      <c r="T2" s="1435"/>
      <c r="U2" s="1435"/>
    </row>
    <row r="3" spans="2:21" x14ac:dyDescent="0.25">
      <c r="B3" s="1406" t="str">
        <f>Index!B3</f>
        <v>MYT Petition Formats for Bhusawal Unit 6</v>
      </c>
      <c r="C3" s="1406"/>
      <c r="D3" s="1406"/>
      <c r="E3" s="1406"/>
      <c r="F3" s="1406"/>
      <c r="G3" s="1406"/>
      <c r="H3" s="1406"/>
      <c r="I3" s="1406"/>
      <c r="J3" s="1406"/>
      <c r="K3" s="1435"/>
      <c r="L3" s="1435"/>
      <c r="M3" s="1435"/>
      <c r="N3" s="1435"/>
      <c r="O3" s="1435"/>
      <c r="P3" s="1435"/>
      <c r="Q3" s="1435"/>
      <c r="R3" s="1435"/>
      <c r="S3" s="1435"/>
      <c r="T3" s="1435"/>
      <c r="U3" s="1435"/>
    </row>
    <row r="4" spans="2:21" x14ac:dyDescent="0.25">
      <c r="B4" s="1406" t="s">
        <v>433</v>
      </c>
      <c r="C4" s="1406"/>
      <c r="D4" s="1406"/>
      <c r="E4" s="1406"/>
      <c r="F4" s="1406"/>
      <c r="G4" s="1406"/>
      <c r="H4" s="1406"/>
      <c r="I4" s="1406"/>
      <c r="J4" s="1406"/>
      <c r="K4" s="1435"/>
      <c r="L4" s="1435"/>
      <c r="M4" s="1435"/>
      <c r="N4" s="1435"/>
      <c r="O4" s="1435"/>
      <c r="P4" s="1435"/>
      <c r="Q4" s="1435"/>
      <c r="R4" s="1435"/>
      <c r="S4" s="1435"/>
      <c r="T4" s="1435"/>
      <c r="U4" s="1435"/>
    </row>
    <row r="6" spans="2:21" x14ac:dyDescent="0.25">
      <c r="B6" s="110"/>
      <c r="C6" s="111"/>
      <c r="D6" s="112"/>
      <c r="E6" s="112"/>
      <c r="F6" s="112"/>
      <c r="G6" s="112"/>
      <c r="H6" s="112"/>
      <c r="I6" s="112"/>
      <c r="J6" s="112"/>
      <c r="U6" s="16"/>
    </row>
    <row r="7" spans="2:21" ht="13.75" customHeight="1" x14ac:dyDescent="0.25">
      <c r="B7" s="1481" t="s">
        <v>327</v>
      </c>
      <c r="C7" s="1462" t="s">
        <v>35</v>
      </c>
      <c r="D7" s="1462" t="s">
        <v>430</v>
      </c>
      <c r="E7" s="1413" t="s">
        <v>477</v>
      </c>
      <c r="F7" s="1414"/>
      <c r="G7" s="1415"/>
      <c r="H7" s="1429" t="s">
        <v>848</v>
      </c>
      <c r="I7" s="1429"/>
      <c r="J7" s="1429"/>
      <c r="K7" s="1429"/>
      <c r="L7" s="1429"/>
      <c r="M7" s="1404" t="s">
        <v>25</v>
      </c>
    </row>
    <row r="8" spans="2:21" ht="28" x14ac:dyDescent="0.25">
      <c r="B8" s="1481"/>
      <c r="C8" s="1462"/>
      <c r="D8" s="1462"/>
      <c r="E8" s="97" t="s">
        <v>1216</v>
      </c>
      <c r="F8" s="97" t="s">
        <v>77</v>
      </c>
      <c r="G8" s="97" t="s">
        <v>734</v>
      </c>
      <c r="H8" s="456" t="s">
        <v>849</v>
      </c>
      <c r="I8" s="456" t="s">
        <v>850</v>
      </c>
      <c r="J8" s="456" t="s">
        <v>851</v>
      </c>
      <c r="K8" s="456" t="s">
        <v>852</v>
      </c>
      <c r="L8" s="456" t="s">
        <v>853</v>
      </c>
      <c r="M8" s="1404"/>
    </row>
    <row r="9" spans="2:21" x14ac:dyDescent="0.25">
      <c r="B9" s="1489"/>
      <c r="C9" s="1412"/>
      <c r="D9" s="1412"/>
      <c r="E9" s="97" t="s">
        <v>78</v>
      </c>
      <c r="F9" s="97" t="s">
        <v>79</v>
      </c>
      <c r="G9" s="97" t="s">
        <v>627</v>
      </c>
      <c r="H9" s="97" t="s">
        <v>20</v>
      </c>
      <c r="I9" s="97" t="s">
        <v>20</v>
      </c>
      <c r="J9" s="97" t="s">
        <v>20</v>
      </c>
      <c r="K9" s="97" t="s">
        <v>20</v>
      </c>
      <c r="L9" s="97" t="s">
        <v>20</v>
      </c>
      <c r="M9" s="1405"/>
    </row>
    <row r="10" spans="2:21" s="51" customFormat="1" x14ac:dyDescent="0.25">
      <c r="B10" s="113">
        <v>1</v>
      </c>
      <c r="C10" s="114" t="s">
        <v>432</v>
      </c>
      <c r="D10" s="121" t="s">
        <v>339</v>
      </c>
      <c r="E10" s="1490" t="s">
        <v>703</v>
      </c>
      <c r="F10" s="1491"/>
      <c r="G10" s="1491"/>
      <c r="H10" s="1491"/>
      <c r="I10" s="1491"/>
      <c r="J10" s="1491"/>
      <c r="K10" s="1491"/>
      <c r="L10" s="1491"/>
      <c r="M10" s="795"/>
    </row>
    <row r="11" spans="2:21" s="51" customFormat="1" x14ac:dyDescent="0.25">
      <c r="B11" s="113">
        <f>B10+1</f>
        <v>2</v>
      </c>
      <c r="C11" s="114" t="s">
        <v>402</v>
      </c>
      <c r="D11" s="121" t="s">
        <v>340</v>
      </c>
      <c r="E11" s="1492"/>
      <c r="F11" s="1493"/>
      <c r="G11" s="1493"/>
      <c r="H11" s="1493"/>
      <c r="I11" s="1493"/>
      <c r="J11" s="1493"/>
      <c r="K11" s="1493"/>
      <c r="L11" s="1493"/>
      <c r="M11" s="796"/>
    </row>
    <row r="12" spans="2:21" s="51" customFormat="1" x14ac:dyDescent="0.25">
      <c r="B12" s="113">
        <f t="shared" ref="B12:B18" si="0">B11+1</f>
        <v>3</v>
      </c>
      <c r="C12" s="114" t="s">
        <v>350</v>
      </c>
      <c r="D12" s="121" t="s">
        <v>344</v>
      </c>
      <c r="E12" s="1492"/>
      <c r="F12" s="1493"/>
      <c r="G12" s="1493"/>
      <c r="H12" s="1493"/>
      <c r="I12" s="1493"/>
      <c r="J12" s="1493"/>
      <c r="K12" s="1493"/>
      <c r="L12" s="1493"/>
      <c r="M12" s="796"/>
    </row>
    <row r="13" spans="2:21" x14ac:dyDescent="0.25">
      <c r="B13" s="113">
        <f t="shared" si="0"/>
        <v>4</v>
      </c>
      <c r="C13" s="115" t="s">
        <v>434</v>
      </c>
      <c r="D13" s="121" t="s">
        <v>431</v>
      </c>
      <c r="E13" s="1492"/>
      <c r="F13" s="1493"/>
      <c r="G13" s="1493"/>
      <c r="H13" s="1493"/>
      <c r="I13" s="1493"/>
      <c r="J13" s="1493"/>
      <c r="K13" s="1493"/>
      <c r="L13" s="1493"/>
      <c r="M13" s="796"/>
    </row>
    <row r="14" spans="2:21" x14ac:dyDescent="0.25">
      <c r="B14" s="113"/>
      <c r="C14" s="116"/>
      <c r="D14" s="121"/>
      <c r="E14" s="1492"/>
      <c r="F14" s="1493"/>
      <c r="G14" s="1493"/>
      <c r="H14" s="1493"/>
      <c r="I14" s="1493"/>
      <c r="J14" s="1493"/>
      <c r="K14" s="1493"/>
      <c r="L14" s="1493"/>
      <c r="M14" s="796"/>
    </row>
    <row r="15" spans="2:21" x14ac:dyDescent="0.25">
      <c r="B15" s="113">
        <v>5</v>
      </c>
      <c r="C15" s="114" t="s">
        <v>351</v>
      </c>
      <c r="D15" s="121" t="s">
        <v>341</v>
      </c>
      <c r="E15" s="1492"/>
      <c r="F15" s="1493"/>
      <c r="G15" s="1493"/>
      <c r="H15" s="1493"/>
      <c r="I15" s="1493"/>
      <c r="J15" s="1493"/>
      <c r="K15" s="1493"/>
      <c r="L15" s="1493"/>
      <c r="M15" s="796"/>
    </row>
    <row r="16" spans="2:21" x14ac:dyDescent="0.25">
      <c r="B16" s="113">
        <f t="shared" si="0"/>
        <v>6</v>
      </c>
      <c r="C16" s="114" t="s">
        <v>352</v>
      </c>
      <c r="D16" s="121" t="s">
        <v>346</v>
      </c>
      <c r="E16" s="1492"/>
      <c r="F16" s="1493"/>
      <c r="G16" s="1493"/>
      <c r="H16" s="1493"/>
      <c r="I16" s="1493"/>
      <c r="J16" s="1493"/>
      <c r="K16" s="1493"/>
      <c r="L16" s="1493"/>
      <c r="M16" s="796"/>
    </row>
    <row r="17" spans="2:13" x14ac:dyDescent="0.25">
      <c r="B17" s="113">
        <f t="shared" si="0"/>
        <v>7</v>
      </c>
      <c r="C17" s="114" t="s">
        <v>353</v>
      </c>
      <c r="D17" s="121" t="s">
        <v>347</v>
      </c>
      <c r="E17" s="1492"/>
      <c r="F17" s="1493"/>
      <c r="G17" s="1493"/>
      <c r="H17" s="1493"/>
      <c r="I17" s="1493"/>
      <c r="J17" s="1493"/>
      <c r="K17" s="1493"/>
      <c r="L17" s="1493"/>
      <c r="M17" s="796"/>
    </row>
    <row r="18" spans="2:13" x14ac:dyDescent="0.25">
      <c r="B18" s="113">
        <f t="shared" si="0"/>
        <v>8</v>
      </c>
      <c r="C18" s="122" t="s">
        <v>354</v>
      </c>
      <c r="D18" s="121" t="s">
        <v>348</v>
      </c>
      <c r="E18" s="1494"/>
      <c r="F18" s="1495"/>
      <c r="G18" s="1495"/>
      <c r="H18" s="1495"/>
      <c r="I18" s="1495"/>
      <c r="J18" s="1495"/>
      <c r="K18" s="1495"/>
      <c r="L18" s="1495"/>
      <c r="M18" s="797"/>
    </row>
    <row r="20" spans="2:13" x14ac:dyDescent="0.25">
      <c r="B20" s="130"/>
      <c r="C20" s="117"/>
      <c r="D20" s="117"/>
      <c r="E20" s="117"/>
      <c r="F20" s="117"/>
      <c r="G20" s="117"/>
    </row>
    <row r="21" spans="2:13" ht="16" x14ac:dyDescent="0.25">
      <c r="B21" s="118"/>
      <c r="C21" s="119"/>
      <c r="D21" s="120"/>
    </row>
    <row r="22" spans="2:13" ht="18" customHeight="1" x14ac:dyDescent="0.3">
      <c r="B22" s="5"/>
      <c r="C22" s="118"/>
      <c r="D22" s="118"/>
      <c r="E22" s="118"/>
      <c r="F22" s="118"/>
      <c r="G22" s="118"/>
      <c r="H22" s="118"/>
      <c r="I22" s="118"/>
      <c r="J22" s="118"/>
    </row>
  </sheetData>
  <mergeCells count="13">
    <mergeCell ref="B2:J2"/>
    <mergeCell ref="B3:J3"/>
    <mergeCell ref="B4:J4"/>
    <mergeCell ref="K2:U2"/>
    <mergeCell ref="K3:U3"/>
    <mergeCell ref="K4:U4"/>
    <mergeCell ref="M7:M9"/>
    <mergeCell ref="H7:L7"/>
    <mergeCell ref="E10:L18"/>
    <mergeCell ref="B7:B9"/>
    <mergeCell ref="C7:C9"/>
    <mergeCell ref="D7:D9"/>
    <mergeCell ref="E7:G7"/>
  </mergeCells>
  <pageMargins left="0.74803149606299213" right="0.74803149606299213" top="0.98425196850393704" bottom="0.98425196850393704" header="0.51181102362204722" footer="0.51181102362204722"/>
  <pageSetup paperSize="9" scale="60" orientation="landscape" r:id="rId1"/>
  <headerFooter alignWithMargins="0"/>
  <colBreaks count="1" manualBreakCount="1">
    <brk id="10" max="1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2:N45"/>
  <sheetViews>
    <sheetView showGridLines="0" view="pageBreakPreview" topLeftCell="A24" zoomScale="84" zoomScaleNormal="80" zoomScaleSheetLayoutView="90" workbookViewId="0">
      <selection activeCell="C24" sqref="C24"/>
    </sheetView>
  </sheetViews>
  <sheetFormatPr defaultColWidth="9.453125" defaultRowHeight="14" x14ac:dyDescent="0.3"/>
  <cols>
    <col min="1" max="1" width="3.453125" style="1" customWidth="1"/>
    <col min="2" max="2" width="8.453125" style="1" customWidth="1"/>
    <col min="3" max="3" width="43.54296875" style="1" customWidth="1"/>
    <col min="4" max="4" width="7.453125" style="1" bestFit="1" customWidth="1"/>
    <col min="5" max="5" width="11.1796875" style="1" customWidth="1"/>
    <col min="6" max="6" width="14.54296875" style="1" customWidth="1"/>
    <col min="7" max="7" width="7.81640625" style="1" bestFit="1" customWidth="1"/>
    <col min="8" max="8" width="10.81640625" style="1" bestFit="1" customWidth="1"/>
    <col min="9" max="9" width="7.81640625" style="1" bestFit="1" customWidth="1"/>
    <col min="10" max="10" width="10.81640625" style="1" bestFit="1" customWidth="1"/>
    <col min="11" max="11" width="7.81640625" style="1" bestFit="1" customWidth="1"/>
    <col min="12" max="12" width="10.81640625" style="1" bestFit="1" customWidth="1"/>
    <col min="13" max="13" width="7.81640625" style="1" bestFit="1" customWidth="1"/>
    <col min="14" max="14" width="10.81640625" style="1" bestFit="1" customWidth="1"/>
    <col min="15" max="16384" width="9.453125" style="1"/>
  </cols>
  <sheetData>
    <row r="2" spans="2:14" x14ac:dyDescent="0.3">
      <c r="B2" s="1406" t="str">
        <f>Index!B2</f>
        <v xml:space="preserve">      Maharashtra State Power Generation Company Ltd.</v>
      </c>
      <c r="C2" s="1488"/>
      <c r="D2" s="1488"/>
      <c r="E2" s="1488"/>
      <c r="F2" s="1488"/>
      <c r="G2" s="1488"/>
      <c r="H2" s="1488"/>
      <c r="I2" s="1488"/>
      <c r="J2" s="1488"/>
      <c r="K2" s="1488"/>
      <c r="L2" s="1488"/>
      <c r="M2" s="1488"/>
    </row>
    <row r="3" spans="2:14" x14ac:dyDescent="0.3">
      <c r="B3" s="1406" t="str">
        <f>Index!B3</f>
        <v>MYT Petition Formats for Bhusawal Unit 6</v>
      </c>
      <c r="C3" s="1488"/>
      <c r="D3" s="1488"/>
      <c r="E3" s="1488"/>
      <c r="F3" s="1488"/>
      <c r="G3" s="1488"/>
      <c r="H3" s="1488"/>
      <c r="I3" s="1488"/>
      <c r="J3" s="1488"/>
      <c r="K3" s="1488"/>
      <c r="L3" s="1488"/>
      <c r="M3" s="1488"/>
    </row>
    <row r="4" spans="2:14" x14ac:dyDescent="0.3">
      <c r="B4" s="1407" t="s">
        <v>373</v>
      </c>
      <c r="C4" s="1488"/>
      <c r="D4" s="1488"/>
      <c r="E4" s="1488"/>
      <c r="F4" s="1488"/>
      <c r="G4" s="1488"/>
      <c r="H4" s="1488"/>
      <c r="I4" s="1488"/>
      <c r="J4" s="1488"/>
      <c r="K4" s="1488"/>
      <c r="L4" s="1488"/>
      <c r="M4" s="1488"/>
    </row>
    <row r="6" spans="2:14" x14ac:dyDescent="0.3">
      <c r="B6" s="4" t="s">
        <v>888</v>
      </c>
    </row>
    <row r="7" spans="2:14" x14ac:dyDescent="0.3">
      <c r="B7" s="42"/>
      <c r="C7" s="13"/>
      <c r="D7" s="14"/>
      <c r="E7" s="14"/>
      <c r="F7" s="16" t="s">
        <v>10</v>
      </c>
      <c r="G7" s="14"/>
      <c r="H7" s="14"/>
      <c r="I7" s="14"/>
      <c r="J7" s="14"/>
      <c r="K7" s="14"/>
      <c r="L7" s="14"/>
      <c r="M7" s="14"/>
      <c r="N7" s="14"/>
    </row>
    <row r="8" spans="2:14" ht="15.75" customHeight="1" x14ac:dyDescent="0.3">
      <c r="B8" s="1475" t="s">
        <v>327</v>
      </c>
      <c r="C8" s="1477" t="s">
        <v>35</v>
      </c>
      <c r="D8" s="1477" t="s">
        <v>142</v>
      </c>
      <c r="E8" s="1413" t="s">
        <v>477</v>
      </c>
      <c r="F8" s="1415"/>
    </row>
    <row r="9" spans="2:14" ht="26.25" customHeight="1" x14ac:dyDescent="0.3">
      <c r="B9" s="1476"/>
      <c r="C9" s="1478"/>
      <c r="D9" s="1478"/>
      <c r="E9" s="97" t="s">
        <v>1215</v>
      </c>
      <c r="F9" s="97" t="s">
        <v>736</v>
      </c>
    </row>
    <row r="10" spans="2:14" s="4" customFormat="1" ht="14.15" customHeight="1" x14ac:dyDescent="0.3">
      <c r="B10" s="98">
        <v>1</v>
      </c>
      <c r="C10" s="47" t="s">
        <v>366</v>
      </c>
      <c r="D10" s="1496" t="s">
        <v>703</v>
      </c>
      <c r="E10" s="1497"/>
      <c r="F10" s="1498"/>
    </row>
    <row r="11" spans="2:14" s="4" customFormat="1" x14ac:dyDescent="0.3">
      <c r="B11" s="98">
        <v>2</v>
      </c>
      <c r="C11" s="47" t="s">
        <v>146</v>
      </c>
      <c r="D11" s="1499"/>
      <c r="E11" s="1500"/>
      <c r="F11" s="1501"/>
    </row>
    <row r="12" spans="2:14" s="4" customFormat="1" x14ac:dyDescent="0.3">
      <c r="B12" s="98">
        <v>3</v>
      </c>
      <c r="C12" s="47" t="s">
        <v>147</v>
      </c>
      <c r="D12" s="1499"/>
      <c r="E12" s="1500"/>
      <c r="F12" s="1501"/>
    </row>
    <row r="13" spans="2:14" x14ac:dyDescent="0.3">
      <c r="B13" s="98">
        <v>4</v>
      </c>
      <c r="C13" s="49" t="s">
        <v>148</v>
      </c>
      <c r="D13" s="1499"/>
      <c r="E13" s="1500"/>
      <c r="F13" s="1501"/>
    </row>
    <row r="14" spans="2:14" x14ac:dyDescent="0.3">
      <c r="B14" s="7"/>
      <c r="C14" s="2"/>
      <c r="D14" s="1499"/>
      <c r="E14" s="1500"/>
      <c r="F14" s="1501"/>
    </row>
    <row r="15" spans="2:14" ht="14.15" customHeight="1" x14ac:dyDescent="0.3">
      <c r="B15" s="100">
        <v>5</v>
      </c>
      <c r="C15" s="48" t="s">
        <v>149</v>
      </c>
      <c r="D15" s="1499"/>
      <c r="E15" s="1500"/>
      <c r="F15" s="1501"/>
    </row>
    <row r="16" spans="2:14" ht="17.25" customHeight="1" x14ac:dyDescent="0.3">
      <c r="B16" s="101">
        <v>6</v>
      </c>
      <c r="C16" s="47" t="s">
        <v>368</v>
      </c>
      <c r="D16" s="1499"/>
      <c r="E16" s="1500"/>
      <c r="F16" s="1501"/>
    </row>
    <row r="17" spans="2:14" x14ac:dyDescent="0.3">
      <c r="B17" s="98">
        <v>7</v>
      </c>
      <c r="C17" s="48" t="s">
        <v>84</v>
      </c>
      <c r="D17" s="1499"/>
      <c r="E17" s="1500"/>
      <c r="F17" s="1501"/>
    </row>
    <row r="18" spans="2:14" x14ac:dyDescent="0.3">
      <c r="B18" s="98"/>
      <c r="C18" s="48"/>
      <c r="D18" s="1499"/>
      <c r="E18" s="1500"/>
      <c r="F18" s="1501"/>
    </row>
    <row r="19" spans="2:14" x14ac:dyDescent="0.3">
      <c r="B19" s="113">
        <v>8</v>
      </c>
      <c r="C19" s="48" t="s">
        <v>459</v>
      </c>
      <c r="D19" s="1502"/>
      <c r="E19" s="1503"/>
      <c r="F19" s="1504"/>
    </row>
    <row r="20" spans="2:14" hidden="1" x14ac:dyDescent="0.3">
      <c r="B20" s="4" t="s">
        <v>158</v>
      </c>
      <c r="C20" s="29"/>
    </row>
    <row r="21" spans="2:14" hidden="1" x14ac:dyDescent="0.3">
      <c r="B21" s="1">
        <v>1</v>
      </c>
      <c r="C21" s="5" t="s">
        <v>653</v>
      </c>
    </row>
    <row r="22" spans="2:14" hidden="1" x14ac:dyDescent="0.3">
      <c r="B22" s="1">
        <v>2</v>
      </c>
      <c r="C22" s="5" t="s">
        <v>429</v>
      </c>
    </row>
    <row r="23" spans="2:14" hidden="1" x14ac:dyDescent="0.3">
      <c r="B23" s="1">
        <v>3</v>
      </c>
      <c r="C23" s="36" t="s">
        <v>157</v>
      </c>
    </row>
    <row r="24" spans="2:14" x14ac:dyDescent="0.3">
      <c r="C24" s="36"/>
    </row>
    <row r="25" spans="2:14" x14ac:dyDescent="0.3">
      <c r="B25" s="4" t="s">
        <v>880</v>
      </c>
    </row>
    <row r="26" spans="2:14" x14ac:dyDescent="0.3">
      <c r="B26" s="42"/>
      <c r="C26" s="13"/>
      <c r="D26" s="14"/>
      <c r="E26" s="14"/>
      <c r="F26" s="14"/>
      <c r="G26" s="14"/>
      <c r="H26" s="14"/>
    </row>
    <row r="27" spans="2:14" ht="15.75" customHeight="1" x14ac:dyDescent="0.3">
      <c r="B27" s="1475" t="s">
        <v>327</v>
      </c>
      <c r="C27" s="1477" t="s">
        <v>35</v>
      </c>
      <c r="D27" s="1408" t="s">
        <v>367</v>
      </c>
      <c r="E27" s="1413" t="s">
        <v>849</v>
      </c>
      <c r="F27" s="1414"/>
      <c r="G27" s="1413" t="s">
        <v>850</v>
      </c>
      <c r="H27" s="1414"/>
      <c r="I27" s="1413" t="s">
        <v>851</v>
      </c>
      <c r="J27" s="1414"/>
      <c r="K27" s="1413" t="s">
        <v>852</v>
      </c>
      <c r="L27" s="1414"/>
      <c r="M27" s="1413" t="s">
        <v>853</v>
      </c>
      <c r="N27" s="1414"/>
    </row>
    <row r="28" spans="2:14" s="4" customFormat="1" ht="35.15" customHeight="1" x14ac:dyDescent="0.3">
      <c r="B28" s="1476"/>
      <c r="C28" s="1478"/>
      <c r="D28" s="1437"/>
      <c r="E28" s="97" t="s">
        <v>735</v>
      </c>
      <c r="F28" s="97" t="s">
        <v>736</v>
      </c>
      <c r="G28" s="97" t="s">
        <v>735</v>
      </c>
      <c r="H28" s="97" t="s">
        <v>736</v>
      </c>
      <c r="I28" s="97" t="s">
        <v>735</v>
      </c>
      <c r="J28" s="97" t="s">
        <v>736</v>
      </c>
      <c r="K28" s="97" t="s">
        <v>735</v>
      </c>
      <c r="L28" s="97" t="s">
        <v>736</v>
      </c>
      <c r="M28" s="97" t="s">
        <v>735</v>
      </c>
      <c r="N28" s="97" t="s">
        <v>736</v>
      </c>
    </row>
    <row r="29" spans="2:14" s="4" customFormat="1" x14ac:dyDescent="0.3">
      <c r="B29" s="98">
        <v>1</v>
      </c>
      <c r="C29" s="47" t="s">
        <v>366</v>
      </c>
      <c r="D29" s="99"/>
      <c r="E29" s="1505" t="s">
        <v>703</v>
      </c>
      <c r="F29" s="1506"/>
      <c r="G29" s="1506"/>
      <c r="H29" s="1506"/>
      <c r="I29" s="1506"/>
      <c r="J29" s="1506"/>
      <c r="K29" s="1506"/>
      <c r="L29" s="1506"/>
      <c r="M29" s="1506"/>
      <c r="N29" s="1507"/>
    </row>
    <row r="30" spans="2:14" s="4" customFormat="1" x14ac:dyDescent="0.3">
      <c r="B30" s="98">
        <v>2</v>
      </c>
      <c r="C30" s="47" t="s">
        <v>146</v>
      </c>
      <c r="D30" s="99"/>
      <c r="E30" s="1508"/>
      <c r="F30" s="1509"/>
      <c r="G30" s="1509"/>
      <c r="H30" s="1509"/>
      <c r="I30" s="1509"/>
      <c r="J30" s="1509"/>
      <c r="K30" s="1509"/>
      <c r="L30" s="1509"/>
      <c r="M30" s="1509"/>
      <c r="N30" s="1510"/>
    </row>
    <row r="31" spans="2:14" x14ac:dyDescent="0.3">
      <c r="B31" s="98">
        <v>3</v>
      </c>
      <c r="C31" s="47" t="s">
        <v>654</v>
      </c>
      <c r="D31" s="99"/>
      <c r="E31" s="1508"/>
      <c r="F31" s="1509"/>
      <c r="G31" s="1509"/>
      <c r="H31" s="1509"/>
      <c r="I31" s="1509"/>
      <c r="J31" s="1509"/>
      <c r="K31" s="1509"/>
      <c r="L31" s="1509"/>
      <c r="M31" s="1509"/>
      <c r="N31" s="1510"/>
    </row>
    <row r="32" spans="2:14" x14ac:dyDescent="0.3">
      <c r="B32" s="98">
        <v>4</v>
      </c>
      <c r="C32" s="49" t="s">
        <v>148</v>
      </c>
      <c r="D32" s="99"/>
      <c r="E32" s="1508"/>
      <c r="F32" s="1509"/>
      <c r="G32" s="1509"/>
      <c r="H32" s="1509"/>
      <c r="I32" s="1509"/>
      <c r="J32" s="1509"/>
      <c r="K32" s="1509"/>
      <c r="L32" s="1509"/>
      <c r="M32" s="1509"/>
      <c r="N32" s="1510"/>
    </row>
    <row r="33" spans="2:14" ht="14.15" customHeight="1" x14ac:dyDescent="0.3">
      <c r="B33" s="7"/>
      <c r="C33" s="2"/>
      <c r="D33" s="99"/>
      <c r="E33" s="1508"/>
      <c r="F33" s="1509"/>
      <c r="G33" s="1509"/>
      <c r="H33" s="1509"/>
      <c r="I33" s="1509"/>
      <c r="J33" s="1509"/>
      <c r="K33" s="1509"/>
      <c r="L33" s="1509"/>
      <c r="M33" s="1509"/>
      <c r="N33" s="1510"/>
    </row>
    <row r="34" spans="2:14" x14ac:dyDescent="0.3">
      <c r="B34" s="100">
        <v>5</v>
      </c>
      <c r="C34" s="48" t="s">
        <v>149</v>
      </c>
      <c r="D34" s="99"/>
      <c r="E34" s="1508"/>
      <c r="F34" s="1509"/>
      <c r="G34" s="1509"/>
      <c r="H34" s="1509"/>
      <c r="I34" s="1509"/>
      <c r="J34" s="1509"/>
      <c r="K34" s="1509"/>
      <c r="L34" s="1509"/>
      <c r="M34" s="1509"/>
      <c r="N34" s="1510"/>
    </row>
    <row r="35" spans="2:14" x14ac:dyDescent="0.3">
      <c r="B35" s="107">
        <v>6</v>
      </c>
      <c r="C35" s="47" t="s">
        <v>368</v>
      </c>
      <c r="D35" s="99"/>
      <c r="E35" s="1508"/>
      <c r="F35" s="1509"/>
      <c r="G35" s="1509"/>
      <c r="H35" s="1509"/>
      <c r="I35" s="1509"/>
      <c r="J35" s="1509"/>
      <c r="K35" s="1509"/>
      <c r="L35" s="1509"/>
      <c r="M35" s="1509"/>
      <c r="N35" s="1510"/>
    </row>
    <row r="36" spans="2:14" x14ac:dyDescent="0.3">
      <c r="B36" s="98">
        <v>7</v>
      </c>
      <c r="C36" s="48" t="s">
        <v>84</v>
      </c>
      <c r="D36" s="2"/>
      <c r="E36" s="1511"/>
      <c r="F36" s="1512"/>
      <c r="G36" s="1512"/>
      <c r="H36" s="1512"/>
      <c r="I36" s="1512"/>
      <c r="J36" s="1512"/>
      <c r="K36" s="1512"/>
      <c r="L36" s="1512"/>
      <c r="M36" s="1512"/>
      <c r="N36" s="1513"/>
    </row>
    <row r="37" spans="2:14" x14ac:dyDescent="0.3">
      <c r="C37" s="29"/>
    </row>
    <row r="38" spans="2:14" x14ac:dyDescent="0.3">
      <c r="B38" s="43"/>
      <c r="C38" s="5"/>
      <c r="D38" s="37"/>
      <c r="E38" s="37"/>
      <c r="F38" s="37"/>
      <c r="I38" s="5"/>
    </row>
    <row r="39" spans="2:14" ht="18" customHeight="1" x14ac:dyDescent="0.3">
      <c r="B39" s="36"/>
      <c r="C39" s="34"/>
      <c r="D39" s="36"/>
      <c r="E39" s="36"/>
      <c r="F39" s="36"/>
      <c r="G39" s="36"/>
      <c r="H39" s="36"/>
      <c r="I39" s="5"/>
    </row>
    <row r="40" spans="2:14" ht="13.5" customHeight="1" x14ac:dyDescent="0.3">
      <c r="B40" s="36"/>
      <c r="C40" s="34"/>
      <c r="D40" s="36"/>
      <c r="E40" s="36"/>
      <c r="F40" s="36"/>
      <c r="G40" s="36"/>
      <c r="H40" s="36"/>
      <c r="I40" s="5"/>
    </row>
    <row r="41" spans="2:14" x14ac:dyDescent="0.3">
      <c r="B41" s="36"/>
      <c r="C41" s="36"/>
      <c r="D41" s="5"/>
      <c r="E41" s="5"/>
      <c r="F41" s="5"/>
      <c r="G41" s="5"/>
      <c r="H41" s="5"/>
      <c r="I41" s="5"/>
    </row>
    <row r="42" spans="2:14" x14ac:dyDescent="0.3">
      <c r="B42" s="5"/>
      <c r="C42" s="5"/>
      <c r="D42" s="5"/>
      <c r="E42" s="5"/>
      <c r="F42" s="5"/>
      <c r="G42" s="5"/>
      <c r="H42" s="5"/>
      <c r="I42" s="5"/>
    </row>
    <row r="43" spans="2:14" x14ac:dyDescent="0.3">
      <c r="B43" s="5"/>
      <c r="C43" s="5"/>
      <c r="D43" s="5"/>
      <c r="E43" s="5"/>
      <c r="F43" s="5"/>
      <c r="G43" s="5"/>
      <c r="H43" s="44"/>
      <c r="I43" s="5"/>
    </row>
    <row r="44" spans="2:14" x14ac:dyDescent="0.3">
      <c r="B44" s="5"/>
      <c r="C44" s="5"/>
      <c r="D44" s="5"/>
      <c r="E44" s="5"/>
      <c r="F44" s="5"/>
      <c r="G44" s="5"/>
      <c r="H44" s="5"/>
      <c r="I44" s="5"/>
    </row>
    <row r="45" spans="2:14" x14ac:dyDescent="0.3">
      <c r="B45" s="5"/>
      <c r="C45" s="5"/>
    </row>
  </sheetData>
  <mergeCells count="17">
    <mergeCell ref="D10:F19"/>
    <mergeCell ref="E29:N36"/>
    <mergeCell ref="K27:L27"/>
    <mergeCell ref="M27:N27"/>
    <mergeCell ref="B27:B28"/>
    <mergeCell ref="D27:D28"/>
    <mergeCell ref="C27:C28"/>
    <mergeCell ref="E27:F27"/>
    <mergeCell ref="G27:H27"/>
    <mergeCell ref="I27:J27"/>
    <mergeCell ref="B2:M2"/>
    <mergeCell ref="B3:M3"/>
    <mergeCell ref="B4:M4"/>
    <mergeCell ref="D8:D9"/>
    <mergeCell ref="E8:F8"/>
    <mergeCell ref="C8:C9"/>
    <mergeCell ref="B8:B9"/>
  </mergeCells>
  <pageMargins left="0.75" right="0.75" top="1" bottom="1" header="0.5" footer="0.5"/>
  <pageSetup paperSize="9" scale="8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2:P32"/>
  <sheetViews>
    <sheetView showGridLines="0" view="pageBreakPreview" zoomScale="54" zoomScaleNormal="80" zoomScaleSheetLayoutView="90" workbookViewId="0">
      <selection activeCell="E16" sqref="E16"/>
    </sheetView>
  </sheetViews>
  <sheetFormatPr defaultColWidth="9.453125" defaultRowHeight="14" x14ac:dyDescent="0.3"/>
  <cols>
    <col min="1" max="1" width="3.453125" style="1" customWidth="1"/>
    <col min="2" max="2" width="8.453125" style="1" customWidth="1"/>
    <col min="3" max="3" width="26.54296875" style="1" customWidth="1"/>
    <col min="4" max="4" width="46.81640625" style="1" bestFit="1" customWidth="1"/>
    <col min="5" max="5" width="29.1796875" style="1" bestFit="1" customWidth="1"/>
    <col min="6" max="6" width="25.453125" style="1" bestFit="1" customWidth="1"/>
    <col min="7" max="7" width="16.54296875" style="1" customWidth="1"/>
    <col min="8" max="8" width="15.54296875" style="1" customWidth="1"/>
    <col min="9" max="9" width="25.453125" style="1" bestFit="1" customWidth="1"/>
    <col min="10" max="10" width="15.54296875" style="1" customWidth="1"/>
    <col min="11" max="11" width="18" style="1" bestFit="1" customWidth="1"/>
    <col min="12" max="16" width="15.54296875" style="1" customWidth="1"/>
    <col min="17" max="16384" width="9.453125" style="1"/>
  </cols>
  <sheetData>
    <row r="2" spans="2:16" x14ac:dyDescent="0.3">
      <c r="B2" s="1406" t="str">
        <f>Index!B2</f>
        <v xml:space="preserve">      Maharashtra State Power Generation Company Ltd.</v>
      </c>
      <c r="C2" s="1488"/>
      <c r="D2" s="1488"/>
      <c r="E2" s="1488"/>
      <c r="F2" s="1488"/>
      <c r="G2" s="1488"/>
      <c r="H2" s="1488"/>
      <c r="I2" s="1488"/>
      <c r="J2" s="1488"/>
      <c r="K2" s="1488"/>
      <c r="L2" s="1488"/>
      <c r="M2" s="1488"/>
      <c r="N2" s="1488"/>
      <c r="O2" s="1488"/>
      <c r="P2" s="1488"/>
    </row>
    <row r="3" spans="2:16" x14ac:dyDescent="0.3">
      <c r="B3" s="1406" t="str">
        <f>Index!B3</f>
        <v>MYT Petition Formats for Bhusawal Unit 6</v>
      </c>
      <c r="C3" s="1488"/>
      <c r="D3" s="1488"/>
      <c r="E3" s="1488"/>
      <c r="F3" s="1488"/>
      <c r="G3" s="1488"/>
      <c r="H3" s="1488"/>
      <c r="I3" s="1488"/>
      <c r="J3" s="1488"/>
      <c r="K3" s="1488"/>
      <c r="L3" s="1488"/>
      <c r="M3" s="1488"/>
      <c r="N3" s="1488"/>
      <c r="O3" s="1488"/>
      <c r="P3" s="1488"/>
    </row>
    <row r="4" spans="2:16" x14ac:dyDescent="0.3">
      <c r="B4" s="1407" t="s">
        <v>374</v>
      </c>
      <c r="C4" s="1488"/>
      <c r="D4" s="1488"/>
      <c r="E4" s="1488"/>
      <c r="F4" s="1488"/>
      <c r="G4" s="1488"/>
      <c r="H4" s="1488"/>
      <c r="I4" s="1488"/>
      <c r="J4" s="1488"/>
      <c r="K4" s="1488"/>
      <c r="L4" s="1488"/>
      <c r="M4" s="1488"/>
      <c r="N4" s="1488"/>
      <c r="O4" s="1488"/>
      <c r="P4" s="1488"/>
    </row>
    <row r="5" spans="2:16" x14ac:dyDescent="0.3">
      <c r="C5" s="6"/>
      <c r="D5" s="6"/>
      <c r="E5" s="6"/>
      <c r="F5" s="6"/>
      <c r="G5" s="6"/>
    </row>
    <row r="6" spans="2:16" x14ac:dyDescent="0.3">
      <c r="B6" s="42"/>
      <c r="C6" s="13"/>
      <c r="D6" s="13"/>
      <c r="E6" s="13"/>
      <c r="F6" s="13"/>
      <c r="G6" s="13"/>
      <c r="H6" s="14"/>
      <c r="I6" s="14"/>
      <c r="J6" s="14"/>
    </row>
    <row r="7" spans="2:16" ht="28" x14ac:dyDescent="0.3">
      <c r="B7" s="1481" t="s">
        <v>6</v>
      </c>
      <c r="C7" s="1462" t="s">
        <v>35</v>
      </c>
      <c r="D7" s="97" t="s">
        <v>2861</v>
      </c>
      <c r="E7" s="97" t="s">
        <v>849</v>
      </c>
      <c r="F7" s="97" t="s">
        <v>850</v>
      </c>
      <c r="G7" s="97" t="s">
        <v>851</v>
      </c>
      <c r="H7" s="97" t="s">
        <v>852</v>
      </c>
      <c r="I7" s="97" t="s">
        <v>853</v>
      </c>
      <c r="J7" s="1408" t="s">
        <v>25</v>
      </c>
    </row>
    <row r="8" spans="2:16" s="29" customFormat="1" x14ac:dyDescent="0.25">
      <c r="B8" s="1481"/>
      <c r="C8" s="1462"/>
      <c r="D8" s="97" t="s">
        <v>7</v>
      </c>
      <c r="E8" s="97" t="s">
        <v>20</v>
      </c>
      <c r="F8" s="97" t="s">
        <v>20</v>
      </c>
      <c r="G8" s="97" t="s">
        <v>20</v>
      </c>
      <c r="H8" s="97" t="s">
        <v>20</v>
      </c>
      <c r="I8" s="97" t="s">
        <v>20</v>
      </c>
      <c r="J8" s="1409"/>
    </row>
    <row r="9" spans="2:16" s="29" customFormat="1" ht="24.75" customHeight="1" x14ac:dyDescent="0.25">
      <c r="B9" s="1068">
        <v>1</v>
      </c>
      <c r="C9" s="49" t="s">
        <v>2862</v>
      </c>
      <c r="D9" s="94"/>
      <c r="E9" s="94"/>
      <c r="F9" s="94"/>
      <c r="G9" s="94"/>
      <c r="H9" s="94"/>
      <c r="I9" s="94"/>
      <c r="J9" s="94"/>
    </row>
    <row r="10" spans="2:16" s="29" customFormat="1" ht="28.4" customHeight="1" x14ac:dyDescent="0.3">
      <c r="B10" s="1067" t="s">
        <v>159</v>
      </c>
      <c r="C10" s="3" t="s">
        <v>160</v>
      </c>
      <c r="D10" s="94"/>
      <c r="E10" s="94"/>
      <c r="F10" s="94"/>
      <c r="G10" s="94"/>
      <c r="H10" s="94"/>
      <c r="I10" s="94"/>
      <c r="J10" s="94"/>
    </row>
    <row r="11" spans="2:16" s="4" customFormat="1" x14ac:dyDescent="0.3">
      <c r="B11" s="98"/>
      <c r="C11" s="46" t="s">
        <v>161</v>
      </c>
      <c r="D11" s="94">
        <v>10</v>
      </c>
      <c r="E11" s="94">
        <v>10</v>
      </c>
      <c r="F11" s="94">
        <v>45</v>
      </c>
      <c r="G11" s="94">
        <v>30</v>
      </c>
      <c r="H11" s="94">
        <v>30</v>
      </c>
      <c r="I11" s="94">
        <v>40</v>
      </c>
      <c r="J11" s="94"/>
    </row>
    <row r="12" spans="2:16" s="4" customFormat="1" x14ac:dyDescent="0.3">
      <c r="B12" s="98"/>
      <c r="C12" s="46" t="s">
        <v>162</v>
      </c>
      <c r="D12" s="94" t="s">
        <v>2863</v>
      </c>
      <c r="E12" s="1069">
        <v>46054</v>
      </c>
      <c r="F12" s="94" t="s">
        <v>2864</v>
      </c>
      <c r="G12" s="1069">
        <v>46966</v>
      </c>
      <c r="H12" s="1069">
        <v>47331</v>
      </c>
      <c r="I12" s="94" t="s">
        <v>2865</v>
      </c>
      <c r="J12" s="94"/>
    </row>
    <row r="13" spans="2:16" s="4" customFormat="1" x14ac:dyDescent="0.3">
      <c r="B13" s="98"/>
      <c r="C13" s="46" t="s">
        <v>163</v>
      </c>
      <c r="D13" s="94" t="s">
        <v>2866</v>
      </c>
      <c r="E13" s="94" t="s">
        <v>2867</v>
      </c>
      <c r="F13" s="94" t="s">
        <v>2868</v>
      </c>
      <c r="G13" s="94" t="s">
        <v>2869</v>
      </c>
      <c r="H13" s="94" t="s">
        <v>2869</v>
      </c>
      <c r="I13" s="94" t="s">
        <v>2870</v>
      </c>
      <c r="J13" s="94"/>
    </row>
    <row r="14" spans="2:16" s="4" customFormat="1" x14ac:dyDescent="0.3">
      <c r="B14" s="98"/>
      <c r="C14" s="47"/>
      <c r="D14" s="94"/>
      <c r="E14" s="94"/>
      <c r="F14" s="94"/>
      <c r="G14" s="94"/>
      <c r="H14" s="94"/>
      <c r="I14" s="94"/>
      <c r="J14" s="94"/>
    </row>
    <row r="15" spans="2:16" s="4" customFormat="1" x14ac:dyDescent="0.3">
      <c r="B15" s="1067" t="s">
        <v>164</v>
      </c>
      <c r="C15" s="48" t="s">
        <v>165</v>
      </c>
      <c r="D15" s="94"/>
      <c r="E15" s="94"/>
      <c r="F15" s="94"/>
      <c r="G15" s="94"/>
      <c r="H15" s="94"/>
      <c r="I15" s="94"/>
      <c r="J15" s="94"/>
    </row>
    <row r="16" spans="2:16" s="4" customFormat="1" ht="14.15" customHeight="1" x14ac:dyDescent="0.3">
      <c r="B16" s="98"/>
      <c r="C16" s="46" t="s">
        <v>161</v>
      </c>
      <c r="D16" s="94">
        <v>3.7959999999999998</v>
      </c>
      <c r="E16" s="94">
        <v>45</v>
      </c>
      <c r="F16" s="94">
        <v>13</v>
      </c>
      <c r="G16" s="94">
        <v>25</v>
      </c>
      <c r="H16" s="94">
        <v>25</v>
      </c>
      <c r="I16" s="94">
        <v>15</v>
      </c>
      <c r="J16" s="1514" t="s">
        <v>2871</v>
      </c>
    </row>
    <row r="17" spans="2:10" s="4" customFormat="1" x14ac:dyDescent="0.3">
      <c r="B17" s="98"/>
      <c r="C17" s="46" t="s">
        <v>162</v>
      </c>
      <c r="D17" s="1517" t="s">
        <v>2872</v>
      </c>
      <c r="E17" s="94" t="s">
        <v>2873</v>
      </c>
      <c r="F17" s="94" t="s">
        <v>2873</v>
      </c>
      <c r="G17" s="94" t="s">
        <v>2873</v>
      </c>
      <c r="H17" s="94" t="s">
        <v>2873</v>
      </c>
      <c r="I17" s="94" t="s">
        <v>2873</v>
      </c>
      <c r="J17" s="1515"/>
    </row>
    <row r="18" spans="2:10" x14ac:dyDescent="0.3">
      <c r="B18" s="7"/>
      <c r="C18" s="46" t="s">
        <v>166</v>
      </c>
      <c r="D18" s="1518"/>
      <c r="E18" s="94"/>
      <c r="F18" s="94"/>
      <c r="G18" s="94"/>
      <c r="H18" s="94"/>
      <c r="I18" s="94"/>
      <c r="J18" s="1515"/>
    </row>
    <row r="19" spans="2:10" x14ac:dyDescent="0.3">
      <c r="B19" s="7"/>
      <c r="C19" s="48"/>
      <c r="D19" s="94"/>
      <c r="E19" s="94"/>
      <c r="F19" s="94"/>
      <c r="G19" s="94"/>
      <c r="H19" s="94"/>
      <c r="I19" s="94"/>
      <c r="J19" s="1516"/>
    </row>
    <row r="21" spans="2:10" ht="17.25" customHeight="1" x14ac:dyDescent="0.3"/>
    <row r="22" spans="2:10" ht="17.25" customHeight="1" x14ac:dyDescent="0.3"/>
    <row r="23" spans="2:10" ht="17.25" customHeight="1" x14ac:dyDescent="0.3"/>
    <row r="25" spans="2:10" x14ac:dyDescent="0.3">
      <c r="C25" s="29"/>
      <c r="D25" s="29"/>
      <c r="E25" s="29"/>
      <c r="F25" s="29"/>
      <c r="G25" s="29"/>
    </row>
    <row r="26" spans="2:10" x14ac:dyDescent="0.3">
      <c r="B26" s="43"/>
      <c r="C26" s="5"/>
      <c r="D26" s="5"/>
      <c r="E26" s="5"/>
    </row>
    <row r="27" spans="2:10" x14ac:dyDescent="0.3">
      <c r="H27" s="37"/>
    </row>
    <row r="28" spans="2:10" x14ac:dyDescent="0.3">
      <c r="B28" s="5"/>
    </row>
    <row r="29" spans="2:10" x14ac:dyDescent="0.3">
      <c r="B29" s="5"/>
      <c r="C29" s="5"/>
      <c r="D29" s="5"/>
      <c r="E29" s="5"/>
    </row>
    <row r="30" spans="2:10" x14ac:dyDescent="0.3">
      <c r="B30" s="5"/>
      <c r="C30" s="5"/>
      <c r="D30" s="5"/>
      <c r="E30" s="5"/>
    </row>
    <row r="31" spans="2:10" x14ac:dyDescent="0.3">
      <c r="B31" s="5"/>
      <c r="C31" s="5"/>
      <c r="D31" s="5"/>
      <c r="E31" s="5"/>
      <c r="J31" s="791"/>
    </row>
    <row r="32" spans="2:10" x14ac:dyDescent="0.3">
      <c r="B32" s="5"/>
      <c r="C32" s="5"/>
      <c r="D32" s="5"/>
      <c r="E32" s="5"/>
    </row>
  </sheetData>
  <mergeCells count="8">
    <mergeCell ref="B2:P2"/>
    <mergeCell ref="B3:P3"/>
    <mergeCell ref="B4:P4"/>
    <mergeCell ref="J16:J19"/>
    <mergeCell ref="D17:D18"/>
    <mergeCell ref="B7:B8"/>
    <mergeCell ref="C7:C8"/>
    <mergeCell ref="J7:J8"/>
  </mergeCells>
  <pageMargins left="0.75" right="0.75" top="1" bottom="1" header="0.5" footer="0.5"/>
  <pageSetup paperSize="9" scale="43" orientation="landscape"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AA30"/>
  <sheetViews>
    <sheetView showGridLines="0" view="pageBreakPreview" zoomScale="80" zoomScaleSheetLayoutView="70" workbookViewId="0">
      <pane xSplit="4" ySplit="9" topLeftCell="G12" activePane="bottomRight" state="frozen"/>
      <selection pane="topRight" activeCell="E1" sqref="E1"/>
      <selection pane="bottomLeft" activeCell="A10" sqref="A10"/>
      <selection pane="bottomRight" activeCell="I17" sqref="I17"/>
    </sheetView>
  </sheetViews>
  <sheetFormatPr defaultColWidth="9.453125" defaultRowHeight="14" x14ac:dyDescent="0.3"/>
  <cols>
    <col min="1" max="1" width="4.453125" style="1" customWidth="1"/>
    <col min="2" max="2" width="6.453125" style="1" customWidth="1"/>
    <col min="3" max="3" width="51.453125" style="1" customWidth="1"/>
    <col min="4" max="4" width="12.453125" style="1" customWidth="1"/>
    <col min="5" max="5" width="11.1796875" style="1" customWidth="1"/>
    <col min="6" max="6" width="14.453125" style="1" customWidth="1"/>
    <col min="7" max="8" width="17.54296875" style="1" customWidth="1"/>
    <col min="9" max="9" width="13.54296875" style="1" customWidth="1"/>
    <col min="10" max="10" width="14.453125" style="1" customWidth="1"/>
    <col min="11" max="11" width="17.54296875" style="1" customWidth="1"/>
    <col min="12" max="12" width="15.453125" style="1" customWidth="1"/>
    <col min="13" max="13" width="11.1796875" style="1" customWidth="1"/>
    <col min="14" max="23" width="15.54296875" style="1" customWidth="1"/>
    <col min="24" max="24" width="20.54296875" style="1" customWidth="1"/>
    <col min="25" max="16384" width="9.453125" style="1"/>
  </cols>
  <sheetData>
    <row r="1" spans="2:27" x14ac:dyDescent="0.3">
      <c r="B1" s="42"/>
    </row>
    <row r="2" spans="2:27" x14ac:dyDescent="0.3">
      <c r="B2" s="1407" t="str">
        <f>Index!B2</f>
        <v xml:space="preserve">      Maharashtra State Power Generation Company Ltd.</v>
      </c>
      <c r="C2" s="1407"/>
      <c r="D2" s="1407"/>
      <c r="E2" s="1407"/>
      <c r="F2" s="1407"/>
      <c r="G2" s="1407"/>
      <c r="H2" s="1407"/>
      <c r="I2" s="1407"/>
      <c r="J2" s="1407"/>
      <c r="K2" s="1407"/>
      <c r="L2" s="1407"/>
      <c r="M2" s="63"/>
      <c r="N2" s="1407" t="s">
        <v>705</v>
      </c>
      <c r="O2" s="1407"/>
      <c r="P2" s="1407"/>
      <c r="Q2" s="1407"/>
      <c r="R2" s="1407"/>
      <c r="S2" s="1407"/>
      <c r="T2" s="1407"/>
      <c r="U2" s="1407"/>
      <c r="V2" s="1407"/>
      <c r="W2" s="1407"/>
      <c r="X2" s="1407"/>
      <c r="Y2" s="51"/>
      <c r="Z2" s="51"/>
      <c r="AA2" s="51"/>
    </row>
    <row r="3" spans="2:27" x14ac:dyDescent="0.3">
      <c r="B3" s="1407" t="str">
        <f>Index!B3</f>
        <v>MYT Petition Formats for Bhusawal Unit 6</v>
      </c>
      <c r="C3" s="1407"/>
      <c r="D3" s="1407"/>
      <c r="E3" s="1407"/>
      <c r="F3" s="1407"/>
      <c r="G3" s="1407"/>
      <c r="H3" s="1407"/>
      <c r="I3" s="1407"/>
      <c r="J3" s="1407"/>
      <c r="K3" s="1407"/>
      <c r="L3" s="1407"/>
      <c r="M3" s="63"/>
      <c r="N3" s="1407" t="s">
        <v>706</v>
      </c>
      <c r="O3" s="1407"/>
      <c r="P3" s="1407"/>
      <c r="Q3" s="1407"/>
      <c r="R3" s="1407"/>
      <c r="S3" s="1407"/>
      <c r="T3" s="1407"/>
      <c r="U3" s="1407"/>
      <c r="V3" s="1407"/>
      <c r="W3" s="1407"/>
      <c r="X3" s="1407"/>
      <c r="Y3" s="51"/>
      <c r="Z3" s="51"/>
      <c r="AA3" s="51"/>
    </row>
    <row r="4" spans="2:27" x14ac:dyDescent="0.3">
      <c r="B4" s="1407" t="s">
        <v>601</v>
      </c>
      <c r="C4" s="1407"/>
      <c r="D4" s="1407"/>
      <c r="E4" s="1407"/>
      <c r="F4" s="1407"/>
      <c r="G4" s="1407"/>
      <c r="H4" s="1407"/>
      <c r="I4" s="1407"/>
      <c r="J4" s="1407"/>
      <c r="K4" s="1407"/>
      <c r="L4" s="1407"/>
      <c r="M4" s="63"/>
      <c r="N4" s="1407" t="s">
        <v>837</v>
      </c>
      <c r="O4" s="1407"/>
      <c r="P4" s="1407"/>
      <c r="Q4" s="1407"/>
      <c r="R4" s="1407"/>
      <c r="S4" s="1407"/>
      <c r="T4" s="1407"/>
      <c r="U4" s="1407"/>
      <c r="V4" s="1407"/>
      <c r="W4" s="1407"/>
      <c r="X4" s="1407"/>
      <c r="Y4" s="51"/>
      <c r="Z4" s="51"/>
      <c r="AA4" s="51"/>
    </row>
    <row r="5" spans="2:27" x14ac:dyDescent="0.3">
      <c r="C5" s="50"/>
      <c r="D5" s="50"/>
      <c r="E5" s="50"/>
      <c r="F5" s="50"/>
      <c r="G5" s="50"/>
      <c r="H5" s="50"/>
      <c r="I5" s="50"/>
      <c r="J5" s="50"/>
      <c r="K5" s="50"/>
      <c r="L5" s="50"/>
      <c r="M5" s="50"/>
      <c r="N5" s="50"/>
      <c r="O5" s="50"/>
      <c r="P5" s="50"/>
      <c r="Q5" s="50"/>
      <c r="R5" s="50"/>
      <c r="S5" s="50"/>
      <c r="T5" s="50"/>
      <c r="U5" s="50"/>
      <c r="V5" s="50"/>
      <c r="W5" s="50"/>
    </row>
    <row r="6" spans="2:27" x14ac:dyDescent="0.3">
      <c r="X6" s="16" t="s">
        <v>10</v>
      </c>
    </row>
    <row r="7" spans="2:27" ht="15" customHeight="1" x14ac:dyDescent="0.3">
      <c r="B7" s="1521" t="s">
        <v>327</v>
      </c>
      <c r="C7" s="1522" t="s">
        <v>35</v>
      </c>
      <c r="D7" s="1420" t="s">
        <v>5</v>
      </c>
      <c r="E7" s="1420" t="s">
        <v>477</v>
      </c>
      <c r="F7" s="1420"/>
      <c r="G7" s="1420"/>
      <c r="H7" s="1420"/>
      <c r="I7" s="1429" t="s">
        <v>848</v>
      </c>
      <c r="J7" s="1429"/>
      <c r="K7" s="1429"/>
      <c r="L7" s="1429"/>
      <c r="M7" s="1429"/>
      <c r="N7" s="1420" t="s">
        <v>25</v>
      </c>
    </row>
    <row r="8" spans="2:27" s="29" customFormat="1" ht="35.5" customHeight="1" x14ac:dyDescent="0.25">
      <c r="B8" s="1521"/>
      <c r="C8" s="1522"/>
      <c r="D8" s="1420"/>
      <c r="E8" s="97" t="s">
        <v>1215</v>
      </c>
      <c r="F8" s="97" t="s">
        <v>827</v>
      </c>
      <c r="G8" s="97" t="s">
        <v>77</v>
      </c>
      <c r="H8" s="97" t="s">
        <v>427</v>
      </c>
      <c r="I8" s="456" t="s">
        <v>849</v>
      </c>
      <c r="J8" s="456" t="s">
        <v>850</v>
      </c>
      <c r="K8" s="456" t="s">
        <v>851</v>
      </c>
      <c r="L8" s="456" t="s">
        <v>852</v>
      </c>
      <c r="M8" s="456" t="s">
        <v>853</v>
      </c>
      <c r="N8" s="1420"/>
    </row>
    <row r="9" spans="2:27" s="29" customFormat="1" ht="15.75" customHeight="1" x14ac:dyDescent="0.25">
      <c r="B9" s="1521"/>
      <c r="C9" s="1522"/>
      <c r="D9" s="1420"/>
      <c r="E9" s="97" t="s">
        <v>78</v>
      </c>
      <c r="F9" s="97" t="s">
        <v>79</v>
      </c>
      <c r="G9" s="97" t="s">
        <v>1198</v>
      </c>
      <c r="H9" s="97" t="s">
        <v>1199</v>
      </c>
      <c r="I9" s="97" t="s">
        <v>20</v>
      </c>
      <c r="J9" s="97" t="s">
        <v>20</v>
      </c>
      <c r="K9" s="97" t="s">
        <v>20</v>
      </c>
      <c r="L9" s="97" t="s">
        <v>20</v>
      </c>
      <c r="M9" s="97" t="s">
        <v>20</v>
      </c>
      <c r="N9" s="1421"/>
    </row>
    <row r="10" spans="2:27" s="67" customFormat="1" ht="18.649999999999999" customHeight="1" x14ac:dyDescent="0.3">
      <c r="B10" s="121">
        <v>1</v>
      </c>
      <c r="C10" s="116" t="s">
        <v>168</v>
      </c>
      <c r="D10" s="131" t="s">
        <v>64</v>
      </c>
      <c r="E10" s="131"/>
      <c r="F10" s="397">
        <f>SUM(F11:F13)</f>
        <v>11.866619178082189</v>
      </c>
      <c r="G10" s="397">
        <f>SUM(G11:G13)</f>
        <v>9.2326387231787947</v>
      </c>
      <c r="H10" s="397">
        <f>G10-F10</f>
        <v>-2.6339804549033943</v>
      </c>
      <c r="I10" s="683">
        <f>I11</f>
        <v>159.786</v>
      </c>
      <c r="J10" s="683">
        <f t="shared" ref="J10:M10" si="0">J11</f>
        <v>166.71600000000001</v>
      </c>
      <c r="K10" s="683">
        <f t="shared" si="0"/>
        <v>173.976</v>
      </c>
      <c r="L10" s="683">
        <f t="shared" si="0"/>
        <v>181.5</v>
      </c>
      <c r="M10" s="683">
        <f t="shared" si="0"/>
        <v>189.35400000000001</v>
      </c>
      <c r="N10" s="450"/>
    </row>
    <row r="11" spans="2:27" s="67" customFormat="1" ht="18.649999999999999" customHeight="1" x14ac:dyDescent="0.25">
      <c r="B11" s="121">
        <f>B10+1</f>
        <v>2</v>
      </c>
      <c r="C11" s="68" t="s">
        <v>169</v>
      </c>
      <c r="D11" s="131" t="s">
        <v>65</v>
      </c>
      <c r="E11" s="1271">
        <v>18.739999999999998</v>
      </c>
      <c r="F11" s="1455">
        <f>Assumptions!G5*Assumptions!G153/100/365*(7+31)</f>
        <v>11.866619178082189</v>
      </c>
      <c r="G11" s="525">
        <f>F3.2!D38</f>
        <v>4.9852333755</v>
      </c>
      <c r="H11" s="1520">
        <f>SUM(G11:G13)-F11</f>
        <v>-2.6339804549033943</v>
      </c>
      <c r="I11" s="1455">
        <f>F3.1!$K$10</f>
        <v>159.786</v>
      </c>
      <c r="J11" s="1455">
        <f>F3.1!$M$10</f>
        <v>166.71600000000001</v>
      </c>
      <c r="K11" s="1455">
        <f>F3.1!$O$10</f>
        <v>173.976</v>
      </c>
      <c r="L11" s="1455">
        <f>F3.1!$Q$10</f>
        <v>181.5</v>
      </c>
      <c r="M11" s="1455">
        <f>F3.1!$S$10</f>
        <v>189.35400000000001</v>
      </c>
      <c r="N11" s="1519"/>
    </row>
    <row r="12" spans="2:27" s="67" customFormat="1" ht="18.649999999999999" customHeight="1" x14ac:dyDescent="0.25">
      <c r="B12" s="121">
        <v>3</v>
      </c>
      <c r="C12" s="68" t="s">
        <v>171</v>
      </c>
      <c r="D12" s="131" t="s">
        <v>66</v>
      </c>
      <c r="E12" s="1271"/>
      <c r="F12" s="1456"/>
      <c r="G12" s="525">
        <f>F3.3!$D$41</f>
        <v>3.3304741727802738</v>
      </c>
      <c r="H12" s="1520"/>
      <c r="I12" s="1456"/>
      <c r="J12" s="1456"/>
      <c r="K12" s="1456"/>
      <c r="L12" s="1456"/>
      <c r="M12" s="1456"/>
      <c r="N12" s="1519"/>
    </row>
    <row r="13" spans="2:27" s="67" customFormat="1" ht="18.649999999999999" customHeight="1" x14ac:dyDescent="0.25">
      <c r="B13" s="121">
        <v>4</v>
      </c>
      <c r="C13" s="68" t="s">
        <v>170</v>
      </c>
      <c r="D13" s="131" t="s">
        <v>67</v>
      </c>
      <c r="E13" s="1271"/>
      <c r="F13" s="1457"/>
      <c r="G13" s="525">
        <f>F3.4!D21</f>
        <v>0.91693117489852105</v>
      </c>
      <c r="H13" s="1520"/>
      <c r="I13" s="1457"/>
      <c r="J13" s="1457"/>
      <c r="K13" s="1457"/>
      <c r="L13" s="1457"/>
      <c r="M13" s="1457"/>
      <c r="N13" s="1519"/>
    </row>
    <row r="14" spans="2:27" s="67" customFormat="1" ht="18.649999999999999" customHeight="1" x14ac:dyDescent="0.25">
      <c r="B14" s="121">
        <v>5</v>
      </c>
      <c r="C14" s="68" t="s">
        <v>704</v>
      </c>
      <c r="D14" s="131"/>
      <c r="E14" s="684"/>
      <c r="F14" s="397">
        <v>0.86727109304734651</v>
      </c>
      <c r="G14" s="525">
        <f>F14</f>
        <v>0.86727109304734651</v>
      </c>
      <c r="H14" s="397"/>
      <c r="I14" s="397">
        <f>F3.1!$K$13</f>
        <v>8.6932898676643902</v>
      </c>
      <c r="J14" s="397">
        <f>F3.1!$M$13</f>
        <v>9.072023839529372</v>
      </c>
      <c r="K14" s="397">
        <f>F3.1!$O$13</f>
        <v>9.4672578273409247</v>
      </c>
      <c r="L14" s="397">
        <f>F3.1!$Q$13</f>
        <v>9.879710674790033</v>
      </c>
      <c r="M14" s="397">
        <f>F3.1!$S$13</f>
        <v>10.310132542886027</v>
      </c>
      <c r="N14" s="1519"/>
    </row>
    <row r="15" spans="2:27" s="67" customFormat="1" ht="18.649999999999999" customHeight="1" x14ac:dyDescent="0.25">
      <c r="B15" s="121">
        <f>B14+1</f>
        <v>6</v>
      </c>
      <c r="C15" s="68" t="s">
        <v>172</v>
      </c>
      <c r="D15" s="131"/>
      <c r="E15" s="685"/>
      <c r="F15" s="685"/>
      <c r="G15" s="685">
        <f>F3.3!D45+F3.2!D37</f>
        <v>0</v>
      </c>
      <c r="H15" s="685">
        <f>G15-F15</f>
        <v>0</v>
      </c>
      <c r="I15" s="525"/>
      <c r="J15" s="525"/>
      <c r="K15" s="525"/>
      <c r="L15" s="525"/>
      <c r="M15" s="525"/>
      <c r="N15" s="68"/>
    </row>
    <row r="16" spans="2:27" s="67" customFormat="1" ht="18.649999999999999" customHeight="1" x14ac:dyDescent="0.25">
      <c r="B16" s="121">
        <v>7</v>
      </c>
      <c r="C16" s="68" t="s">
        <v>540</v>
      </c>
      <c r="D16" s="131"/>
      <c r="E16" s="685"/>
      <c r="F16" s="685"/>
      <c r="G16" s="685"/>
      <c r="H16" s="685">
        <f>G16-F16</f>
        <v>0</v>
      </c>
      <c r="I16" s="525"/>
      <c r="J16" s="525"/>
      <c r="K16" s="525"/>
      <c r="L16" s="525"/>
      <c r="M16" s="525"/>
      <c r="N16" s="68"/>
    </row>
    <row r="17" spans="2:14" s="51" customFormat="1" ht="33.65" customHeight="1" x14ac:dyDescent="0.25">
      <c r="B17" s="121">
        <v>8</v>
      </c>
      <c r="C17" s="132" t="s">
        <v>377</v>
      </c>
      <c r="D17" s="133"/>
      <c r="E17" s="686">
        <f>SUM(E11:E14)-E15+E16</f>
        <v>18.739999999999998</v>
      </c>
      <c r="F17" s="686">
        <f>SUM(F11:F14)-F15+F16</f>
        <v>12.733890271129535</v>
      </c>
      <c r="G17" s="686">
        <f>SUM(G11:G14)-G15+G16</f>
        <v>10.099909816226141</v>
      </c>
      <c r="H17" s="686">
        <f t="shared" ref="H17:M17" si="1">SUM(H11:H14)-H15+H16</f>
        <v>-2.6339804549033943</v>
      </c>
      <c r="I17" s="686">
        <f>SUM(I11:I14)-I15+I16</f>
        <v>168.47928986766439</v>
      </c>
      <c r="J17" s="686">
        <f t="shared" si="1"/>
        <v>175.78802383952939</v>
      </c>
      <c r="K17" s="686">
        <f t="shared" si="1"/>
        <v>183.44325782734091</v>
      </c>
      <c r="L17" s="686">
        <f t="shared" si="1"/>
        <v>191.37971067479003</v>
      </c>
      <c r="M17" s="686">
        <f t="shared" si="1"/>
        <v>199.66413254288605</v>
      </c>
      <c r="N17" s="134"/>
    </row>
    <row r="18" spans="2:14" ht="15.75" customHeight="1" x14ac:dyDescent="0.3">
      <c r="G18" s="412"/>
      <c r="H18" s="406"/>
      <c r="I18" s="406"/>
      <c r="K18" s="412"/>
    </row>
    <row r="19" spans="2:14" x14ac:dyDescent="0.3">
      <c r="B19" s="687"/>
      <c r="C19" s="687" t="s">
        <v>35</v>
      </c>
      <c r="D19" s="687" t="s">
        <v>1196</v>
      </c>
      <c r="E19" s="688" t="str">
        <f>I8</f>
        <v>FY 2025-26</v>
      </c>
      <c r="F19" s="688" t="str">
        <f>J8</f>
        <v>FY 2026-27</v>
      </c>
      <c r="G19" s="688" t="str">
        <f>K8</f>
        <v>FY 2027-28</v>
      </c>
      <c r="H19" s="688" t="str">
        <f>L8</f>
        <v>FY 2028-29</v>
      </c>
      <c r="I19" s="688" t="str">
        <f>M8</f>
        <v>FY 2029-30</v>
      </c>
      <c r="K19" s="406"/>
    </row>
    <row r="20" spans="2:14" x14ac:dyDescent="0.3">
      <c r="B20" s="7"/>
      <c r="C20" s="689" t="s">
        <v>1156</v>
      </c>
      <c r="D20" s="2"/>
      <c r="E20" s="2"/>
      <c r="F20" s="2"/>
      <c r="G20" s="2"/>
      <c r="H20" s="2"/>
      <c r="I20" s="2"/>
    </row>
    <row r="21" spans="2:14" x14ac:dyDescent="0.3">
      <c r="B21" s="2"/>
      <c r="C21" s="2" t="s">
        <v>1157</v>
      </c>
      <c r="D21" s="2"/>
      <c r="E21" s="1306"/>
      <c r="F21" s="1306"/>
      <c r="G21" s="1306"/>
      <c r="H21" s="1306"/>
      <c r="I21" s="1306"/>
    </row>
    <row r="22" spans="2:14" x14ac:dyDescent="0.3">
      <c r="B22" s="2"/>
      <c r="C22" s="2" t="s">
        <v>1158</v>
      </c>
      <c r="D22" s="2"/>
      <c r="E22" s="1306">
        <f>Assumptions!H185</f>
        <v>0</v>
      </c>
      <c r="F22" s="1306">
        <f>Assumptions!I185</f>
        <v>46.072000000000003</v>
      </c>
      <c r="G22" s="1306">
        <f>Assumptions!J185</f>
        <v>0</v>
      </c>
      <c r="H22" s="1306">
        <f>Assumptions!K185</f>
        <v>0</v>
      </c>
      <c r="I22" s="1306">
        <f>Assumptions!L185</f>
        <v>0</v>
      </c>
    </row>
    <row r="23" spans="2:14" x14ac:dyDescent="0.3">
      <c r="B23" s="3"/>
      <c r="C23" s="3" t="s">
        <v>3069</v>
      </c>
      <c r="D23" s="3"/>
      <c r="E23" s="487">
        <f>SUM(E21:E22)</f>
        <v>0</v>
      </c>
      <c r="F23" s="487">
        <f>E23+SUM(F21:F22)</f>
        <v>46.072000000000003</v>
      </c>
      <c r="G23" s="487">
        <f>F23+SUM(G21:G22)</f>
        <v>46.072000000000003</v>
      </c>
      <c r="H23" s="487">
        <f>G23+SUM(H21:H22)</f>
        <v>46.072000000000003</v>
      </c>
      <c r="I23" s="487">
        <f>H23+SUM(I21:I22)</f>
        <v>46.072000000000003</v>
      </c>
    </row>
    <row r="24" spans="2:14" x14ac:dyDescent="0.3">
      <c r="B24" s="690">
        <v>0.02</v>
      </c>
      <c r="C24" s="3" t="s">
        <v>1156</v>
      </c>
      <c r="D24" s="680">
        <f>Assumptions!G170</f>
        <v>4.3299999999999998E-2</v>
      </c>
      <c r="E24" s="487">
        <f>E23*$B$24*0</f>
        <v>0</v>
      </c>
      <c r="F24" s="487">
        <f>F23*$B$24/2*(1+$D$24)^1</f>
        <v>0.48066917599999998</v>
      </c>
      <c r="G24" s="487">
        <f>G23*$B$24*(1+$D$24)^2</f>
        <v>1.0029643026416</v>
      </c>
      <c r="H24" s="487">
        <f>H23*$B$24*(1+$D$24)^3</f>
        <v>1.0463926569459809</v>
      </c>
      <c r="I24" s="487">
        <f>I23*$B$24*(1+$D$24)^4</f>
        <v>1.0917014589917422</v>
      </c>
    </row>
    <row r="27" spans="2:14" ht="15" customHeight="1" x14ac:dyDescent="0.3"/>
    <row r="30" spans="2:14" s="4" customFormat="1" x14ac:dyDescent="0.3">
      <c r="B30" s="1"/>
      <c r="C30" s="1"/>
      <c r="D30" s="1"/>
      <c r="E30" s="1"/>
      <c r="F30" s="1"/>
      <c r="G30" s="1"/>
      <c r="H30" s="1"/>
      <c r="I30" s="1"/>
      <c r="J30" s="1"/>
      <c r="K30" s="1"/>
      <c r="L30" s="1"/>
      <c r="M30" s="1"/>
      <c r="N30" s="1"/>
    </row>
  </sheetData>
  <mergeCells count="20">
    <mergeCell ref="H11:H13"/>
    <mergeCell ref="B2:L2"/>
    <mergeCell ref="B3:L3"/>
    <mergeCell ref="B4:L4"/>
    <mergeCell ref="B7:B9"/>
    <mergeCell ref="E7:H7"/>
    <mergeCell ref="D7:D9"/>
    <mergeCell ref="C7:C9"/>
    <mergeCell ref="I7:M7"/>
    <mergeCell ref="I11:I13"/>
    <mergeCell ref="J11:J13"/>
    <mergeCell ref="K11:K13"/>
    <mergeCell ref="L11:L13"/>
    <mergeCell ref="M11:M13"/>
    <mergeCell ref="F11:F13"/>
    <mergeCell ref="N2:X2"/>
    <mergeCell ref="N3:X3"/>
    <mergeCell ref="N4:X4"/>
    <mergeCell ref="N7:N9"/>
    <mergeCell ref="N11:N14"/>
  </mergeCells>
  <pageMargins left="1.02" right="0.25" top="1" bottom="1" header="0.25" footer="0.25"/>
  <pageSetup paperSize="9" scale="35" orientation="landscape" r:id="rId1"/>
  <headerFooter alignWithMargins="0">
    <oddHeader>&amp;F</oddHead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AC67"/>
  <sheetViews>
    <sheetView showGridLines="0" view="pageBreakPreview" zoomScale="56" zoomScaleNormal="80" zoomScaleSheetLayoutView="43" workbookViewId="0">
      <pane xSplit="3" ySplit="9" topLeftCell="D10" activePane="bottomRight" state="frozen"/>
      <selection pane="topRight" activeCell="D1" sqref="D1"/>
      <selection pane="bottomLeft" activeCell="A10" sqref="A10"/>
      <selection pane="bottomRight" activeCell="F27" sqref="F27"/>
    </sheetView>
  </sheetViews>
  <sheetFormatPr defaultColWidth="9.453125" defaultRowHeight="14" x14ac:dyDescent="0.3"/>
  <cols>
    <col min="1" max="1" width="9.453125" style="1"/>
    <col min="2" max="2" width="7.453125" style="1" customWidth="1"/>
    <col min="3" max="3" width="27.1796875" style="1" customWidth="1"/>
    <col min="4" max="4" width="13.1796875" style="1" customWidth="1"/>
    <col min="5" max="6" width="15" style="1" customWidth="1"/>
    <col min="7" max="7" width="16.54296875" style="1" bestFit="1" customWidth="1"/>
    <col min="8" max="8" width="12.453125" style="1" customWidth="1"/>
    <col min="9" max="9" width="20.54296875" style="1" customWidth="1"/>
    <col min="10" max="17" width="15" style="1" customWidth="1"/>
    <col min="18" max="18" width="17.453125" style="1" customWidth="1"/>
    <col min="19" max="26" width="15" style="1" customWidth="1"/>
    <col min="27" max="27" width="11.81640625" style="1" customWidth="1"/>
    <col min="28" max="16384" width="9.453125" style="1"/>
  </cols>
  <sheetData>
    <row r="1" spans="2:29" x14ac:dyDescent="0.3">
      <c r="B1" s="1406" t="str">
        <f>Index!B2</f>
        <v xml:space="preserve">      Maharashtra State Power Generation Company Ltd.</v>
      </c>
      <c r="C1" s="1406"/>
      <c r="D1" s="1406"/>
      <c r="E1" s="1406"/>
      <c r="F1" s="1406"/>
      <c r="G1" s="1406"/>
      <c r="H1" s="1406"/>
      <c r="I1" s="1406"/>
      <c r="J1" s="1406"/>
      <c r="K1" s="1406"/>
      <c r="L1" s="1406"/>
      <c r="M1" s="1406"/>
      <c r="N1" s="1406"/>
      <c r="O1" s="1406"/>
      <c r="P1" s="1406"/>
      <c r="Q1" s="1406"/>
      <c r="R1" s="1406"/>
      <c r="S1" s="62"/>
      <c r="T1" s="62"/>
      <c r="U1" s="17"/>
      <c r="V1" s="62"/>
    </row>
    <row r="2" spans="2:29" x14ac:dyDescent="0.3">
      <c r="B2" s="1406" t="str">
        <f>Index!B3</f>
        <v>MYT Petition Formats for Bhusawal Unit 6</v>
      </c>
      <c r="C2" s="1406"/>
      <c r="D2" s="1406"/>
      <c r="E2" s="1406"/>
      <c r="F2" s="1406"/>
      <c r="G2" s="1406"/>
      <c r="H2" s="1406"/>
      <c r="I2" s="1406"/>
      <c r="J2" s="1406"/>
      <c r="K2" s="1406"/>
      <c r="L2" s="1406"/>
      <c r="M2" s="1406"/>
      <c r="N2" s="1406"/>
      <c r="O2" s="1406"/>
      <c r="P2" s="1406"/>
      <c r="Q2" s="1406"/>
      <c r="R2" s="1406"/>
      <c r="S2" s="63"/>
      <c r="T2" s="63"/>
      <c r="U2" s="51"/>
      <c r="V2" s="63"/>
    </row>
    <row r="3" spans="2:29" x14ac:dyDescent="0.3">
      <c r="B3" s="1407" t="s">
        <v>605</v>
      </c>
      <c r="C3" s="1407"/>
      <c r="D3" s="1407"/>
      <c r="E3" s="1407"/>
      <c r="F3" s="1407"/>
      <c r="G3" s="1407"/>
      <c r="H3" s="1407"/>
      <c r="I3" s="1407"/>
      <c r="J3" s="1407"/>
      <c r="K3" s="1407"/>
      <c r="L3" s="1407"/>
      <c r="M3" s="1407"/>
      <c r="N3" s="1407"/>
      <c r="O3" s="1407"/>
      <c r="P3" s="1407"/>
      <c r="Q3" s="1407"/>
      <c r="R3" s="1407"/>
      <c r="S3" s="63"/>
      <c r="T3" s="63"/>
      <c r="U3" s="51"/>
      <c r="V3" s="63"/>
    </row>
    <row r="4" spans="2:29" x14ac:dyDescent="0.3">
      <c r="B4" s="63"/>
      <c r="C4" s="63"/>
      <c r="D4" s="63"/>
      <c r="E4" s="63"/>
      <c r="F4" s="63"/>
      <c r="G4" s="63"/>
      <c r="H4" s="63"/>
      <c r="I4" s="63"/>
      <c r="J4" s="63"/>
      <c r="K4" s="63"/>
      <c r="L4" s="63"/>
      <c r="M4" s="63"/>
      <c r="N4" s="63"/>
      <c r="O4" s="63"/>
      <c r="P4" s="63"/>
      <c r="Q4" s="63"/>
      <c r="R4" s="63"/>
      <c r="S4" s="63"/>
      <c r="T4" s="63"/>
      <c r="U4" s="63"/>
      <c r="V4" s="63"/>
    </row>
    <row r="5" spans="2:29" x14ac:dyDescent="0.3">
      <c r="B5" s="1538" t="s">
        <v>173</v>
      </c>
      <c r="C5" s="1538"/>
      <c r="D5" s="1538"/>
      <c r="E5" s="1538"/>
      <c r="F5" s="1538"/>
      <c r="G5" s="1538"/>
      <c r="H5" s="1538"/>
      <c r="I5" s="1538"/>
      <c r="J5" s="1538"/>
      <c r="K5" s="1538"/>
      <c r="L5" s="1538"/>
      <c r="M5" s="1538"/>
      <c r="N5" s="1538"/>
      <c r="O5" s="1538"/>
      <c r="P5" s="1538"/>
      <c r="Q5" s="1538"/>
      <c r="R5" s="1538"/>
      <c r="S5" s="1538"/>
      <c r="T5" s="1538"/>
      <c r="U5" s="1538"/>
      <c r="V5" s="42"/>
    </row>
    <row r="6" spans="2:29" x14ac:dyDescent="0.3">
      <c r="U6" s="16" t="s">
        <v>10</v>
      </c>
      <c r="V6" s="16"/>
    </row>
    <row r="7" spans="2:29" s="67" customFormat="1" ht="18" customHeight="1" x14ac:dyDescent="0.25">
      <c r="B7" s="1521" t="s">
        <v>327</v>
      </c>
      <c r="C7" s="1521" t="s">
        <v>35</v>
      </c>
      <c r="D7" s="1528" t="s">
        <v>1159</v>
      </c>
      <c r="E7" s="1529"/>
      <c r="F7" s="1529"/>
      <c r="G7" s="1529"/>
      <c r="H7" s="1530"/>
      <c r="I7" s="1521" t="s">
        <v>1160</v>
      </c>
      <c r="J7" s="667" t="s">
        <v>1161</v>
      </c>
      <c r="K7" s="1522" t="s">
        <v>848</v>
      </c>
      <c r="L7" s="1522"/>
      <c r="M7" s="1522"/>
      <c r="N7" s="1522"/>
      <c r="O7" s="1522"/>
      <c r="P7" s="1522"/>
      <c r="Q7" s="1522"/>
      <c r="R7" s="1522"/>
      <c r="S7" s="1522"/>
      <c r="T7" s="1522"/>
      <c r="U7" s="1539" t="s">
        <v>25</v>
      </c>
      <c r="X7" s="51"/>
      <c r="Y7" s="51"/>
      <c r="Z7" s="1500"/>
    </row>
    <row r="8" spans="2:29" s="67" customFormat="1" ht="42" customHeight="1" x14ac:dyDescent="0.25">
      <c r="B8" s="1521"/>
      <c r="C8" s="1521"/>
      <c r="D8" s="667" t="s">
        <v>314</v>
      </c>
      <c r="E8" s="667" t="s">
        <v>473</v>
      </c>
      <c r="F8" s="667" t="s">
        <v>474</v>
      </c>
      <c r="G8" s="667" t="s">
        <v>475</v>
      </c>
      <c r="H8" s="667" t="s">
        <v>476</v>
      </c>
      <c r="I8" s="1521"/>
      <c r="J8" s="667" t="s">
        <v>477</v>
      </c>
      <c r="K8" s="1532" t="s">
        <v>849</v>
      </c>
      <c r="L8" s="1533"/>
      <c r="M8" s="1532" t="s">
        <v>850</v>
      </c>
      <c r="N8" s="1533"/>
      <c r="O8" s="1532" t="s">
        <v>851</v>
      </c>
      <c r="P8" s="1533"/>
      <c r="Q8" s="1532" t="s">
        <v>852</v>
      </c>
      <c r="R8" s="1533"/>
      <c r="S8" s="1532" t="s">
        <v>853</v>
      </c>
      <c r="T8" s="1533"/>
      <c r="U8" s="1540"/>
      <c r="X8" s="1407"/>
      <c r="Y8" s="1407"/>
      <c r="Z8" s="1500"/>
    </row>
    <row r="9" spans="2:29" s="67" customFormat="1" ht="16" customHeight="1" x14ac:dyDescent="0.25">
      <c r="B9" s="1521"/>
      <c r="C9" s="1521"/>
      <c r="D9" s="202" t="s">
        <v>78</v>
      </c>
      <c r="E9" s="202" t="s">
        <v>79</v>
      </c>
      <c r="F9" s="202" t="s">
        <v>1162</v>
      </c>
      <c r="G9" s="202" t="s">
        <v>378</v>
      </c>
      <c r="H9" s="202" t="s">
        <v>1163</v>
      </c>
      <c r="I9" s="202" t="s">
        <v>1164</v>
      </c>
      <c r="J9" s="691" t="s">
        <v>395</v>
      </c>
      <c r="K9" s="667" t="s">
        <v>860</v>
      </c>
      <c r="L9" s="202" t="s">
        <v>20</v>
      </c>
      <c r="M9" s="667" t="s">
        <v>860</v>
      </c>
      <c r="N9" s="202" t="s">
        <v>20</v>
      </c>
      <c r="O9" s="667" t="s">
        <v>860</v>
      </c>
      <c r="P9" s="202" t="s">
        <v>20</v>
      </c>
      <c r="Q9" s="667" t="s">
        <v>860</v>
      </c>
      <c r="R9" s="202" t="s">
        <v>20</v>
      </c>
      <c r="S9" s="667" t="s">
        <v>860</v>
      </c>
      <c r="T9" s="202" t="s">
        <v>20</v>
      </c>
      <c r="U9" s="1541"/>
      <c r="V9" s="340" t="s">
        <v>398</v>
      </c>
      <c r="W9" s="341" t="s">
        <v>890</v>
      </c>
      <c r="X9" s="63"/>
      <c r="Y9" s="8"/>
      <c r="Z9" s="1500"/>
      <c r="AA9" s="340"/>
      <c r="AB9" s="341"/>
      <c r="AC9" s="342"/>
    </row>
    <row r="10" spans="2:29" x14ac:dyDescent="0.3">
      <c r="B10" s="121">
        <v>1</v>
      </c>
      <c r="C10" s="68" t="s">
        <v>174</v>
      </c>
      <c r="D10" s="1542"/>
      <c r="E10" s="1525"/>
      <c r="F10" s="1525"/>
      <c r="G10" s="1525"/>
      <c r="H10" s="1534"/>
      <c r="I10" s="1525"/>
      <c r="J10" s="1537"/>
      <c r="K10" s="1524">
        <f>E54</f>
        <v>159.786</v>
      </c>
      <c r="L10" s="1524">
        <f>K10</f>
        <v>159.786</v>
      </c>
      <c r="M10" s="1524">
        <f>F54</f>
        <v>166.71600000000001</v>
      </c>
      <c r="N10" s="1524">
        <f>M10</f>
        <v>166.71600000000001</v>
      </c>
      <c r="O10" s="1524">
        <f>G54</f>
        <v>173.976</v>
      </c>
      <c r="P10" s="1524">
        <f>O10</f>
        <v>173.976</v>
      </c>
      <c r="Q10" s="1524">
        <f>H54</f>
        <v>181.5</v>
      </c>
      <c r="R10" s="1524">
        <f>Q10</f>
        <v>181.5</v>
      </c>
      <c r="S10" s="1524">
        <f>I54</f>
        <v>189.35400000000001</v>
      </c>
      <c r="T10" s="1524">
        <f>S10</f>
        <v>189.35400000000001</v>
      </c>
      <c r="U10" s="2"/>
      <c r="V10" s="39"/>
      <c r="W10" s="489"/>
      <c r="Y10" s="463"/>
      <c r="AA10" s="39"/>
      <c r="AB10" s="392"/>
      <c r="AC10" s="392"/>
    </row>
    <row r="11" spans="2:29" s="29" customFormat="1" ht="48" customHeight="1" x14ac:dyDescent="0.3">
      <c r="B11" s="121">
        <f>B10+1</f>
        <v>2</v>
      </c>
      <c r="C11" s="386" t="s">
        <v>380</v>
      </c>
      <c r="D11" s="1543"/>
      <c r="E11" s="1526"/>
      <c r="F11" s="1526"/>
      <c r="G11" s="1526"/>
      <c r="H11" s="1535"/>
      <c r="I11" s="1526"/>
      <c r="J11" s="1537"/>
      <c r="K11" s="1524"/>
      <c r="L11" s="1524"/>
      <c r="M11" s="1524"/>
      <c r="N11" s="1524"/>
      <c r="O11" s="1524"/>
      <c r="P11" s="1524"/>
      <c r="Q11" s="1524"/>
      <c r="R11" s="1524"/>
      <c r="S11" s="1524"/>
      <c r="T11" s="1524"/>
      <c r="U11" s="2"/>
      <c r="V11" s="39"/>
      <c r="W11" s="491"/>
      <c r="X11" s="1"/>
      <c r="Y11" s="463"/>
      <c r="Z11" s="1"/>
      <c r="AA11" s="39"/>
      <c r="AB11" s="701"/>
      <c r="AC11" s="392"/>
    </row>
    <row r="12" spans="2:29" x14ac:dyDescent="0.3">
      <c r="B12" s="121">
        <f t="shared" ref="B12:B16" si="0">B11+1</f>
        <v>3</v>
      </c>
      <c r="C12" s="68" t="s">
        <v>436</v>
      </c>
      <c r="D12" s="1543"/>
      <c r="E12" s="1526"/>
      <c r="F12" s="1526"/>
      <c r="G12" s="1526"/>
      <c r="H12" s="1535"/>
      <c r="I12" s="1526"/>
      <c r="J12" s="1537"/>
      <c r="K12" s="1524"/>
      <c r="L12" s="1524"/>
      <c r="M12" s="1524"/>
      <c r="N12" s="1524"/>
      <c r="O12" s="1524"/>
      <c r="P12" s="1524"/>
      <c r="Q12" s="1524"/>
      <c r="R12" s="1524"/>
      <c r="S12" s="1524"/>
      <c r="T12" s="1524"/>
      <c r="U12" s="2"/>
      <c r="V12" s="39"/>
      <c r="W12" s="490"/>
      <c r="Y12" s="463"/>
      <c r="AA12" s="39"/>
      <c r="AB12" s="393"/>
      <c r="AC12" s="392"/>
    </row>
    <row r="13" spans="2:29" x14ac:dyDescent="0.3">
      <c r="B13" s="121">
        <f t="shared" si="0"/>
        <v>4</v>
      </c>
      <c r="C13" s="386" t="s">
        <v>889</v>
      </c>
      <c r="D13" s="1544"/>
      <c r="E13" s="1527"/>
      <c r="F13" s="1527"/>
      <c r="G13" s="1527"/>
      <c r="H13" s="1536"/>
      <c r="I13" s="1527"/>
      <c r="J13" s="692"/>
      <c r="K13" s="339">
        <v>8.6932898676643902</v>
      </c>
      <c r="L13" s="339">
        <f>K13</f>
        <v>8.6932898676643902</v>
      </c>
      <c r="M13" s="339">
        <f>K13*(1+W$14)</f>
        <v>9.072023839529372</v>
      </c>
      <c r="N13" s="339">
        <f>M13</f>
        <v>9.072023839529372</v>
      </c>
      <c r="O13" s="339">
        <f>M13*(1+W$15)</f>
        <v>9.4672578273409247</v>
      </c>
      <c r="P13" s="339">
        <f>O13</f>
        <v>9.4672578273409247</v>
      </c>
      <c r="Q13" s="339">
        <f>O13*(1+W$16)</f>
        <v>9.879710674790033</v>
      </c>
      <c r="R13" s="339">
        <f>Q13</f>
        <v>9.879710674790033</v>
      </c>
      <c r="S13" s="693">
        <f>Q13*(1+W$17)</f>
        <v>10.310132542886027</v>
      </c>
      <c r="T13" s="339">
        <f>S13</f>
        <v>10.310132542886027</v>
      </c>
      <c r="U13" s="2"/>
      <c r="V13" s="39" t="s">
        <v>849</v>
      </c>
      <c r="W13" s="393">
        <v>4.3566242197182824E-2</v>
      </c>
      <c r="Y13" s="463"/>
      <c r="AA13" s="39"/>
      <c r="AB13" s="393"/>
      <c r="AC13" s="392"/>
    </row>
    <row r="14" spans="2:29" s="4" customFormat="1" x14ac:dyDescent="0.3">
      <c r="B14" s="121">
        <f t="shared" si="0"/>
        <v>5</v>
      </c>
      <c r="C14" s="134" t="s">
        <v>175</v>
      </c>
      <c r="D14" s="694"/>
      <c r="E14" s="694"/>
      <c r="F14" s="694"/>
      <c r="G14" s="694"/>
      <c r="H14" s="694"/>
      <c r="I14" s="694"/>
      <c r="J14" s="694"/>
      <c r="K14" s="694">
        <f t="shared" ref="K14:T14" si="1">SUM(K10:K13)</f>
        <v>168.47928986766439</v>
      </c>
      <c r="L14" s="694">
        <f t="shared" si="1"/>
        <v>168.47928986766439</v>
      </c>
      <c r="M14" s="694">
        <f t="shared" si="1"/>
        <v>175.78802383952939</v>
      </c>
      <c r="N14" s="694">
        <f>SUM(N10:N13)</f>
        <v>175.78802383952939</v>
      </c>
      <c r="O14" s="694">
        <f t="shared" si="1"/>
        <v>183.44325782734091</v>
      </c>
      <c r="P14" s="694">
        <f t="shared" si="1"/>
        <v>183.44325782734091</v>
      </c>
      <c r="Q14" s="694">
        <f t="shared" si="1"/>
        <v>191.37971067479003</v>
      </c>
      <c r="R14" s="694">
        <f t="shared" si="1"/>
        <v>191.37971067479003</v>
      </c>
      <c r="S14" s="694">
        <f t="shared" si="1"/>
        <v>199.66413254288605</v>
      </c>
      <c r="T14" s="694">
        <f t="shared" si="1"/>
        <v>199.66413254288605</v>
      </c>
      <c r="U14" s="3"/>
      <c r="V14" s="39" t="s">
        <v>850</v>
      </c>
      <c r="W14" s="695">
        <f>W13</f>
        <v>4.3566242197182824E-2</v>
      </c>
      <c r="X14" s="696"/>
      <c r="Y14" s="696"/>
    </row>
    <row r="15" spans="2:29" x14ac:dyDescent="0.3">
      <c r="B15" s="121">
        <f t="shared" si="0"/>
        <v>6</v>
      </c>
      <c r="C15" s="68" t="s">
        <v>325</v>
      </c>
      <c r="D15" s="525"/>
      <c r="E15" s="525"/>
      <c r="F15" s="525"/>
      <c r="G15" s="525"/>
      <c r="H15" s="525"/>
      <c r="I15" s="697"/>
      <c r="J15" s="68"/>
      <c r="K15" s="525"/>
      <c r="L15" s="525"/>
      <c r="M15" s="525"/>
      <c r="N15" s="525"/>
      <c r="O15" s="525"/>
      <c r="P15" s="525"/>
      <c r="Q15" s="525"/>
      <c r="R15" s="525"/>
      <c r="S15" s="525"/>
      <c r="T15" s="525"/>
      <c r="U15" s="2"/>
      <c r="V15" s="39" t="s">
        <v>851</v>
      </c>
      <c r="W15" s="695">
        <f t="shared" ref="W15:W17" si="2">W14</f>
        <v>4.3566242197182824E-2</v>
      </c>
      <c r="X15" s="698"/>
      <c r="Y15" s="698"/>
    </row>
    <row r="16" spans="2:29" ht="28" x14ac:dyDescent="0.3">
      <c r="B16" s="121">
        <f t="shared" si="0"/>
        <v>7</v>
      </c>
      <c r="C16" s="386" t="s">
        <v>326</v>
      </c>
      <c r="D16" s="699"/>
      <c r="E16" s="699"/>
      <c r="F16" s="699"/>
      <c r="G16" s="699"/>
      <c r="H16" s="699"/>
      <c r="I16" s="700"/>
      <c r="J16" s="699"/>
      <c r="K16" s="699">
        <f t="shared" ref="K16:T16" si="3">SUM(K14:K15)</f>
        <v>168.47928986766439</v>
      </c>
      <c r="L16" s="699">
        <f t="shared" si="3"/>
        <v>168.47928986766439</v>
      </c>
      <c r="M16" s="699">
        <f t="shared" si="3"/>
        <v>175.78802383952939</v>
      </c>
      <c r="N16" s="699">
        <f t="shared" si="3"/>
        <v>175.78802383952939</v>
      </c>
      <c r="O16" s="699">
        <f t="shared" si="3"/>
        <v>183.44325782734091</v>
      </c>
      <c r="P16" s="699">
        <f t="shared" si="3"/>
        <v>183.44325782734091</v>
      </c>
      <c r="Q16" s="699">
        <f t="shared" si="3"/>
        <v>191.37971067479003</v>
      </c>
      <c r="R16" s="699">
        <f t="shared" si="3"/>
        <v>191.37971067479003</v>
      </c>
      <c r="S16" s="699">
        <f t="shared" si="3"/>
        <v>199.66413254288605</v>
      </c>
      <c r="T16" s="699">
        <f t="shared" si="3"/>
        <v>199.66413254288605</v>
      </c>
      <c r="V16" s="39" t="s">
        <v>852</v>
      </c>
      <c r="W16" s="695">
        <f t="shared" si="2"/>
        <v>4.3566242197182824E-2</v>
      </c>
      <c r="X16" s="696"/>
      <c r="Y16" s="696"/>
    </row>
    <row r="17" spans="2:23" x14ac:dyDescent="0.3">
      <c r="V17" s="39" t="s">
        <v>853</v>
      </c>
      <c r="W17" s="695">
        <f t="shared" si="2"/>
        <v>4.3566242197182824E-2</v>
      </c>
    </row>
    <row r="18" spans="2:23" x14ac:dyDescent="0.3">
      <c r="B18" s="4"/>
    </row>
    <row r="23" spans="2:23" x14ac:dyDescent="0.3">
      <c r="J23" s="16" t="s">
        <v>10</v>
      </c>
      <c r="K23" s="16"/>
      <c r="L23" s="16"/>
      <c r="M23" s="16"/>
      <c r="O23" s="16"/>
      <c r="P23" s="16"/>
    </row>
    <row r="24" spans="2:23" ht="18" customHeight="1" x14ac:dyDescent="0.3">
      <c r="B24" s="1521" t="s">
        <v>327</v>
      </c>
      <c r="C24" s="1521" t="s">
        <v>35</v>
      </c>
      <c r="D24" s="702"/>
      <c r="E24" s="702"/>
      <c r="F24" s="1528" t="s">
        <v>1165</v>
      </c>
      <c r="G24" s="1529"/>
      <c r="H24" s="1529"/>
      <c r="I24" s="1529"/>
      <c r="J24" s="1530"/>
      <c r="K24" s="202" t="s">
        <v>25</v>
      </c>
      <c r="L24" s="703"/>
      <c r="M24" s="703"/>
      <c r="N24" s="703"/>
      <c r="O24" s="703"/>
      <c r="P24" s="45"/>
    </row>
    <row r="25" spans="2:23" ht="15" x14ac:dyDescent="0.3">
      <c r="B25" s="1521"/>
      <c r="C25" s="1545"/>
      <c r="D25" s="1545" t="s">
        <v>477</v>
      </c>
      <c r="E25" s="1545"/>
      <c r="F25" s="668" t="s">
        <v>849</v>
      </c>
      <c r="G25" s="456" t="s">
        <v>850</v>
      </c>
      <c r="H25" s="456" t="s">
        <v>851</v>
      </c>
      <c r="I25" s="456" t="s">
        <v>852</v>
      </c>
      <c r="J25" s="456" t="s">
        <v>853</v>
      </c>
      <c r="K25" s="202"/>
      <c r="L25" s="704"/>
      <c r="M25" s="704"/>
      <c r="N25" s="704"/>
      <c r="O25" s="704"/>
      <c r="P25" s="45"/>
    </row>
    <row r="26" spans="2:23" ht="28" x14ac:dyDescent="0.3">
      <c r="B26" s="1521"/>
      <c r="C26" s="1545"/>
      <c r="D26" s="666" t="s">
        <v>1216</v>
      </c>
      <c r="E26" s="666" t="s">
        <v>7</v>
      </c>
      <c r="F26" s="97" t="s">
        <v>20</v>
      </c>
      <c r="G26" s="97" t="s">
        <v>20</v>
      </c>
      <c r="H26" s="97" t="s">
        <v>20</v>
      </c>
      <c r="I26" s="97" t="s">
        <v>20</v>
      </c>
      <c r="J26" s="97" t="s">
        <v>20</v>
      </c>
      <c r="K26" s="202"/>
      <c r="L26" s="8"/>
      <c r="M26" s="8"/>
      <c r="N26" s="8"/>
      <c r="O26" s="8"/>
      <c r="P26" s="45"/>
    </row>
    <row r="27" spans="2:23" x14ac:dyDescent="0.3">
      <c r="B27" s="95">
        <v>1</v>
      </c>
      <c r="C27" s="2" t="s">
        <v>534</v>
      </c>
      <c r="D27" s="1306">
        <v>0</v>
      </c>
      <c r="E27" s="1214">
        <f>'Water charges working'!$B$23</f>
        <v>0.39331454999999993</v>
      </c>
      <c r="F27" s="1214">
        <f>'Water charges working'!C23</f>
        <v>45.509639999999997</v>
      </c>
      <c r="G27" s="1214">
        <f>'Water charges working'!D23</f>
        <v>50.060603999999998</v>
      </c>
      <c r="H27" s="1214">
        <f>'Water charges working'!E23</f>
        <v>63.297825016799997</v>
      </c>
      <c r="I27" s="1214">
        <f>'Water charges working'!F23</f>
        <v>137.43509359755603</v>
      </c>
      <c r="J27" s="1214">
        <f>'Water charges working'!G23</f>
        <v>228.22287371582999</v>
      </c>
      <c r="K27" s="2"/>
      <c r="L27" s="705"/>
      <c r="M27" s="706"/>
      <c r="N27" s="705"/>
      <c r="O27" s="706"/>
    </row>
    <row r="28" spans="2:23" x14ac:dyDescent="0.3">
      <c r="S28" s="406"/>
      <c r="T28" s="406"/>
    </row>
    <row r="29" spans="2:23" x14ac:dyDescent="0.3">
      <c r="B29" s="1" t="s">
        <v>655</v>
      </c>
    </row>
    <row r="31" spans="2:23" x14ac:dyDescent="0.3">
      <c r="B31" s="1538" t="s">
        <v>437</v>
      </c>
      <c r="C31" s="1538"/>
      <c r="D31" s="1538"/>
      <c r="E31" s="1538"/>
      <c r="F31" s="1538"/>
      <c r="G31" s="1538"/>
      <c r="H31" s="1538"/>
      <c r="I31" s="1538"/>
      <c r="J31" s="1538"/>
      <c r="K31" s="42"/>
      <c r="L31" s="42"/>
      <c r="M31" s="42"/>
      <c r="N31" s="42"/>
      <c r="O31" s="42"/>
      <c r="P31" s="42"/>
      <c r="Q31" s="54"/>
    </row>
    <row r="33" spans="2:25" ht="15" customHeight="1" x14ac:dyDescent="0.3">
      <c r="B33" s="1521" t="s">
        <v>327</v>
      </c>
      <c r="C33" s="1521" t="s">
        <v>35</v>
      </c>
      <c r="D33" s="1521" t="s">
        <v>176</v>
      </c>
      <c r="E33" s="1429" t="s">
        <v>848</v>
      </c>
      <c r="F33" s="1429"/>
      <c r="G33" s="1429"/>
      <c r="H33" s="1429"/>
      <c r="I33" s="1429"/>
      <c r="J33" s="1546" t="s">
        <v>25</v>
      </c>
      <c r="K33" s="45"/>
      <c r="L33" s="45"/>
      <c r="M33" s="45"/>
      <c r="N33" s="45"/>
      <c r="O33" s="45"/>
      <c r="P33" s="45"/>
      <c r="Q33" s="45"/>
      <c r="R33" s="1531"/>
      <c r="S33" s="1531"/>
      <c r="T33" s="1531"/>
      <c r="U33" s="1531"/>
      <c r="V33" s="1531"/>
      <c r="W33" s="1500"/>
      <c r="X33" s="45"/>
      <c r="Y33" s="45"/>
    </row>
    <row r="34" spans="2:25" ht="15" x14ac:dyDescent="0.3">
      <c r="B34" s="1521"/>
      <c r="C34" s="1545"/>
      <c r="D34" s="1545"/>
      <c r="E34" s="456" t="s">
        <v>849</v>
      </c>
      <c r="F34" s="456" t="s">
        <v>850</v>
      </c>
      <c r="G34" s="456" t="s">
        <v>851</v>
      </c>
      <c r="H34" s="456" t="s">
        <v>852</v>
      </c>
      <c r="I34" s="456" t="s">
        <v>853</v>
      </c>
      <c r="J34" s="1546"/>
      <c r="K34" s="8"/>
      <c r="L34" s="8"/>
      <c r="M34" s="8"/>
      <c r="N34" s="8"/>
      <c r="O34" s="8"/>
      <c r="P34" s="8"/>
      <c r="Q34" s="8"/>
      <c r="R34" s="704"/>
      <c r="S34" s="704"/>
      <c r="T34" s="704"/>
      <c r="U34" s="704"/>
      <c r="V34" s="704"/>
      <c r="W34" s="1500"/>
      <c r="X34" s="8"/>
      <c r="Y34" s="8"/>
    </row>
    <row r="35" spans="2:25" x14ac:dyDescent="0.3">
      <c r="B35" s="1521"/>
      <c r="C35" s="1545"/>
      <c r="D35" s="1545"/>
      <c r="E35" s="97" t="s">
        <v>20</v>
      </c>
      <c r="F35" s="97" t="s">
        <v>20</v>
      </c>
      <c r="G35" s="97" t="s">
        <v>20</v>
      </c>
      <c r="H35" s="97" t="s">
        <v>20</v>
      </c>
      <c r="I35" s="97" t="s">
        <v>20</v>
      </c>
      <c r="J35" s="1547"/>
      <c r="K35" s="8"/>
      <c r="L35" s="8"/>
      <c r="M35" s="8"/>
      <c r="N35" s="8"/>
      <c r="O35" s="8"/>
      <c r="P35" s="8"/>
      <c r="Q35" s="8"/>
      <c r="R35" s="8"/>
      <c r="S35" s="8"/>
      <c r="T35" s="8"/>
      <c r="U35" s="8"/>
      <c r="V35" s="8"/>
      <c r="W35" s="1523"/>
      <c r="X35" s="8"/>
      <c r="Y35" s="8"/>
    </row>
    <row r="36" spans="2:25" x14ac:dyDescent="0.3">
      <c r="B36" s="94" t="s">
        <v>167</v>
      </c>
      <c r="C36" s="3" t="s">
        <v>177</v>
      </c>
      <c r="D36" s="2"/>
      <c r="E36" s="2"/>
      <c r="F36" s="2"/>
      <c r="G36" s="2"/>
      <c r="H36" s="2"/>
      <c r="I36" s="185"/>
      <c r="J36" s="707"/>
    </row>
    <row r="37" spans="2:25" x14ac:dyDescent="0.3">
      <c r="B37" s="95">
        <v>1</v>
      </c>
      <c r="C37" s="2" t="s">
        <v>178</v>
      </c>
      <c r="D37" s="2" t="s">
        <v>440</v>
      </c>
      <c r="E37" s="558"/>
      <c r="F37" s="2"/>
      <c r="G37" s="2"/>
      <c r="H37" s="2"/>
      <c r="I37" s="524"/>
      <c r="J37" s="707"/>
      <c r="K37" s="706"/>
      <c r="L37" s="706"/>
      <c r="M37" s="706"/>
      <c r="N37" s="706"/>
      <c r="O37" s="706"/>
      <c r="P37" s="706"/>
      <c r="Q37" s="706"/>
      <c r="V37" s="706"/>
      <c r="X37" s="706"/>
      <c r="Y37" s="706"/>
    </row>
    <row r="38" spans="2:25" x14ac:dyDescent="0.3">
      <c r="B38" s="95">
        <v>2</v>
      </c>
      <c r="C38" s="2" t="s">
        <v>315</v>
      </c>
      <c r="D38" s="2" t="s">
        <v>440</v>
      </c>
      <c r="E38" s="558"/>
      <c r="F38" s="2"/>
      <c r="G38" s="2"/>
      <c r="H38" s="2"/>
      <c r="I38" s="524"/>
      <c r="J38" s="707"/>
      <c r="K38" s="706"/>
      <c r="L38" s="706"/>
      <c r="M38" s="706"/>
      <c r="N38" s="706"/>
      <c r="O38" s="706"/>
      <c r="P38" s="706"/>
      <c r="Q38" s="706"/>
      <c r="V38" s="706"/>
      <c r="X38" s="706"/>
      <c r="Y38" s="706"/>
    </row>
    <row r="39" spans="2:25" x14ac:dyDescent="0.3">
      <c r="B39" s="95">
        <v>3</v>
      </c>
      <c r="C39" s="2" t="s">
        <v>179</v>
      </c>
      <c r="D39" s="2" t="s">
        <v>440</v>
      </c>
      <c r="E39" s="558"/>
      <c r="F39" s="2"/>
      <c r="G39" s="2"/>
      <c r="H39" s="2"/>
      <c r="I39" s="524"/>
      <c r="J39" s="707"/>
      <c r="K39" s="706"/>
      <c r="L39" s="706"/>
      <c r="M39" s="706"/>
      <c r="N39" s="706"/>
      <c r="O39" s="706"/>
      <c r="P39" s="706"/>
      <c r="Q39" s="706"/>
      <c r="V39" s="706"/>
      <c r="X39" s="706"/>
      <c r="Y39" s="706"/>
    </row>
    <row r="40" spans="2:25" x14ac:dyDescent="0.3">
      <c r="B40" s="95">
        <v>4</v>
      </c>
      <c r="C40" s="2" t="s">
        <v>541</v>
      </c>
      <c r="D40" s="2" t="s">
        <v>440</v>
      </c>
      <c r="E40" s="893">
        <f>Assumptions!G154</f>
        <v>24.21</v>
      </c>
      <c r="F40" s="893">
        <f>Assumptions!G155</f>
        <v>25.26</v>
      </c>
      <c r="G40" s="893">
        <f>Assumptions!G156</f>
        <v>26.36</v>
      </c>
      <c r="H40" s="894">
        <f>Assumptions!G157</f>
        <v>27.5</v>
      </c>
      <c r="I40" s="895">
        <f>Assumptions!G158</f>
        <v>28.69</v>
      </c>
      <c r="J40" s="707"/>
      <c r="K40" s="706"/>
      <c r="L40" s="706"/>
      <c r="M40" s="706"/>
      <c r="N40" s="706"/>
      <c r="O40" s="706"/>
      <c r="P40" s="706"/>
      <c r="Q40" s="706"/>
      <c r="V40" s="706"/>
      <c r="X40" s="706"/>
      <c r="Y40" s="706"/>
    </row>
    <row r="41" spans="2:25" x14ac:dyDescent="0.3">
      <c r="B41" s="95">
        <v>5</v>
      </c>
      <c r="C41" s="2" t="s">
        <v>542</v>
      </c>
      <c r="D41" s="2" t="s">
        <v>440</v>
      </c>
      <c r="E41" s="2"/>
      <c r="F41" s="2"/>
      <c r="G41" s="2"/>
      <c r="H41" s="2"/>
      <c r="I41" s="524"/>
      <c r="J41" s="707"/>
      <c r="K41" s="706"/>
      <c r="L41" s="706"/>
      <c r="M41" s="706"/>
      <c r="N41" s="706"/>
      <c r="O41" s="706"/>
      <c r="P41" s="706"/>
      <c r="Q41" s="706"/>
      <c r="V41" s="706"/>
      <c r="X41" s="706"/>
      <c r="Y41" s="706"/>
    </row>
    <row r="42" spans="2:25" x14ac:dyDescent="0.3">
      <c r="B42" s="95"/>
      <c r="C42" s="2"/>
      <c r="D42" s="2"/>
      <c r="E42" s="2"/>
      <c r="F42" s="2"/>
      <c r="G42" s="2"/>
      <c r="H42" s="2"/>
      <c r="I42" s="708"/>
      <c r="J42" s="707"/>
      <c r="K42" s="706"/>
      <c r="L42" s="706"/>
      <c r="M42" s="706"/>
      <c r="N42" s="706"/>
      <c r="O42" s="706"/>
      <c r="P42" s="706"/>
      <c r="Q42" s="706"/>
      <c r="V42" s="706"/>
      <c r="X42" s="706"/>
      <c r="Y42" s="706"/>
    </row>
    <row r="43" spans="2:25" x14ac:dyDescent="0.3">
      <c r="B43" s="94" t="s">
        <v>180</v>
      </c>
      <c r="C43" s="3" t="s">
        <v>438</v>
      </c>
      <c r="D43" s="2"/>
      <c r="E43" s="2"/>
      <c r="F43" s="2"/>
      <c r="G43" s="2"/>
      <c r="H43" s="2"/>
      <c r="I43" s="708"/>
      <c r="J43" s="707"/>
      <c r="K43" s="706"/>
      <c r="L43" s="706"/>
      <c r="M43" s="706"/>
      <c r="N43" s="706"/>
      <c r="O43" s="706"/>
      <c r="P43" s="706"/>
      <c r="Q43" s="706"/>
      <c r="V43" s="706"/>
      <c r="X43" s="706"/>
      <c r="Y43" s="706"/>
    </row>
    <row r="44" spans="2:25" x14ac:dyDescent="0.3">
      <c r="B44" s="95">
        <v>1</v>
      </c>
      <c r="C44" s="2" t="s">
        <v>178</v>
      </c>
      <c r="D44" s="2" t="s">
        <v>94</v>
      </c>
      <c r="E44" s="2"/>
      <c r="F44" s="2"/>
      <c r="G44" s="2"/>
      <c r="H44" s="2"/>
      <c r="I44" s="708"/>
      <c r="J44" s="707"/>
      <c r="K44" s="706"/>
      <c r="L44" s="706"/>
      <c r="M44" s="706"/>
      <c r="N44" s="706"/>
      <c r="O44" s="706"/>
      <c r="P44" s="706"/>
      <c r="Q44" s="706"/>
      <c r="V44" s="706"/>
      <c r="X44" s="706"/>
      <c r="Y44" s="706"/>
    </row>
    <row r="45" spans="2:25" x14ac:dyDescent="0.3">
      <c r="B45" s="95">
        <v>2</v>
      </c>
      <c r="C45" s="2" t="s">
        <v>315</v>
      </c>
      <c r="D45" s="2" t="s">
        <v>94</v>
      </c>
      <c r="E45" s="2"/>
      <c r="F45" s="2"/>
      <c r="G45" s="2"/>
      <c r="H45" s="2"/>
      <c r="I45" s="708"/>
      <c r="J45" s="707"/>
      <c r="K45" s="706"/>
      <c r="L45" s="706"/>
      <c r="M45" s="706"/>
      <c r="N45" s="706"/>
      <c r="O45" s="706"/>
      <c r="P45" s="706"/>
      <c r="Q45" s="706"/>
      <c r="V45" s="706"/>
      <c r="X45" s="706"/>
      <c r="Y45" s="706"/>
    </row>
    <row r="46" spans="2:25" x14ac:dyDescent="0.3">
      <c r="B46" s="95">
        <v>3</v>
      </c>
      <c r="C46" s="2" t="s">
        <v>179</v>
      </c>
      <c r="D46" s="2" t="s">
        <v>94</v>
      </c>
      <c r="E46" s="2"/>
      <c r="F46" s="2"/>
      <c r="G46" s="2"/>
      <c r="H46" s="2"/>
      <c r="I46" s="708"/>
      <c r="J46" s="707"/>
      <c r="K46" s="706"/>
      <c r="L46" s="706"/>
      <c r="M46" s="706"/>
      <c r="N46" s="706"/>
      <c r="O46" s="706"/>
      <c r="P46" s="706"/>
      <c r="Q46" s="706"/>
      <c r="V46" s="706"/>
      <c r="X46" s="706"/>
      <c r="Y46" s="706"/>
    </row>
    <row r="47" spans="2:25" x14ac:dyDescent="0.3">
      <c r="B47" s="95">
        <v>4</v>
      </c>
      <c r="C47" s="2" t="s">
        <v>543</v>
      </c>
      <c r="D47" s="2" t="s">
        <v>94</v>
      </c>
      <c r="E47" s="896">
        <f>Assumptions!$G$7*Assumptions!$G$6</f>
        <v>660</v>
      </c>
      <c r="F47" s="896">
        <f>Assumptions!$G$7*Assumptions!$G$6</f>
        <v>660</v>
      </c>
      <c r="G47" s="896">
        <f>Assumptions!$G$7*Assumptions!$G$6</f>
        <v>660</v>
      </c>
      <c r="H47" s="896">
        <f>Assumptions!$G$7*Assumptions!$G$6</f>
        <v>660</v>
      </c>
      <c r="I47" s="896">
        <f>Assumptions!$G$7*Assumptions!$G$6</f>
        <v>660</v>
      </c>
      <c r="J47" s="707"/>
      <c r="K47" s="706"/>
      <c r="L47" s="706"/>
      <c r="M47" s="706"/>
      <c r="N47" s="706"/>
      <c r="O47" s="706"/>
      <c r="P47" s="706"/>
      <c r="Q47" s="706"/>
      <c r="V47" s="706"/>
      <c r="X47" s="706"/>
      <c r="Y47" s="706"/>
    </row>
    <row r="48" spans="2:25" x14ac:dyDescent="0.3">
      <c r="B48" s="95">
        <v>5</v>
      </c>
      <c r="C48" s="2" t="s">
        <v>542</v>
      </c>
      <c r="D48" s="2" t="s">
        <v>94</v>
      </c>
      <c r="E48" s="2"/>
      <c r="F48" s="2"/>
      <c r="G48" s="2"/>
      <c r="H48" s="2"/>
      <c r="I48" s="708"/>
      <c r="J48" s="707"/>
      <c r="K48" s="706"/>
      <c r="L48" s="706"/>
      <c r="M48" s="706"/>
      <c r="N48" s="706"/>
      <c r="O48" s="706"/>
      <c r="P48" s="706"/>
      <c r="Q48" s="706"/>
      <c r="V48" s="706"/>
      <c r="X48" s="706"/>
      <c r="Y48" s="706"/>
    </row>
    <row r="49" spans="2:25" x14ac:dyDescent="0.3">
      <c r="B49" s="95"/>
      <c r="C49" s="2"/>
      <c r="D49" s="2"/>
      <c r="E49" s="2"/>
      <c r="F49" s="2"/>
      <c r="G49" s="2"/>
      <c r="H49" s="2"/>
      <c r="I49" s="708"/>
      <c r="J49" s="707"/>
      <c r="K49" s="706"/>
      <c r="L49" s="706"/>
      <c r="M49" s="706"/>
      <c r="N49" s="706"/>
      <c r="O49" s="706"/>
      <c r="P49" s="706"/>
      <c r="Q49" s="706"/>
      <c r="V49" s="706"/>
      <c r="X49" s="706"/>
      <c r="Y49" s="706"/>
    </row>
    <row r="50" spans="2:25" x14ac:dyDescent="0.3">
      <c r="B50" s="94" t="s">
        <v>181</v>
      </c>
      <c r="C50" s="3" t="s">
        <v>439</v>
      </c>
      <c r="D50" s="2"/>
      <c r="E50" s="2"/>
      <c r="F50" s="2"/>
      <c r="G50" s="2"/>
      <c r="H50" s="2"/>
      <c r="I50" s="708"/>
      <c r="J50" s="707"/>
      <c r="K50" s="706"/>
      <c r="L50" s="706"/>
      <c r="M50" s="706"/>
      <c r="N50" s="706"/>
      <c r="O50" s="706"/>
      <c r="P50" s="706"/>
      <c r="Q50" s="706"/>
      <c r="V50" s="706"/>
      <c r="X50" s="706"/>
      <c r="Y50" s="706"/>
    </row>
    <row r="51" spans="2:25" x14ac:dyDescent="0.3">
      <c r="B51" s="95">
        <v>1</v>
      </c>
      <c r="C51" s="2" t="s">
        <v>178</v>
      </c>
      <c r="D51" s="2" t="s">
        <v>423</v>
      </c>
      <c r="E51" s="558">
        <f>E37*E44/100</f>
        <v>0</v>
      </c>
      <c r="F51" s="558">
        <f>F37*F44/100</f>
        <v>0</v>
      </c>
      <c r="G51" s="558">
        <f>G37*G44/100</f>
        <v>0</v>
      </c>
      <c r="H51" s="558">
        <f>H37*H44/100</f>
        <v>0</v>
      </c>
      <c r="I51" s="558">
        <f>I37*I44/100</f>
        <v>0</v>
      </c>
      <c r="J51" s="707"/>
      <c r="K51" s="706"/>
      <c r="L51" s="706"/>
      <c r="M51" s="706"/>
      <c r="N51" s="706"/>
      <c r="O51" s="706"/>
      <c r="P51" s="706"/>
      <c r="Q51" s="706"/>
      <c r="V51" s="706"/>
      <c r="X51" s="706"/>
      <c r="Y51" s="706"/>
    </row>
    <row r="52" spans="2:25" x14ac:dyDescent="0.3">
      <c r="B52" s="95">
        <v>2</v>
      </c>
      <c r="C52" s="2" t="s">
        <v>315</v>
      </c>
      <c r="D52" s="2" t="s">
        <v>423</v>
      </c>
      <c r="E52" s="558">
        <f t="shared" ref="E52:I55" si="4">E38*E45/100</f>
        <v>0</v>
      </c>
      <c r="F52" s="558">
        <f t="shared" si="4"/>
        <v>0</v>
      </c>
      <c r="G52" s="558">
        <f t="shared" si="4"/>
        <v>0</v>
      </c>
      <c r="H52" s="558">
        <f t="shared" si="4"/>
        <v>0</v>
      </c>
      <c r="I52" s="558">
        <f t="shared" si="4"/>
        <v>0</v>
      </c>
      <c r="J52" s="707"/>
      <c r="K52" s="706"/>
      <c r="L52" s="706"/>
      <c r="M52" s="706"/>
      <c r="N52" s="706"/>
      <c r="O52" s="706"/>
      <c r="P52" s="706"/>
      <c r="Q52" s="706"/>
      <c r="V52" s="706"/>
      <c r="X52" s="706"/>
      <c r="Y52" s="706"/>
    </row>
    <row r="53" spans="2:25" x14ac:dyDescent="0.3">
      <c r="B53" s="95">
        <v>3</v>
      </c>
      <c r="C53" s="2" t="s">
        <v>179</v>
      </c>
      <c r="D53" s="2" t="s">
        <v>423</v>
      </c>
      <c r="E53" s="558">
        <f t="shared" si="4"/>
        <v>0</v>
      </c>
      <c r="F53" s="558">
        <f t="shared" si="4"/>
        <v>0</v>
      </c>
      <c r="G53" s="558">
        <f t="shared" si="4"/>
        <v>0</v>
      </c>
      <c r="H53" s="558">
        <f t="shared" si="4"/>
        <v>0</v>
      </c>
      <c r="I53" s="558">
        <f t="shared" si="4"/>
        <v>0</v>
      </c>
      <c r="J53" s="707"/>
      <c r="K53" s="706"/>
      <c r="L53" s="706"/>
      <c r="M53" s="706"/>
      <c r="N53" s="706"/>
      <c r="O53" s="706"/>
      <c r="P53" s="706"/>
      <c r="Q53" s="706"/>
      <c r="V53" s="706"/>
      <c r="X53" s="706"/>
      <c r="Y53" s="706"/>
    </row>
    <row r="54" spans="2:25" x14ac:dyDescent="0.3">
      <c r="B54" s="1018">
        <v>4</v>
      </c>
      <c r="C54" s="3" t="s">
        <v>543</v>
      </c>
      <c r="D54" s="3" t="s">
        <v>423</v>
      </c>
      <c r="E54" s="1214">
        <f>E40*E47/100</f>
        <v>159.786</v>
      </c>
      <c r="F54" s="1214">
        <f t="shared" ref="F54:I54" si="5">F40*F47/100</f>
        <v>166.71600000000001</v>
      </c>
      <c r="G54" s="1214">
        <f t="shared" si="5"/>
        <v>173.976</v>
      </c>
      <c r="H54" s="1214">
        <f t="shared" si="5"/>
        <v>181.5</v>
      </c>
      <c r="I54" s="1214">
        <f t="shared" si="5"/>
        <v>189.35400000000001</v>
      </c>
      <c r="J54" s="707"/>
      <c r="K54" s="706"/>
      <c r="L54" s="706"/>
      <c r="M54" s="706"/>
      <c r="N54" s="706"/>
      <c r="O54" s="706"/>
      <c r="P54" s="706"/>
      <c r="Q54" s="706"/>
      <c r="V54" s="706"/>
      <c r="X54" s="706"/>
      <c r="Y54" s="706"/>
    </row>
    <row r="55" spans="2:25" x14ac:dyDescent="0.3">
      <c r="B55" s="95">
        <v>5</v>
      </c>
      <c r="C55" s="2" t="s">
        <v>542</v>
      </c>
      <c r="D55" s="2" t="s">
        <v>423</v>
      </c>
      <c r="E55" s="558">
        <f t="shared" si="4"/>
        <v>0</v>
      </c>
      <c r="F55" s="558">
        <f t="shared" si="4"/>
        <v>0</v>
      </c>
      <c r="G55" s="558">
        <f t="shared" si="4"/>
        <v>0</v>
      </c>
      <c r="H55" s="558">
        <f t="shared" si="4"/>
        <v>0</v>
      </c>
      <c r="I55" s="558">
        <f t="shared" si="4"/>
        <v>0</v>
      </c>
      <c r="J55" s="707"/>
      <c r="K55" s="706"/>
      <c r="L55" s="706"/>
      <c r="M55" s="706"/>
      <c r="N55" s="706"/>
      <c r="O55" s="706"/>
      <c r="P55" s="706"/>
      <c r="Q55" s="706"/>
      <c r="V55" s="706"/>
      <c r="X55" s="706"/>
      <c r="Y55" s="706"/>
    </row>
    <row r="56" spans="2:25" x14ac:dyDescent="0.3">
      <c r="B56" s="39"/>
    </row>
    <row r="59" spans="2:25" x14ac:dyDescent="0.3">
      <c r="B59" s="1538" t="s">
        <v>535</v>
      </c>
      <c r="C59" s="1538"/>
      <c r="D59" s="1538"/>
      <c r="E59" s="1538"/>
      <c r="F59" s="1538"/>
      <c r="G59" s="1538"/>
      <c r="H59" s="1538"/>
      <c r="I59" s="1538"/>
      <c r="J59" s="1538"/>
      <c r="K59" s="42"/>
      <c r="L59" s="42"/>
      <c r="M59" s="42"/>
      <c r="N59" s="42"/>
      <c r="O59" s="42"/>
      <c r="P59" s="42"/>
    </row>
    <row r="60" spans="2:25" x14ac:dyDescent="0.3">
      <c r="K60" s="16"/>
      <c r="L60" s="16" t="s">
        <v>10</v>
      </c>
      <c r="M60" s="16"/>
      <c r="N60" s="16"/>
      <c r="O60" s="16"/>
      <c r="P60" s="16"/>
    </row>
    <row r="61" spans="2:25" ht="15" x14ac:dyDescent="0.3">
      <c r="B61" s="1521" t="s">
        <v>327</v>
      </c>
      <c r="C61" s="1521" t="s">
        <v>35</v>
      </c>
      <c r="D61" s="1546" t="s">
        <v>477</v>
      </c>
      <c r="E61" s="1548"/>
      <c r="F61" s="1549"/>
      <c r="G61" s="1429" t="s">
        <v>848</v>
      </c>
      <c r="H61" s="1429"/>
      <c r="I61" s="1429"/>
      <c r="J61" s="1429"/>
      <c r="K61" s="1429"/>
      <c r="L61" s="1420" t="s">
        <v>25</v>
      </c>
    </row>
    <row r="62" spans="2:25" ht="28" x14ac:dyDescent="0.3">
      <c r="B62" s="1521"/>
      <c r="C62" s="1545"/>
      <c r="D62" s="204" t="s">
        <v>1216</v>
      </c>
      <c r="E62" s="202" t="s">
        <v>77</v>
      </c>
      <c r="F62" s="202" t="s">
        <v>427</v>
      </c>
      <c r="G62" s="456" t="s">
        <v>849</v>
      </c>
      <c r="H62" s="456" t="s">
        <v>850</v>
      </c>
      <c r="I62" s="456" t="s">
        <v>851</v>
      </c>
      <c r="J62" s="456" t="s">
        <v>852</v>
      </c>
      <c r="K62" s="456" t="s">
        <v>853</v>
      </c>
      <c r="L62" s="1420"/>
    </row>
    <row r="63" spans="2:25" x14ac:dyDescent="0.3">
      <c r="B63" s="1521"/>
      <c r="C63" s="1545"/>
      <c r="D63" s="202" t="s">
        <v>78</v>
      </c>
      <c r="E63" s="202" t="s">
        <v>79</v>
      </c>
      <c r="F63" s="202" t="s">
        <v>627</v>
      </c>
      <c r="G63" s="97" t="s">
        <v>20</v>
      </c>
      <c r="H63" s="97" t="s">
        <v>20</v>
      </c>
      <c r="I63" s="97" t="s">
        <v>20</v>
      </c>
      <c r="J63" s="97" t="s">
        <v>20</v>
      </c>
      <c r="K63" s="97" t="s">
        <v>20</v>
      </c>
      <c r="L63" s="1421"/>
    </row>
    <row r="64" spans="2:25" x14ac:dyDescent="0.3">
      <c r="B64" s="121">
        <v>1</v>
      </c>
      <c r="C64" s="2" t="s">
        <v>536</v>
      </c>
      <c r="D64" s="235"/>
      <c r="E64" s="300"/>
      <c r="F64" s="235">
        <f>E64-D64</f>
        <v>0</v>
      </c>
      <c r="G64" s="235"/>
      <c r="H64" s="235"/>
      <c r="I64" s="235"/>
      <c r="J64" s="235"/>
      <c r="K64" s="2"/>
      <c r="L64" s="235"/>
    </row>
    <row r="65" spans="2:12" x14ac:dyDescent="0.3">
      <c r="B65" s="95">
        <v>2</v>
      </c>
      <c r="C65" s="2" t="s">
        <v>537</v>
      </c>
      <c r="D65" s="235"/>
      <c r="E65" s="300"/>
      <c r="F65" s="235">
        <f>E65-D65</f>
        <v>0</v>
      </c>
      <c r="G65" s="235"/>
      <c r="H65" s="235"/>
      <c r="I65" s="235"/>
      <c r="J65" s="235"/>
      <c r="K65" s="2"/>
      <c r="L65" s="235"/>
    </row>
    <row r="66" spans="2:12" x14ac:dyDescent="0.3">
      <c r="B66" s="95">
        <v>3</v>
      </c>
      <c r="C66" s="2" t="s">
        <v>538</v>
      </c>
      <c r="D66" s="235"/>
      <c r="E66" s="300"/>
      <c r="F66" s="235">
        <f>E66-D66</f>
        <v>0</v>
      </c>
      <c r="G66" s="235"/>
      <c r="H66" s="235"/>
      <c r="I66" s="235"/>
      <c r="J66" s="235"/>
      <c r="K66" s="2"/>
      <c r="L66" s="235"/>
    </row>
    <row r="67" spans="2:12" x14ac:dyDescent="0.3">
      <c r="B67" s="95" t="s">
        <v>450</v>
      </c>
      <c r="C67" s="2"/>
      <c r="D67" s="235"/>
      <c r="E67" s="300"/>
      <c r="F67" s="235">
        <f>E67-D67</f>
        <v>0</v>
      </c>
      <c r="G67" s="235"/>
      <c r="H67" s="235"/>
      <c r="I67" s="235"/>
      <c r="J67" s="235"/>
      <c r="K67" s="2"/>
      <c r="L67" s="235"/>
    </row>
  </sheetData>
  <mergeCells count="52">
    <mergeCell ref="D10:D13"/>
    <mergeCell ref="B24:B26"/>
    <mergeCell ref="C24:C26"/>
    <mergeCell ref="B61:B63"/>
    <mergeCell ref="C61:C63"/>
    <mergeCell ref="B59:J59"/>
    <mergeCell ref="B31:J31"/>
    <mergeCell ref="B33:B35"/>
    <mergeCell ref="C33:C35"/>
    <mergeCell ref="D33:D35"/>
    <mergeCell ref="E33:I33"/>
    <mergeCell ref="J33:J35"/>
    <mergeCell ref="D61:F61"/>
    <mergeCell ref="D25:E25"/>
    <mergeCell ref="B1:R1"/>
    <mergeCell ref="B2:R2"/>
    <mergeCell ref="B3:R3"/>
    <mergeCell ref="B5:U5"/>
    <mergeCell ref="B7:B9"/>
    <mergeCell ref="C7:C9"/>
    <mergeCell ref="D7:H7"/>
    <mergeCell ref="I7:I8"/>
    <mergeCell ref="K7:T7"/>
    <mergeCell ref="U7:U9"/>
    <mergeCell ref="K8:L8"/>
    <mergeCell ref="M8:N8"/>
    <mergeCell ref="O8:P8"/>
    <mergeCell ref="L61:L63"/>
    <mergeCell ref="F24:J24"/>
    <mergeCell ref="R33:V33"/>
    <mergeCell ref="G61:K61"/>
    <mergeCell ref="Z7:Z9"/>
    <mergeCell ref="X8:Y8"/>
    <mergeCell ref="Q8:R8"/>
    <mergeCell ref="S8:T8"/>
    <mergeCell ref="F10:F13"/>
    <mergeCell ref="G10:G13"/>
    <mergeCell ref="H10:H13"/>
    <mergeCell ref="I10:I13"/>
    <mergeCell ref="J10:J12"/>
    <mergeCell ref="P10:P12"/>
    <mergeCell ref="O10:O12"/>
    <mergeCell ref="N10:N12"/>
    <mergeCell ref="W33:W35"/>
    <mergeCell ref="Q10:Q12"/>
    <mergeCell ref="R10:R12"/>
    <mergeCell ref="E10:E13"/>
    <mergeCell ref="M10:M12"/>
    <mergeCell ref="L10:L12"/>
    <mergeCell ref="K10:K12"/>
    <mergeCell ref="S10:S12"/>
    <mergeCell ref="T10:T12"/>
  </mergeCells>
  <pageMargins left="0.70866141732283472" right="0.70866141732283472" top="0.74803149606299213" bottom="0.74803149606299213" header="0.31496062992125984" footer="0.31496062992125984"/>
  <pageSetup paperSize="9" scale="28"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B2:M79"/>
  <sheetViews>
    <sheetView showGridLines="0" view="pageBreakPreview" zoomScale="85" zoomScaleNormal="75" zoomScaleSheetLayoutView="85" workbookViewId="0">
      <pane xSplit="3" ySplit="10" topLeftCell="D11" activePane="bottomRight" state="frozen"/>
      <selection activeCell="B28" sqref="B28"/>
      <selection pane="topRight" activeCell="B28" sqref="B28"/>
      <selection pane="bottomLeft" activeCell="B28" sqref="B28"/>
      <selection pane="bottomRight" activeCell="E12" sqref="E12"/>
    </sheetView>
  </sheetViews>
  <sheetFormatPr defaultColWidth="9.453125" defaultRowHeight="14" x14ac:dyDescent="0.25"/>
  <cols>
    <col min="1" max="1" width="6.54296875" style="10" customWidth="1"/>
    <col min="2" max="2" width="7" style="10" customWidth="1"/>
    <col min="3" max="3" width="47.81640625" style="10" bestFit="1" customWidth="1"/>
    <col min="4" max="4" width="22.81640625" style="10" customWidth="1"/>
    <col min="5" max="5" width="16.54296875" style="10" customWidth="1"/>
    <col min="6" max="7" width="14.453125" style="10" customWidth="1"/>
    <col min="8" max="13" width="18" style="10" customWidth="1"/>
    <col min="14" max="15" width="13.54296875" style="10" customWidth="1"/>
    <col min="16" max="16384" width="9.453125" style="10"/>
  </cols>
  <sheetData>
    <row r="2" spans="2:13" x14ac:dyDescent="0.25">
      <c r="B2" s="1406" t="str">
        <f>Index!B2</f>
        <v xml:space="preserve">      Maharashtra State Power Generation Company Ltd.</v>
      </c>
      <c r="C2" s="1488"/>
      <c r="D2" s="1488"/>
      <c r="E2" s="1488"/>
      <c r="F2" s="1488"/>
      <c r="G2" s="1488"/>
      <c r="H2" s="1488"/>
      <c r="I2" s="96"/>
      <c r="J2" s="96"/>
      <c r="K2" s="96"/>
      <c r="L2" s="96"/>
      <c r="M2" s="96"/>
    </row>
    <row r="3" spans="2:13" s="1" customFormat="1" x14ac:dyDescent="0.3">
      <c r="B3" s="1406" t="str">
        <f>Index!B3</f>
        <v>MYT Petition Formats for Bhusawal Unit 6</v>
      </c>
      <c r="C3" s="1488"/>
      <c r="D3" s="1488"/>
      <c r="E3" s="1488"/>
      <c r="F3" s="1488"/>
      <c r="G3" s="1488"/>
      <c r="H3" s="1488"/>
      <c r="I3" s="96"/>
      <c r="J3" s="96"/>
      <c r="K3" s="96"/>
      <c r="L3" s="96"/>
      <c r="M3" s="96"/>
    </row>
    <row r="4" spans="2:13" s="1" customFormat="1" x14ac:dyDescent="0.3">
      <c r="B4" s="1407" t="s">
        <v>182</v>
      </c>
      <c r="C4" s="1488"/>
      <c r="D4" s="1488"/>
      <c r="E4" s="1488"/>
      <c r="F4" s="1488"/>
      <c r="G4" s="1488"/>
      <c r="H4" s="1488"/>
      <c r="I4" s="96"/>
      <c r="J4" s="96"/>
      <c r="K4" s="96"/>
      <c r="L4" s="96"/>
      <c r="M4" s="96"/>
    </row>
    <row r="5" spans="2:13" s="1" customFormat="1" x14ac:dyDescent="0.3">
      <c r="C5" s="6"/>
      <c r="D5" s="6"/>
      <c r="E5" s="6"/>
      <c r="F5" s="14"/>
      <c r="G5" s="14"/>
      <c r="H5" s="14"/>
      <c r="I5" s="14"/>
      <c r="J5" s="14"/>
      <c r="K5" s="14"/>
      <c r="L5" s="14"/>
      <c r="M5" s="14"/>
    </row>
    <row r="6" spans="2:13" x14ac:dyDescent="0.25">
      <c r="B6" s="17" t="s">
        <v>183</v>
      </c>
    </row>
    <row r="7" spans="2:13" x14ac:dyDescent="0.25">
      <c r="D7" s="62" t="s">
        <v>10</v>
      </c>
      <c r="I7" s="16"/>
      <c r="J7" s="16"/>
      <c r="K7" s="16"/>
      <c r="L7" s="16"/>
    </row>
    <row r="8" spans="2:13" ht="12.75" customHeight="1" x14ac:dyDescent="0.25">
      <c r="B8" s="1411" t="s">
        <v>6</v>
      </c>
      <c r="C8" s="1411" t="s">
        <v>35</v>
      </c>
      <c r="D8" s="97" t="s">
        <v>477</v>
      </c>
      <c r="E8" s="97" t="s">
        <v>849</v>
      </c>
      <c r="F8" s="97" t="s">
        <v>850</v>
      </c>
      <c r="G8" s="97" t="s">
        <v>851</v>
      </c>
      <c r="H8" s="97" t="s">
        <v>852</v>
      </c>
      <c r="I8" s="97" t="s">
        <v>853</v>
      </c>
    </row>
    <row r="9" spans="2:13" ht="28" x14ac:dyDescent="0.25">
      <c r="B9" s="1411"/>
      <c r="C9" s="1411"/>
      <c r="D9" s="97" t="s">
        <v>2884</v>
      </c>
      <c r="E9" s="97" t="s">
        <v>20</v>
      </c>
      <c r="F9" s="97" t="s">
        <v>20</v>
      </c>
      <c r="G9" s="97" t="s">
        <v>20</v>
      </c>
      <c r="H9" s="97" t="s">
        <v>20</v>
      </c>
      <c r="I9" s="97" t="s">
        <v>20</v>
      </c>
    </row>
    <row r="10" spans="2:13" x14ac:dyDescent="0.25">
      <c r="B10" s="1550"/>
      <c r="C10" s="1411"/>
      <c r="D10" s="97"/>
      <c r="E10" s="97"/>
      <c r="F10" s="97"/>
      <c r="G10" s="97"/>
      <c r="H10" s="97"/>
      <c r="I10" s="97"/>
    </row>
    <row r="11" spans="2:13" x14ac:dyDescent="0.3">
      <c r="B11" s="73">
        <v>1</v>
      </c>
      <c r="C11" s="2" t="s">
        <v>184</v>
      </c>
      <c r="D11" s="300">
        <v>2.3776561250000001</v>
      </c>
      <c r="E11" s="348">
        <v>20.963823300000001</v>
      </c>
      <c r="F11" s="348">
        <v>23.060205630000002</v>
      </c>
      <c r="G11" s="348">
        <v>25.366226193000003</v>
      </c>
      <c r="H11" s="348">
        <v>31.707782741250004</v>
      </c>
      <c r="I11" s="348">
        <v>33.293171878312506</v>
      </c>
    </row>
    <row r="12" spans="2:13" x14ac:dyDescent="0.3">
      <c r="B12" s="73">
        <v>2</v>
      </c>
      <c r="C12" s="2" t="s">
        <v>185</v>
      </c>
      <c r="D12" s="300">
        <v>1.4520991750000001</v>
      </c>
      <c r="E12" s="348">
        <v>11.109271320000001</v>
      </c>
      <c r="F12" s="348">
        <v>12.220198452000002</v>
      </c>
      <c r="G12" s="348">
        <v>13.442218297200004</v>
      </c>
      <c r="H12" s="348">
        <v>16.802772871500004</v>
      </c>
      <c r="I12" s="348">
        <v>17.642911515075006</v>
      </c>
    </row>
    <row r="13" spans="2:13" x14ac:dyDescent="0.25">
      <c r="B13" s="73">
        <v>3</v>
      </c>
      <c r="C13" s="19" t="s">
        <v>742</v>
      </c>
      <c r="D13" s="218"/>
      <c r="E13" s="19"/>
      <c r="F13" s="19"/>
      <c r="G13" s="19"/>
      <c r="H13" s="19"/>
      <c r="I13" s="19"/>
    </row>
    <row r="14" spans="2:13" x14ac:dyDescent="0.3">
      <c r="B14" s="73">
        <v>4</v>
      </c>
      <c r="C14" s="2" t="s">
        <v>186</v>
      </c>
      <c r="D14" s="300"/>
      <c r="E14" s="19"/>
      <c r="F14" s="19"/>
      <c r="G14" s="19"/>
      <c r="H14" s="19"/>
      <c r="I14" s="19"/>
    </row>
    <row r="15" spans="2:13" x14ac:dyDescent="0.3">
      <c r="B15" s="73">
        <v>5</v>
      </c>
      <c r="C15" s="2" t="s">
        <v>187</v>
      </c>
      <c r="D15" s="300"/>
      <c r="E15" s="19"/>
      <c r="F15" s="19"/>
      <c r="G15" s="19"/>
      <c r="H15" s="19"/>
      <c r="I15" s="19"/>
    </row>
    <row r="16" spans="2:13" x14ac:dyDescent="0.25">
      <c r="B16" s="73">
        <v>6</v>
      </c>
      <c r="C16" s="19" t="s">
        <v>188</v>
      </c>
      <c r="D16" s="218">
        <v>0.25636052500000001</v>
      </c>
      <c r="E16" s="348">
        <v>0.36523620000000001</v>
      </c>
      <c r="F16" s="348">
        <v>0.40175982000000005</v>
      </c>
      <c r="G16" s="348">
        <v>0.4419358020000001</v>
      </c>
      <c r="H16" s="348">
        <v>0.55241975250000008</v>
      </c>
      <c r="I16" s="348">
        <v>0.58004074012500006</v>
      </c>
    </row>
    <row r="17" spans="2:9" x14ac:dyDescent="0.3">
      <c r="B17" s="73">
        <v>7</v>
      </c>
      <c r="C17" s="2" t="s">
        <v>189</v>
      </c>
      <c r="D17" s="300"/>
      <c r="E17" s="348">
        <v>2.2516023599999997</v>
      </c>
      <c r="F17" s="348">
        <v>2.4767625959999999</v>
      </c>
      <c r="G17" s="348">
        <v>2.7244388556000003</v>
      </c>
      <c r="H17" s="348">
        <v>3.4055485695000005</v>
      </c>
      <c r="I17" s="348">
        <v>3.5758259979750009</v>
      </c>
    </row>
    <row r="18" spans="2:9" x14ac:dyDescent="0.3">
      <c r="B18" s="73">
        <v>8</v>
      </c>
      <c r="C18" s="2" t="s">
        <v>190</v>
      </c>
      <c r="D18" s="300"/>
      <c r="E18" s="19"/>
      <c r="F18" s="19"/>
      <c r="G18" s="19"/>
      <c r="H18" s="19"/>
      <c r="I18" s="19"/>
    </row>
    <row r="19" spans="2:9" x14ac:dyDescent="0.3">
      <c r="B19" s="73">
        <v>9</v>
      </c>
      <c r="C19" s="2" t="s">
        <v>191</v>
      </c>
      <c r="D19" s="300">
        <v>0.37817512550000004</v>
      </c>
      <c r="E19" s="348">
        <v>3.3947811576000007</v>
      </c>
      <c r="F19" s="348">
        <v>3.7342592733600011</v>
      </c>
      <c r="G19" s="348">
        <v>4.1076852006960012</v>
      </c>
      <c r="H19" s="348">
        <v>5.1346065008700013</v>
      </c>
      <c r="I19" s="348">
        <v>5.3913368259135019</v>
      </c>
    </row>
    <row r="20" spans="2:9" x14ac:dyDescent="0.3">
      <c r="B20" s="73">
        <v>10</v>
      </c>
      <c r="C20" s="2" t="s">
        <v>192</v>
      </c>
      <c r="D20" s="300"/>
      <c r="E20" s="348">
        <v>2.2988700000000001E-2</v>
      </c>
      <c r="F20" s="348">
        <v>2.5287570000000002E-2</v>
      </c>
      <c r="G20" s="348">
        <v>2.7816327000000005E-2</v>
      </c>
      <c r="H20" s="348">
        <v>3.4770408750000009E-2</v>
      </c>
      <c r="I20" s="348">
        <v>3.6508929187500011E-2</v>
      </c>
    </row>
    <row r="21" spans="2:9" x14ac:dyDescent="0.3">
      <c r="B21" s="73">
        <v>11</v>
      </c>
      <c r="C21" s="2" t="s">
        <v>193</v>
      </c>
      <c r="D21" s="300"/>
      <c r="E21" s="19"/>
      <c r="F21" s="19"/>
      <c r="G21" s="19"/>
      <c r="H21" s="19"/>
      <c r="I21" s="19"/>
    </row>
    <row r="22" spans="2:9" x14ac:dyDescent="0.3">
      <c r="B22" s="73">
        <v>12</v>
      </c>
      <c r="C22" s="2" t="s">
        <v>194</v>
      </c>
      <c r="D22" s="300"/>
      <c r="E22" s="348">
        <v>0.12383154000000002</v>
      </c>
      <c r="F22" s="348">
        <v>0.13621469400000003</v>
      </c>
      <c r="G22" s="348">
        <v>0.14983616340000003</v>
      </c>
      <c r="H22" s="348">
        <v>0.18729520425000004</v>
      </c>
      <c r="I22" s="348">
        <v>0.19665996446250006</v>
      </c>
    </row>
    <row r="23" spans="2:9" x14ac:dyDescent="0.3">
      <c r="B23" s="73">
        <v>13</v>
      </c>
      <c r="C23" s="2" t="s">
        <v>195</v>
      </c>
      <c r="D23" s="300"/>
      <c r="E23" s="19"/>
      <c r="F23" s="19"/>
      <c r="G23" s="19"/>
      <c r="H23" s="19"/>
      <c r="I23" s="19"/>
    </row>
    <row r="24" spans="2:9" x14ac:dyDescent="0.3">
      <c r="B24" s="73">
        <v>14</v>
      </c>
      <c r="C24" s="2" t="s">
        <v>196</v>
      </c>
      <c r="D24" s="300"/>
      <c r="E24" s="19"/>
      <c r="F24" s="19"/>
      <c r="G24" s="19"/>
      <c r="H24" s="19"/>
      <c r="I24" s="19"/>
    </row>
    <row r="25" spans="2:9" x14ac:dyDescent="0.3">
      <c r="B25" s="73">
        <v>15</v>
      </c>
      <c r="C25" s="2" t="s">
        <v>197</v>
      </c>
      <c r="D25" s="300"/>
      <c r="E25" s="19"/>
      <c r="F25" s="19"/>
      <c r="G25" s="19"/>
      <c r="H25" s="19"/>
      <c r="I25" s="19"/>
    </row>
    <row r="26" spans="2:9" x14ac:dyDescent="0.3">
      <c r="B26" s="73">
        <v>16</v>
      </c>
      <c r="C26" s="2" t="s">
        <v>198</v>
      </c>
      <c r="D26" s="300"/>
      <c r="E26" s="19"/>
      <c r="F26" s="19"/>
      <c r="G26" s="19"/>
      <c r="H26" s="19"/>
      <c r="I26" s="19"/>
    </row>
    <row r="27" spans="2:9" x14ac:dyDescent="0.3">
      <c r="B27" s="73">
        <v>17</v>
      </c>
      <c r="C27" s="2" t="s">
        <v>199</v>
      </c>
      <c r="D27" s="300"/>
      <c r="E27" s="19"/>
      <c r="F27" s="19"/>
      <c r="G27" s="19"/>
      <c r="H27" s="19"/>
      <c r="I27" s="19"/>
    </row>
    <row r="28" spans="2:9" x14ac:dyDescent="0.3">
      <c r="B28" s="73">
        <v>18</v>
      </c>
      <c r="C28" s="2" t="s">
        <v>200</v>
      </c>
      <c r="D28" s="300">
        <v>0.43094242499999996</v>
      </c>
      <c r="E28" s="348">
        <v>3.8364215400000004</v>
      </c>
      <c r="F28" s="348">
        <v>4.2200636940000011</v>
      </c>
      <c r="G28" s="348">
        <v>4.6420700634000021</v>
      </c>
      <c r="H28" s="348">
        <v>5.8025875792500026</v>
      </c>
      <c r="I28" s="348">
        <v>6.0927169582125034</v>
      </c>
    </row>
    <row r="29" spans="2:9" x14ac:dyDescent="0.3">
      <c r="B29" s="73">
        <f>+B28+0.1</f>
        <v>18.100000000000001</v>
      </c>
      <c r="C29" s="2" t="s">
        <v>201</v>
      </c>
      <c r="D29" s="300"/>
      <c r="E29" s="19"/>
      <c r="F29" s="19"/>
      <c r="G29" s="19"/>
      <c r="H29" s="19"/>
      <c r="I29" s="19"/>
    </row>
    <row r="30" spans="2:9" x14ac:dyDescent="0.3">
      <c r="B30" s="73">
        <f>+B29+0.1</f>
        <v>18.200000000000003</v>
      </c>
      <c r="C30" s="2" t="s">
        <v>202</v>
      </c>
      <c r="D30" s="300"/>
      <c r="E30" s="348">
        <v>1.2297600000000001E-2</v>
      </c>
      <c r="F30" s="348">
        <v>1.3527360000000002E-2</v>
      </c>
      <c r="G30" s="348">
        <v>1.4880096000000004E-2</v>
      </c>
      <c r="H30" s="348">
        <v>1.8600120000000005E-2</v>
      </c>
      <c r="I30" s="348">
        <v>1.9530126000000005E-2</v>
      </c>
    </row>
    <row r="31" spans="2:9" x14ac:dyDescent="0.3">
      <c r="B31" s="73">
        <f>+B30+0.1</f>
        <v>18.300000000000004</v>
      </c>
      <c r="C31" s="2" t="s">
        <v>203</v>
      </c>
      <c r="D31" s="300"/>
      <c r="E31" s="19"/>
      <c r="F31" s="19"/>
      <c r="G31" s="19"/>
      <c r="H31" s="19"/>
      <c r="I31" s="19"/>
    </row>
    <row r="32" spans="2:9" x14ac:dyDescent="0.3">
      <c r="B32" s="73">
        <f>+B31+0.1</f>
        <v>18.400000000000006</v>
      </c>
      <c r="C32" s="2" t="s">
        <v>204</v>
      </c>
      <c r="D32" s="300"/>
      <c r="E32" s="19"/>
      <c r="F32" s="19"/>
      <c r="G32" s="19"/>
      <c r="H32" s="19"/>
      <c r="I32" s="19"/>
    </row>
    <row r="33" spans="2:9" x14ac:dyDescent="0.3">
      <c r="B33" s="73">
        <v>19</v>
      </c>
      <c r="C33" s="2" t="s">
        <v>205</v>
      </c>
      <c r="D33" s="300">
        <v>0.09</v>
      </c>
      <c r="E33" s="348">
        <v>0.49814100000000011</v>
      </c>
      <c r="F33" s="348">
        <v>0.54795510000000014</v>
      </c>
      <c r="G33" s="348">
        <v>0.60275061000000019</v>
      </c>
      <c r="H33" s="348">
        <v>0.75343826250000023</v>
      </c>
      <c r="I33" s="348">
        <v>0.7911101756250003</v>
      </c>
    </row>
    <row r="34" spans="2:9" x14ac:dyDescent="0.3">
      <c r="B34" s="73">
        <v>20</v>
      </c>
      <c r="C34" s="2" t="s">
        <v>728</v>
      </c>
      <c r="D34" s="300"/>
      <c r="E34" s="19"/>
      <c r="F34" s="19"/>
      <c r="G34" s="19"/>
      <c r="H34" s="19"/>
      <c r="I34" s="19"/>
    </row>
    <row r="35" spans="2:9" x14ac:dyDescent="0.3">
      <c r="B35" s="73">
        <v>21</v>
      </c>
      <c r="C35" s="2" t="s">
        <v>730</v>
      </c>
      <c r="D35" s="300"/>
      <c r="E35" s="19"/>
      <c r="F35" s="19"/>
      <c r="G35" s="19"/>
      <c r="H35" s="19"/>
      <c r="I35" s="19"/>
    </row>
    <row r="36" spans="2:9" x14ac:dyDescent="0.3">
      <c r="B36" s="74">
        <f>B35+1</f>
        <v>22</v>
      </c>
      <c r="C36" s="3" t="s">
        <v>206</v>
      </c>
      <c r="D36" s="301">
        <f>SUM(D11:D35)</f>
        <v>4.9852333755</v>
      </c>
      <c r="E36" s="301">
        <f t="shared" ref="E36:I36" si="0">SUM(E11:E35)</f>
        <v>42.578394717599998</v>
      </c>
      <c r="F36" s="301">
        <f t="shared" si="0"/>
        <v>46.83623418936002</v>
      </c>
      <c r="G36" s="301">
        <f t="shared" si="0"/>
        <v>51.519857608296007</v>
      </c>
      <c r="H36" s="301">
        <f t="shared" si="0"/>
        <v>64.399822010370016</v>
      </c>
      <c r="I36" s="301">
        <f t="shared" si="0"/>
        <v>67.619813110888515</v>
      </c>
    </row>
    <row r="37" spans="2:9" x14ac:dyDescent="0.3">
      <c r="B37" s="74">
        <f>B36+1</f>
        <v>23</v>
      </c>
      <c r="C37" s="2" t="s">
        <v>33</v>
      </c>
      <c r="D37" s="300"/>
      <c r="E37" s="19"/>
      <c r="F37" s="19"/>
      <c r="G37" s="19"/>
      <c r="H37" s="19"/>
      <c r="I37" s="19"/>
    </row>
    <row r="38" spans="2:9" x14ac:dyDescent="0.25">
      <c r="B38" s="74">
        <f>B37+1</f>
        <v>24</v>
      </c>
      <c r="C38" s="365" t="s">
        <v>207</v>
      </c>
      <c r="D38" s="247">
        <f>D36-D37</f>
        <v>4.9852333755</v>
      </c>
      <c r="E38" s="247">
        <f t="shared" ref="E38:I38" si="1">E36-E37</f>
        <v>42.578394717599998</v>
      </c>
      <c r="F38" s="247">
        <f t="shared" si="1"/>
        <v>46.83623418936002</v>
      </c>
      <c r="G38" s="247">
        <f t="shared" si="1"/>
        <v>51.519857608296007</v>
      </c>
      <c r="H38" s="247">
        <f t="shared" si="1"/>
        <v>64.399822010370016</v>
      </c>
      <c r="I38" s="247">
        <f t="shared" si="1"/>
        <v>67.619813110888515</v>
      </c>
    </row>
    <row r="39" spans="2:9" x14ac:dyDescent="0.25">
      <c r="B39" s="413">
        <f>B38+1</f>
        <v>25</v>
      </c>
      <c r="C39" s="10" t="s">
        <v>839</v>
      </c>
      <c r="D39" s="218">
        <f>Assumptions!G175</f>
        <v>0</v>
      </c>
      <c r="E39" s="19"/>
      <c r="F39" s="19"/>
      <c r="G39" s="19"/>
      <c r="H39" s="19"/>
      <c r="I39" s="19"/>
    </row>
    <row r="40" spans="2:9" x14ac:dyDescent="0.25">
      <c r="B40" s="74">
        <f>B39+1</f>
        <v>26</v>
      </c>
      <c r="C40" s="22" t="s">
        <v>836</v>
      </c>
      <c r="D40" s="346">
        <f>SUM(D38:D39)</f>
        <v>4.9852333755</v>
      </c>
      <c r="E40" s="346">
        <f t="shared" ref="E40:I40" si="2">SUM(E38:E39)</f>
        <v>42.578394717599998</v>
      </c>
      <c r="F40" s="346">
        <f t="shared" si="2"/>
        <v>46.83623418936002</v>
      </c>
      <c r="G40" s="346">
        <f t="shared" si="2"/>
        <v>51.519857608296007</v>
      </c>
      <c r="H40" s="346">
        <f t="shared" si="2"/>
        <v>64.399822010370016</v>
      </c>
      <c r="I40" s="346">
        <f t="shared" si="2"/>
        <v>67.619813110888515</v>
      </c>
    </row>
    <row r="41" spans="2:9" x14ac:dyDescent="0.3">
      <c r="B41" s="36"/>
      <c r="D41" s="350"/>
      <c r="E41" s="350"/>
      <c r="F41" s="350"/>
      <c r="G41" s="350"/>
      <c r="H41" s="350"/>
      <c r="I41" s="350"/>
    </row>
    <row r="42" spans="2:9" x14ac:dyDescent="0.25">
      <c r="D42" s="350"/>
    </row>
    <row r="43" spans="2:9" x14ac:dyDescent="0.25">
      <c r="B43" s="17" t="s">
        <v>208</v>
      </c>
    </row>
    <row r="44" spans="2:9" x14ac:dyDescent="0.25">
      <c r="E44" s="17"/>
      <c r="F44" s="17"/>
      <c r="G44" s="17"/>
      <c r="H44" s="17"/>
      <c r="I44" s="17"/>
    </row>
    <row r="45" spans="2:9" ht="15" customHeight="1" x14ac:dyDescent="0.25">
      <c r="B45" s="1411" t="s">
        <v>327</v>
      </c>
      <c r="C45" s="1411" t="s">
        <v>35</v>
      </c>
      <c r="D45" s="97" t="s">
        <v>477</v>
      </c>
      <c r="E45" s="97" t="s">
        <v>849</v>
      </c>
      <c r="F45" s="97" t="s">
        <v>850</v>
      </c>
      <c r="G45" s="97" t="s">
        <v>851</v>
      </c>
      <c r="H45" s="97" t="s">
        <v>852</v>
      </c>
      <c r="I45" s="97" t="s">
        <v>853</v>
      </c>
    </row>
    <row r="46" spans="2:9" ht="28" x14ac:dyDescent="0.25">
      <c r="B46" s="1411"/>
      <c r="C46" s="1411"/>
      <c r="D46" s="97" t="s">
        <v>2884</v>
      </c>
      <c r="E46" s="97" t="s">
        <v>20</v>
      </c>
      <c r="F46" s="97" t="s">
        <v>20</v>
      </c>
      <c r="G46" s="97" t="s">
        <v>20</v>
      </c>
      <c r="H46" s="97" t="s">
        <v>20</v>
      </c>
      <c r="I46" s="97" t="s">
        <v>20</v>
      </c>
    </row>
    <row r="47" spans="2:9" x14ac:dyDescent="0.25">
      <c r="B47" s="1411"/>
      <c r="C47" s="1411"/>
      <c r="D47" s="97"/>
      <c r="E47" s="97"/>
      <c r="F47" s="97"/>
      <c r="G47" s="97"/>
      <c r="H47" s="97"/>
      <c r="I47" s="97"/>
    </row>
    <row r="48" spans="2:9" x14ac:dyDescent="0.25">
      <c r="B48" s="19"/>
      <c r="C48" s="19"/>
      <c r="D48" s="19"/>
      <c r="E48" s="19"/>
      <c r="F48" s="19"/>
      <c r="G48" s="19"/>
      <c r="H48" s="19"/>
      <c r="I48" s="19"/>
    </row>
    <row r="49" spans="2:9" x14ac:dyDescent="0.25">
      <c r="B49" s="74" t="s">
        <v>167</v>
      </c>
      <c r="C49" s="22" t="s">
        <v>209</v>
      </c>
      <c r="D49" s="223"/>
      <c r="E49" s="19"/>
      <c r="F49" s="19"/>
      <c r="G49" s="19"/>
      <c r="H49" s="19"/>
      <c r="I49" s="19"/>
    </row>
    <row r="50" spans="2:9" x14ac:dyDescent="0.25">
      <c r="B50" s="70">
        <v>1</v>
      </c>
      <c r="C50" s="135" t="s">
        <v>210</v>
      </c>
      <c r="D50" s="1104">
        <v>84</v>
      </c>
      <c r="E50" s="19">
        <v>100</v>
      </c>
      <c r="F50" s="19">
        <v>100</v>
      </c>
      <c r="G50" s="19">
        <v>100</v>
      </c>
      <c r="H50" s="19">
        <v>100</v>
      </c>
      <c r="I50" s="19">
        <v>100</v>
      </c>
    </row>
    <row r="51" spans="2:9" x14ac:dyDescent="0.25">
      <c r="B51" s="70">
        <v>2</v>
      </c>
      <c r="C51" s="135" t="s">
        <v>211</v>
      </c>
      <c r="D51" s="1104">
        <v>0</v>
      </c>
      <c r="E51" s="19">
        <v>0</v>
      </c>
      <c r="F51" s="19">
        <v>0</v>
      </c>
      <c r="G51" s="19">
        <v>0</v>
      </c>
      <c r="H51" s="19">
        <v>0</v>
      </c>
      <c r="I51" s="19">
        <v>0</v>
      </c>
    </row>
    <row r="52" spans="2:9" x14ac:dyDescent="0.25">
      <c r="B52" s="70">
        <v>3</v>
      </c>
      <c r="C52" s="135" t="s">
        <v>212</v>
      </c>
      <c r="D52" s="1104">
        <v>0</v>
      </c>
      <c r="E52" s="19">
        <v>0</v>
      </c>
      <c r="F52" s="19">
        <v>0</v>
      </c>
      <c r="G52" s="19">
        <v>0</v>
      </c>
      <c r="H52" s="19">
        <v>0</v>
      </c>
      <c r="I52" s="19">
        <v>0</v>
      </c>
    </row>
    <row r="53" spans="2:9" x14ac:dyDescent="0.25">
      <c r="B53" s="70">
        <v>4</v>
      </c>
      <c r="C53" s="135" t="s">
        <v>213</v>
      </c>
      <c r="D53" s="1104">
        <v>8</v>
      </c>
      <c r="E53" s="19">
        <v>11</v>
      </c>
      <c r="F53" s="19">
        <v>11</v>
      </c>
      <c r="G53" s="19">
        <v>11</v>
      </c>
      <c r="H53" s="19">
        <v>11</v>
      </c>
      <c r="I53" s="19">
        <v>11</v>
      </c>
    </row>
    <row r="54" spans="2:9" x14ac:dyDescent="0.25">
      <c r="B54" s="70"/>
      <c r="C54" s="135"/>
      <c r="D54" s="1104"/>
      <c r="E54" s="19"/>
      <c r="F54" s="19"/>
      <c r="G54" s="19"/>
      <c r="H54" s="19"/>
      <c r="I54" s="19"/>
    </row>
    <row r="55" spans="2:9" x14ac:dyDescent="0.25">
      <c r="B55" s="136" t="s">
        <v>180</v>
      </c>
      <c r="C55" s="81" t="s">
        <v>214</v>
      </c>
      <c r="D55" s="1105"/>
      <c r="E55" s="19"/>
      <c r="F55" s="19"/>
      <c r="G55" s="19"/>
      <c r="H55" s="19"/>
      <c r="I55" s="19"/>
    </row>
    <row r="56" spans="2:9" x14ac:dyDescent="0.25">
      <c r="B56" s="70">
        <v>5</v>
      </c>
      <c r="C56" s="81" t="s">
        <v>210</v>
      </c>
      <c r="D56" s="1104"/>
      <c r="E56" s="19"/>
      <c r="F56" s="19"/>
      <c r="G56" s="19"/>
      <c r="H56" s="19"/>
      <c r="I56" s="19"/>
    </row>
    <row r="57" spans="2:9" x14ac:dyDescent="0.25">
      <c r="B57" s="70">
        <f>+B56+0.1</f>
        <v>5.0999999999999996</v>
      </c>
      <c r="C57" s="135" t="s">
        <v>215</v>
      </c>
      <c r="D57" s="1104">
        <v>32</v>
      </c>
      <c r="E57" s="19">
        <v>33</v>
      </c>
      <c r="F57" s="19">
        <v>33</v>
      </c>
      <c r="G57" s="19">
        <v>33</v>
      </c>
      <c r="H57" s="19">
        <v>33</v>
      </c>
      <c r="I57" s="19">
        <v>33</v>
      </c>
    </row>
    <row r="58" spans="2:9" x14ac:dyDescent="0.25">
      <c r="B58" s="70">
        <f>+B57+0.1</f>
        <v>5.1999999999999993</v>
      </c>
      <c r="C58" s="135" t="s">
        <v>216</v>
      </c>
      <c r="D58" s="1104">
        <v>59</v>
      </c>
      <c r="E58" s="19">
        <v>78</v>
      </c>
      <c r="F58" s="19">
        <v>78</v>
      </c>
      <c r="G58" s="19">
        <v>78</v>
      </c>
      <c r="H58" s="19">
        <v>78</v>
      </c>
      <c r="I58" s="19">
        <v>78</v>
      </c>
    </row>
    <row r="59" spans="2:9" x14ac:dyDescent="0.25">
      <c r="B59" s="70">
        <f>+B58+0.1</f>
        <v>5.2999999999999989</v>
      </c>
      <c r="C59" s="135" t="s">
        <v>217</v>
      </c>
      <c r="D59" s="1104">
        <v>162</v>
      </c>
      <c r="E59" s="19">
        <v>189</v>
      </c>
      <c r="F59" s="19">
        <v>189</v>
      </c>
      <c r="G59" s="19">
        <v>189</v>
      </c>
      <c r="H59" s="19">
        <v>189</v>
      </c>
      <c r="I59" s="19">
        <v>189</v>
      </c>
    </row>
    <row r="60" spans="2:9" x14ac:dyDescent="0.25">
      <c r="B60" s="70">
        <f>+B59+0.1</f>
        <v>5.3999999999999986</v>
      </c>
      <c r="C60" s="135" t="s">
        <v>218</v>
      </c>
      <c r="D60" s="1104">
        <v>0</v>
      </c>
      <c r="E60" s="19">
        <v>8</v>
      </c>
      <c r="F60" s="19">
        <v>8</v>
      </c>
      <c r="G60" s="19">
        <v>8</v>
      </c>
      <c r="H60" s="19">
        <v>8</v>
      </c>
      <c r="I60" s="19">
        <v>8</v>
      </c>
    </row>
    <row r="61" spans="2:9" x14ac:dyDescent="0.25">
      <c r="B61" s="70"/>
      <c r="C61" s="135"/>
      <c r="D61" s="1105"/>
      <c r="E61" s="19"/>
      <c r="F61" s="19"/>
      <c r="G61" s="19"/>
      <c r="H61" s="19"/>
      <c r="I61" s="19"/>
    </row>
    <row r="62" spans="2:9" x14ac:dyDescent="0.25">
      <c r="B62" s="70">
        <v>6</v>
      </c>
      <c r="C62" s="81" t="s">
        <v>211</v>
      </c>
      <c r="D62" s="1104"/>
      <c r="E62" s="19"/>
      <c r="F62" s="19"/>
      <c r="G62" s="19"/>
      <c r="H62" s="19"/>
      <c r="I62" s="19"/>
    </row>
    <row r="63" spans="2:9" x14ac:dyDescent="0.25">
      <c r="B63" s="70">
        <f>+B62+0.1</f>
        <v>6.1</v>
      </c>
      <c r="C63" s="135" t="s">
        <v>215</v>
      </c>
      <c r="D63" s="1104">
        <v>0</v>
      </c>
      <c r="E63" s="19">
        <v>0</v>
      </c>
      <c r="F63" s="19">
        <v>0</v>
      </c>
      <c r="G63" s="19">
        <v>0</v>
      </c>
      <c r="H63" s="19">
        <v>0</v>
      </c>
      <c r="I63" s="19">
        <v>0</v>
      </c>
    </row>
    <row r="64" spans="2:9" x14ac:dyDescent="0.25">
      <c r="B64" s="70">
        <f>+B63+0.1</f>
        <v>6.1999999999999993</v>
      </c>
      <c r="C64" s="135" t="s">
        <v>216</v>
      </c>
      <c r="D64" s="1104">
        <v>0</v>
      </c>
      <c r="E64" s="19">
        <v>0</v>
      </c>
      <c r="F64" s="19">
        <v>0</v>
      </c>
      <c r="G64" s="19">
        <v>0</v>
      </c>
      <c r="H64" s="19">
        <v>0</v>
      </c>
      <c r="I64" s="19">
        <v>0</v>
      </c>
    </row>
    <row r="65" spans="2:9" x14ac:dyDescent="0.25">
      <c r="B65" s="70">
        <f>+B64+0.1</f>
        <v>6.2999999999999989</v>
      </c>
      <c r="C65" s="135" t="s">
        <v>217</v>
      </c>
      <c r="D65" s="1104">
        <v>0</v>
      </c>
      <c r="E65" s="19">
        <v>0</v>
      </c>
      <c r="F65" s="19">
        <v>0</v>
      </c>
      <c r="G65" s="19">
        <v>0</v>
      </c>
      <c r="H65" s="19">
        <v>0</v>
      </c>
      <c r="I65" s="19">
        <v>0</v>
      </c>
    </row>
    <row r="66" spans="2:9" x14ac:dyDescent="0.25">
      <c r="B66" s="70">
        <f>+B65+0.1</f>
        <v>6.3999999999999986</v>
      </c>
      <c r="C66" s="135" t="s">
        <v>218</v>
      </c>
      <c r="D66" s="1104">
        <v>0</v>
      </c>
      <c r="E66" s="19">
        <v>0</v>
      </c>
      <c r="F66" s="19">
        <v>0</v>
      </c>
      <c r="G66" s="19">
        <v>0</v>
      </c>
      <c r="H66" s="19">
        <v>0</v>
      </c>
      <c r="I66" s="19">
        <v>0</v>
      </c>
    </row>
    <row r="67" spans="2:9" x14ac:dyDescent="0.25">
      <c r="B67" s="70"/>
      <c r="C67" s="135"/>
      <c r="D67" s="1105"/>
      <c r="E67" s="19"/>
      <c r="F67" s="19"/>
      <c r="G67" s="19"/>
      <c r="H67" s="19"/>
      <c r="I67" s="19"/>
    </row>
    <row r="68" spans="2:9" x14ac:dyDescent="0.25">
      <c r="B68" s="70">
        <v>7</v>
      </c>
      <c r="C68" s="81" t="s">
        <v>212</v>
      </c>
      <c r="D68" s="1104"/>
      <c r="E68" s="19"/>
      <c r="F68" s="19"/>
      <c r="G68" s="19"/>
      <c r="H68" s="19"/>
      <c r="I68" s="19"/>
    </row>
    <row r="69" spans="2:9" x14ac:dyDescent="0.25">
      <c r="B69" s="70">
        <f>+B68+0.1</f>
        <v>7.1</v>
      </c>
      <c r="C69" s="135" t="s">
        <v>215</v>
      </c>
      <c r="D69" s="1104">
        <v>0</v>
      </c>
      <c r="E69" s="19">
        <v>0</v>
      </c>
      <c r="F69" s="19">
        <v>0</v>
      </c>
      <c r="G69" s="19">
        <v>0</v>
      </c>
      <c r="H69" s="19">
        <v>0</v>
      </c>
      <c r="I69" s="19">
        <v>0</v>
      </c>
    </row>
    <row r="70" spans="2:9" x14ac:dyDescent="0.25">
      <c r="B70" s="70">
        <f>+B69+0.1</f>
        <v>7.1999999999999993</v>
      </c>
      <c r="C70" s="135" t="s">
        <v>216</v>
      </c>
      <c r="D70" s="1104">
        <v>0</v>
      </c>
      <c r="E70" s="19">
        <v>0</v>
      </c>
      <c r="F70" s="19">
        <v>0</v>
      </c>
      <c r="G70" s="19">
        <v>0</v>
      </c>
      <c r="H70" s="19">
        <v>0</v>
      </c>
      <c r="I70" s="19">
        <v>0</v>
      </c>
    </row>
    <row r="71" spans="2:9" x14ac:dyDescent="0.25">
      <c r="B71" s="70">
        <f>+B70+0.1</f>
        <v>7.2999999999999989</v>
      </c>
      <c r="C71" s="135" t="s">
        <v>217</v>
      </c>
      <c r="D71" s="1104">
        <v>0</v>
      </c>
      <c r="E71" s="19">
        <v>0</v>
      </c>
      <c r="F71" s="19">
        <v>0</v>
      </c>
      <c r="G71" s="19">
        <v>0</v>
      </c>
      <c r="H71" s="19">
        <v>0</v>
      </c>
      <c r="I71" s="19">
        <v>0</v>
      </c>
    </row>
    <row r="72" spans="2:9" x14ac:dyDescent="0.25">
      <c r="B72" s="70">
        <f>+B71+0.1</f>
        <v>7.3999999999999986</v>
      </c>
      <c r="C72" s="135" t="s">
        <v>218</v>
      </c>
      <c r="D72" s="1104">
        <v>0</v>
      </c>
      <c r="E72" s="19">
        <v>0</v>
      </c>
      <c r="F72" s="19">
        <v>0</v>
      </c>
      <c r="G72" s="19">
        <v>0</v>
      </c>
      <c r="H72" s="19">
        <v>0</v>
      </c>
      <c r="I72" s="19">
        <v>0</v>
      </c>
    </row>
    <row r="73" spans="2:9" x14ac:dyDescent="0.25">
      <c r="B73" s="70"/>
      <c r="C73" s="135"/>
      <c r="D73" s="1104"/>
      <c r="E73" s="19"/>
      <c r="F73" s="19"/>
      <c r="G73" s="19"/>
      <c r="H73" s="19"/>
      <c r="I73" s="19"/>
    </row>
    <row r="74" spans="2:9" x14ac:dyDescent="0.25">
      <c r="B74" s="70">
        <v>8</v>
      </c>
      <c r="C74" s="81" t="s">
        <v>219</v>
      </c>
      <c r="D74" s="1105"/>
      <c r="E74" s="19"/>
      <c r="F74" s="19"/>
      <c r="G74" s="19"/>
      <c r="H74" s="19"/>
      <c r="I74" s="19"/>
    </row>
    <row r="75" spans="2:9" x14ac:dyDescent="0.25">
      <c r="B75" s="70">
        <f>+B74+0.1</f>
        <v>8.1</v>
      </c>
      <c r="C75" s="135" t="s">
        <v>215</v>
      </c>
      <c r="D75" s="1104">
        <v>1</v>
      </c>
      <c r="E75" s="19"/>
      <c r="F75" s="19"/>
      <c r="G75" s="19"/>
      <c r="H75" s="19"/>
      <c r="I75" s="19"/>
    </row>
    <row r="76" spans="2:9" x14ac:dyDescent="0.25">
      <c r="B76" s="70">
        <f>+B75+0.1</f>
        <v>8.1999999999999993</v>
      </c>
      <c r="C76" s="135" t="s">
        <v>216</v>
      </c>
      <c r="D76" s="1104">
        <v>0</v>
      </c>
      <c r="E76" s="19"/>
      <c r="F76" s="19"/>
      <c r="G76" s="19"/>
      <c r="H76" s="19"/>
      <c r="I76" s="19"/>
    </row>
    <row r="77" spans="2:9" x14ac:dyDescent="0.25">
      <c r="B77" s="70">
        <f>+B76+0.1</f>
        <v>8.2999999999999989</v>
      </c>
      <c r="C77" s="135" t="s">
        <v>217</v>
      </c>
      <c r="D77" s="1104">
        <v>0</v>
      </c>
      <c r="E77" s="19"/>
      <c r="F77" s="19"/>
      <c r="G77" s="19"/>
      <c r="H77" s="19"/>
      <c r="I77" s="19"/>
    </row>
    <row r="78" spans="2:9" x14ac:dyDescent="0.25">
      <c r="B78" s="70">
        <f>+B77+0.1</f>
        <v>8.3999999999999986</v>
      </c>
      <c r="C78" s="135" t="s">
        <v>218</v>
      </c>
      <c r="D78" s="1104">
        <v>0</v>
      </c>
      <c r="E78" s="19"/>
      <c r="F78" s="19"/>
      <c r="G78" s="19"/>
      <c r="H78" s="19"/>
      <c r="I78" s="19"/>
    </row>
    <row r="79" spans="2:9" x14ac:dyDescent="0.3">
      <c r="B79" s="137"/>
      <c r="C79" s="9" t="s">
        <v>220</v>
      </c>
      <c r="D79" s="1103">
        <f>SUM(D50:D78)</f>
        <v>346</v>
      </c>
      <c r="E79" s="1103">
        <f t="shared" ref="E79:I79" si="3">SUM(E50:E78)</f>
        <v>419</v>
      </c>
      <c r="F79" s="1103">
        <f t="shared" si="3"/>
        <v>419</v>
      </c>
      <c r="G79" s="1103">
        <f t="shared" si="3"/>
        <v>419</v>
      </c>
      <c r="H79" s="1103">
        <f t="shared" si="3"/>
        <v>419</v>
      </c>
      <c r="I79" s="1103">
        <f t="shared" si="3"/>
        <v>419</v>
      </c>
    </row>
  </sheetData>
  <mergeCells count="7">
    <mergeCell ref="B45:B47"/>
    <mergeCell ref="C45:C47"/>
    <mergeCell ref="B2:H2"/>
    <mergeCell ref="B3:H3"/>
    <mergeCell ref="B4:H4"/>
    <mergeCell ref="B8:B10"/>
    <mergeCell ref="C8:C10"/>
  </mergeCells>
  <pageMargins left="0.75" right="0.75" top="1" bottom="1" header="0.5" footer="0.5"/>
  <pageSetup paperSize="9" scale="65" fitToHeight="0" orientation="landscape" r:id="rId1"/>
  <headerFooter alignWithMargins="0"/>
  <rowBreaks count="1" manualBreakCount="1">
    <brk id="40"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fitToPage="1"/>
  </sheetPr>
  <dimension ref="B2:M46"/>
  <sheetViews>
    <sheetView showGridLines="0" view="pageBreakPreview" zoomScale="75" zoomScaleNormal="80" zoomScaleSheetLayoutView="90" workbookViewId="0">
      <pane xSplit="3" ySplit="9" topLeftCell="D10" activePane="bottomRight" state="frozen"/>
      <selection activeCell="B28" sqref="B28"/>
      <selection pane="topRight" activeCell="B28" sqref="B28"/>
      <selection pane="bottomLeft" activeCell="B28" sqref="B28"/>
      <selection pane="bottomRight" activeCell="D24" sqref="D24"/>
    </sheetView>
  </sheetViews>
  <sheetFormatPr defaultColWidth="9.453125" defaultRowHeight="14" x14ac:dyDescent="0.25"/>
  <cols>
    <col min="1" max="1" width="6.54296875" style="10" customWidth="1"/>
    <col min="2" max="2" width="7" style="72" customWidth="1"/>
    <col min="3" max="3" width="44.453125" style="10" customWidth="1"/>
    <col min="4" max="4" width="25.54296875" style="10" customWidth="1"/>
    <col min="5" max="12" width="15.54296875" style="10" customWidth="1"/>
    <col min="13" max="13" width="14.54296875" style="10" customWidth="1"/>
    <col min="14" max="16384" width="9.453125" style="10"/>
  </cols>
  <sheetData>
    <row r="2" spans="2:13" x14ac:dyDescent="0.25">
      <c r="B2" s="1406" t="str">
        <f>Index!B2</f>
        <v xml:space="preserve">      Maharashtra State Power Generation Company Ltd.</v>
      </c>
      <c r="C2" s="1488"/>
      <c r="D2" s="1488"/>
      <c r="E2" s="1488"/>
      <c r="F2" s="1488"/>
      <c r="G2" s="1488"/>
      <c r="H2" s="1488"/>
      <c r="I2" s="1488"/>
      <c r="J2" s="1488"/>
      <c r="K2" s="1488"/>
      <c r="L2" s="1488"/>
      <c r="M2" s="1488"/>
    </row>
    <row r="3" spans="2:13" s="1" customFormat="1" x14ac:dyDescent="0.3">
      <c r="B3" s="1406" t="str">
        <f>Index!B3</f>
        <v>MYT Petition Formats for Bhusawal Unit 6</v>
      </c>
      <c r="C3" s="1488"/>
      <c r="D3" s="1488"/>
      <c r="E3" s="1488"/>
      <c r="F3" s="1488"/>
      <c r="G3" s="1488"/>
      <c r="H3" s="1488"/>
      <c r="I3" s="1488"/>
      <c r="J3" s="1488"/>
      <c r="K3" s="1488"/>
      <c r="L3" s="1488"/>
      <c r="M3" s="1488"/>
    </row>
    <row r="4" spans="2:13" s="1" customFormat="1" x14ac:dyDescent="0.3">
      <c r="B4" s="1407" t="s">
        <v>221</v>
      </c>
      <c r="C4" s="1488"/>
      <c r="D4" s="1488"/>
      <c r="E4" s="1488"/>
      <c r="F4" s="1488"/>
      <c r="G4" s="1488"/>
      <c r="H4" s="1488"/>
      <c r="I4" s="1488"/>
      <c r="J4" s="1488"/>
      <c r="K4" s="1488"/>
      <c r="L4" s="1488"/>
      <c r="M4" s="1488"/>
    </row>
    <row r="6" spans="2:13" x14ac:dyDescent="0.25">
      <c r="D6" s="16" t="s">
        <v>10</v>
      </c>
      <c r="H6" s="16"/>
    </row>
    <row r="7" spans="2:13" ht="12.75" customHeight="1" x14ac:dyDescent="0.25">
      <c r="B7" s="1404" t="s">
        <v>327</v>
      </c>
      <c r="C7" s="1411" t="s">
        <v>35</v>
      </c>
      <c r="D7" s="97" t="s">
        <v>2861</v>
      </c>
      <c r="E7" s="97" t="s">
        <v>849</v>
      </c>
      <c r="F7" s="97" t="s">
        <v>850</v>
      </c>
      <c r="G7" s="97" t="s">
        <v>851</v>
      </c>
      <c r="H7" s="97" t="s">
        <v>852</v>
      </c>
      <c r="I7" s="97" t="s">
        <v>853</v>
      </c>
    </row>
    <row r="8" spans="2:13" x14ac:dyDescent="0.25">
      <c r="B8" s="1404"/>
      <c r="C8" s="1411"/>
      <c r="D8" s="97" t="s">
        <v>20</v>
      </c>
      <c r="E8" s="97" t="s">
        <v>20</v>
      </c>
      <c r="F8" s="97" t="s">
        <v>20</v>
      </c>
      <c r="G8" s="97" t="s">
        <v>20</v>
      </c>
      <c r="H8" s="97" t="s">
        <v>20</v>
      </c>
      <c r="I8" s="97" t="s">
        <v>20</v>
      </c>
    </row>
    <row r="9" spans="2:13" x14ac:dyDescent="0.25">
      <c r="B9" s="1404"/>
      <c r="C9" s="1411"/>
      <c r="D9" s="97"/>
      <c r="E9" s="97"/>
      <c r="F9" s="97"/>
      <c r="G9" s="97"/>
      <c r="H9" s="97"/>
      <c r="I9" s="97"/>
    </row>
    <row r="10" spans="2:13" x14ac:dyDescent="0.25">
      <c r="B10" s="73"/>
      <c r="C10" s="19"/>
      <c r="D10" s="19"/>
      <c r="E10" s="19"/>
      <c r="F10" s="19"/>
      <c r="G10" s="19"/>
      <c r="H10" s="19"/>
      <c r="I10" s="19"/>
    </row>
    <row r="11" spans="2:13" x14ac:dyDescent="0.25">
      <c r="B11" s="73">
        <v>1</v>
      </c>
      <c r="C11" s="23" t="s">
        <v>222</v>
      </c>
      <c r="D11" s="218">
        <v>0.23722563583561646</v>
      </c>
      <c r="E11" s="348">
        <v>2.3401988400000002</v>
      </c>
      <c r="F11" s="348">
        <v>2.5742187240000005</v>
      </c>
      <c r="G11" s="348">
        <v>2.8316405964000007</v>
      </c>
      <c r="H11" s="348">
        <v>3.1148046560400009</v>
      </c>
      <c r="I11" s="348">
        <v>3.4262851216440011</v>
      </c>
    </row>
    <row r="12" spans="2:13" x14ac:dyDescent="0.3">
      <c r="B12" s="73">
        <v>2</v>
      </c>
      <c r="C12" s="21" t="s">
        <v>223</v>
      </c>
      <c r="D12" s="218">
        <v>0.20312839430136989</v>
      </c>
      <c r="E12" s="348">
        <v>2.0038341600000003</v>
      </c>
      <c r="F12" s="348">
        <v>2.2042175760000005</v>
      </c>
      <c r="G12" s="348">
        <v>2.4246393336000005</v>
      </c>
      <c r="H12" s="348">
        <v>2.6671032669600008</v>
      </c>
      <c r="I12" s="348">
        <v>2.933813593656001</v>
      </c>
    </row>
    <row r="13" spans="2:13" x14ac:dyDescent="0.3">
      <c r="B13" s="73">
        <v>3</v>
      </c>
      <c r="C13" s="21" t="s">
        <v>224</v>
      </c>
      <c r="D13" s="218">
        <v>4.7465220295890417E-3</v>
      </c>
      <c r="E13" s="348">
        <v>4.6823798400000012E-2</v>
      </c>
      <c r="F13" s="348">
        <v>5.150617824000002E-2</v>
      </c>
      <c r="G13" s="348">
        <v>5.6656796064000023E-2</v>
      </c>
      <c r="H13" s="348">
        <v>6.2322475670400029E-2</v>
      </c>
      <c r="I13" s="348">
        <v>6.8554723237440038E-2</v>
      </c>
    </row>
    <row r="14" spans="2:13" x14ac:dyDescent="0.3">
      <c r="B14" s="73">
        <v>4</v>
      </c>
      <c r="C14" s="21" t="s">
        <v>225</v>
      </c>
      <c r="D14" s="218">
        <v>2.2508123835616439E-3</v>
      </c>
      <c r="E14" s="348">
        <v>2.2203960000000002E-2</v>
      </c>
      <c r="F14" s="348">
        <v>2.4424356000000005E-2</v>
      </c>
      <c r="G14" s="348">
        <v>2.6866791600000009E-2</v>
      </c>
      <c r="H14" s="348">
        <v>2.9553470760000013E-2</v>
      </c>
      <c r="I14" s="348">
        <v>3.2508817836000015E-2</v>
      </c>
    </row>
    <row r="15" spans="2:13" x14ac:dyDescent="0.3">
      <c r="B15" s="73">
        <v>5</v>
      </c>
      <c r="C15" s="21" t="s">
        <v>226</v>
      </c>
      <c r="D15" s="218">
        <v>0.18467332635123287</v>
      </c>
      <c r="E15" s="348">
        <v>1.8217774086</v>
      </c>
      <c r="F15" s="348">
        <v>2.0039551494600003</v>
      </c>
      <c r="G15" s="348">
        <v>2.2043506644060007</v>
      </c>
      <c r="H15" s="348">
        <v>2.424785730846601</v>
      </c>
      <c r="I15" s="348">
        <v>2.6672643039312613</v>
      </c>
    </row>
    <row r="16" spans="2:13" x14ac:dyDescent="0.3">
      <c r="B16" s="73">
        <v>6</v>
      </c>
      <c r="C16" s="21" t="s">
        <v>227</v>
      </c>
      <c r="D16" s="218">
        <v>6.5127385808219182E-2</v>
      </c>
      <c r="E16" s="348">
        <v>0.64247286000000003</v>
      </c>
      <c r="F16" s="348">
        <v>0.7067201460000001</v>
      </c>
      <c r="G16" s="348">
        <v>0.77739216060000016</v>
      </c>
      <c r="H16" s="348">
        <v>0.85513137666000028</v>
      </c>
      <c r="I16" s="348">
        <v>0.94064451432600038</v>
      </c>
    </row>
    <row r="17" spans="2:9" x14ac:dyDescent="0.3">
      <c r="B17" s="73">
        <v>7</v>
      </c>
      <c r="C17" s="21" t="s">
        <v>228</v>
      </c>
      <c r="D17" s="218">
        <v>7.25101752328767E-2</v>
      </c>
      <c r="E17" s="348">
        <v>0.71530307999999998</v>
      </c>
      <c r="F17" s="348">
        <v>0.78683338800000002</v>
      </c>
      <c r="G17" s="348">
        <v>0.86551672680000014</v>
      </c>
      <c r="H17" s="348">
        <v>0.95206839948000022</v>
      </c>
      <c r="I17" s="348">
        <v>1.0472752394280003</v>
      </c>
    </row>
    <row r="18" spans="2:9" x14ac:dyDescent="0.3">
      <c r="B18" s="73">
        <v>8</v>
      </c>
      <c r="C18" s="138" t="s">
        <v>229</v>
      </c>
      <c r="D18" s="218">
        <v>0</v>
      </c>
      <c r="E18" s="348">
        <v>0.1054119</v>
      </c>
      <c r="F18" s="348">
        <v>0.11595309000000001</v>
      </c>
      <c r="G18" s="348">
        <v>0.12754839900000001</v>
      </c>
      <c r="H18" s="348">
        <v>0.14030323890000002</v>
      </c>
      <c r="I18" s="348">
        <v>0.15433356279000002</v>
      </c>
    </row>
    <row r="19" spans="2:9" x14ac:dyDescent="0.3">
      <c r="B19" s="73">
        <v>9</v>
      </c>
      <c r="C19" s="21" t="s">
        <v>230</v>
      </c>
      <c r="D19" s="218">
        <v>1.6214461750175342</v>
      </c>
      <c r="E19" s="348">
        <v>15.9953474022</v>
      </c>
      <c r="F19" s="348">
        <v>17.594882142420001</v>
      </c>
      <c r="G19" s="348">
        <v>19.354370356662002</v>
      </c>
      <c r="H19" s="348">
        <v>21.289807392328203</v>
      </c>
      <c r="I19" s="348">
        <v>23.418788131561026</v>
      </c>
    </row>
    <row r="20" spans="2:9" x14ac:dyDescent="0.3">
      <c r="B20" s="73">
        <v>10</v>
      </c>
      <c r="C20" s="21" t="s">
        <v>231</v>
      </c>
      <c r="D20" s="218">
        <v>7.3311315452054812E-2</v>
      </c>
      <c r="E20" s="348">
        <v>0.72320622000000012</v>
      </c>
      <c r="F20" s="348">
        <v>0.79552684200000023</v>
      </c>
      <c r="G20" s="348">
        <v>0.87507952620000029</v>
      </c>
      <c r="H20" s="348">
        <v>0.9625874788200004</v>
      </c>
      <c r="I20" s="348">
        <v>1.0588462267020005</v>
      </c>
    </row>
    <row r="21" spans="2:9" x14ac:dyDescent="0.3">
      <c r="B21" s="73">
        <v>11</v>
      </c>
      <c r="C21" s="21" t="s">
        <v>232</v>
      </c>
      <c r="D21" s="218">
        <v>0</v>
      </c>
      <c r="E21" s="348">
        <v>0</v>
      </c>
      <c r="F21" s="348">
        <v>0</v>
      </c>
      <c r="G21" s="348">
        <v>0</v>
      </c>
      <c r="H21" s="348">
        <v>0</v>
      </c>
      <c r="I21" s="348">
        <v>0</v>
      </c>
    </row>
    <row r="22" spans="2:9" x14ac:dyDescent="0.3">
      <c r="B22" s="73">
        <v>12</v>
      </c>
      <c r="C22" s="21" t="s">
        <v>233</v>
      </c>
      <c r="D22" s="218">
        <v>0</v>
      </c>
      <c r="E22" s="348">
        <v>0</v>
      </c>
      <c r="F22" s="348">
        <v>0</v>
      </c>
      <c r="G22" s="348">
        <v>0</v>
      </c>
      <c r="H22" s="348">
        <v>0</v>
      </c>
      <c r="I22" s="348">
        <v>0</v>
      </c>
    </row>
    <row r="23" spans="2:9" x14ac:dyDescent="0.3">
      <c r="B23" s="73">
        <v>13</v>
      </c>
      <c r="C23" s="21" t="s">
        <v>234</v>
      </c>
      <c r="D23" s="218">
        <v>2.4855746769863015E-2</v>
      </c>
      <c r="E23" s="348">
        <v>0.245198583</v>
      </c>
      <c r="F23" s="348">
        <v>0.2697184413</v>
      </c>
      <c r="G23" s="348">
        <v>0.29669028543000003</v>
      </c>
      <c r="H23" s="348">
        <v>0.32635931397300005</v>
      </c>
      <c r="I23" s="348">
        <v>0.35899524537030009</v>
      </c>
    </row>
    <row r="24" spans="2:9" x14ac:dyDescent="0.3">
      <c r="B24" s="73">
        <v>14</v>
      </c>
      <c r="C24" s="21" t="s">
        <v>235</v>
      </c>
      <c r="D24" s="218">
        <v>0</v>
      </c>
      <c r="E24" s="348">
        <v>0</v>
      </c>
      <c r="F24" s="348">
        <v>0</v>
      </c>
      <c r="G24" s="348">
        <v>0</v>
      </c>
      <c r="H24" s="348">
        <v>0</v>
      </c>
      <c r="I24" s="348">
        <v>0</v>
      </c>
    </row>
    <row r="25" spans="2:9" x14ac:dyDescent="0.3">
      <c r="B25" s="73">
        <v>15</v>
      </c>
      <c r="C25" s="21" t="s">
        <v>236</v>
      </c>
      <c r="D25" s="218">
        <v>1.1730946139178083E-2</v>
      </c>
      <c r="E25" s="348">
        <v>0.11572419840000001</v>
      </c>
      <c r="F25" s="348">
        <v>0.12729661824000002</v>
      </c>
      <c r="G25" s="348">
        <v>0.14002628006400003</v>
      </c>
      <c r="H25" s="348">
        <v>0.15402890807040004</v>
      </c>
      <c r="I25" s="348">
        <v>0.16943179887744006</v>
      </c>
    </row>
    <row r="26" spans="2:9" x14ac:dyDescent="0.25">
      <c r="B26" s="73">
        <v>16</v>
      </c>
      <c r="C26" s="23" t="s">
        <v>237</v>
      </c>
      <c r="D26" s="218">
        <v>0</v>
      </c>
      <c r="E26" s="348">
        <v>0</v>
      </c>
      <c r="F26" s="348">
        <v>0</v>
      </c>
      <c r="G26" s="348">
        <v>0</v>
      </c>
      <c r="H26" s="348">
        <v>0</v>
      </c>
      <c r="I26" s="348">
        <v>0</v>
      </c>
    </row>
    <row r="27" spans="2:9" x14ac:dyDescent="0.25">
      <c r="B27" s="73">
        <v>17</v>
      </c>
      <c r="C27" s="23" t="s">
        <v>238</v>
      </c>
      <c r="D27" s="218">
        <v>0</v>
      </c>
      <c r="E27" s="348">
        <v>0</v>
      </c>
      <c r="F27" s="348">
        <v>0</v>
      </c>
      <c r="G27" s="348">
        <v>0</v>
      </c>
      <c r="H27" s="348">
        <v>0</v>
      </c>
      <c r="I27" s="348">
        <v>0</v>
      </c>
    </row>
    <row r="28" spans="2:9" x14ac:dyDescent="0.3">
      <c r="B28" s="73">
        <v>18</v>
      </c>
      <c r="C28" s="21" t="s">
        <v>239</v>
      </c>
      <c r="D28" s="218">
        <v>3.0648772602739731E-3</v>
      </c>
      <c r="E28" s="348">
        <v>3.0234600000000004E-2</v>
      </c>
      <c r="F28" s="348">
        <v>3.3258060000000006E-2</v>
      </c>
      <c r="G28" s="348">
        <v>3.6583866000000007E-2</v>
      </c>
      <c r="H28" s="348">
        <v>4.0242252600000007E-2</v>
      </c>
      <c r="I28" s="348">
        <v>4.4266477860000014E-2</v>
      </c>
    </row>
    <row r="29" spans="2:9" x14ac:dyDescent="0.3">
      <c r="B29" s="73">
        <v>19</v>
      </c>
      <c r="C29" s="21" t="s">
        <v>240</v>
      </c>
      <c r="D29" s="218">
        <v>0.37004348035232887</v>
      </c>
      <c r="E29" s="348">
        <v>3.6504289278000006</v>
      </c>
      <c r="F29" s="348">
        <v>4.0154718205800011</v>
      </c>
      <c r="G29" s="348">
        <v>4.4170190026380016</v>
      </c>
      <c r="H29" s="348">
        <v>4.8587209029018021</v>
      </c>
      <c r="I29" s="348">
        <v>5.3445929931919824</v>
      </c>
    </row>
    <row r="30" spans="2:9" x14ac:dyDescent="0.3">
      <c r="B30" s="73">
        <v>20</v>
      </c>
      <c r="C30" s="21" t="s">
        <v>2885</v>
      </c>
      <c r="D30" s="218">
        <v>0</v>
      </c>
      <c r="E30" s="348">
        <v>0</v>
      </c>
      <c r="F30" s="348">
        <v>0</v>
      </c>
      <c r="G30" s="348">
        <v>0</v>
      </c>
      <c r="H30" s="348">
        <v>0</v>
      </c>
      <c r="I30" s="348">
        <v>0</v>
      </c>
    </row>
    <row r="31" spans="2:9" x14ac:dyDescent="0.3">
      <c r="B31" s="73">
        <v>21</v>
      </c>
      <c r="C31" s="21" t="s">
        <v>241</v>
      </c>
      <c r="D31" s="218">
        <v>0</v>
      </c>
      <c r="E31" s="348">
        <v>0</v>
      </c>
      <c r="F31" s="348">
        <v>0</v>
      </c>
      <c r="G31" s="348">
        <v>0</v>
      </c>
      <c r="H31" s="348">
        <v>0</v>
      </c>
      <c r="I31" s="348">
        <v>0</v>
      </c>
    </row>
    <row r="32" spans="2:9" x14ac:dyDescent="0.3">
      <c r="B32" s="73">
        <v>22</v>
      </c>
      <c r="C32" s="21" t="s">
        <v>242</v>
      </c>
      <c r="D32" s="218">
        <v>0</v>
      </c>
      <c r="E32" s="348">
        <v>0</v>
      </c>
      <c r="F32" s="348">
        <v>0</v>
      </c>
      <c r="G32" s="348">
        <v>0</v>
      </c>
      <c r="H32" s="348">
        <v>0</v>
      </c>
      <c r="I32" s="348">
        <v>0</v>
      </c>
    </row>
    <row r="33" spans="2:9" x14ac:dyDescent="0.3">
      <c r="B33" s="73">
        <v>23</v>
      </c>
      <c r="C33" s="21" t="s">
        <v>243</v>
      </c>
      <c r="D33" s="218">
        <v>0</v>
      </c>
      <c r="E33" s="348">
        <v>0</v>
      </c>
      <c r="F33" s="348">
        <v>0</v>
      </c>
      <c r="G33" s="348">
        <v>0</v>
      </c>
      <c r="H33" s="348">
        <v>0</v>
      </c>
      <c r="I33" s="348">
        <v>0</v>
      </c>
    </row>
    <row r="34" spans="2:9" x14ac:dyDescent="0.3">
      <c r="B34" s="73">
        <v>24</v>
      </c>
      <c r="C34" s="21" t="s">
        <v>244</v>
      </c>
      <c r="D34" s="218">
        <v>0</v>
      </c>
      <c r="E34" s="348">
        <v>0</v>
      </c>
      <c r="F34" s="348">
        <v>0</v>
      </c>
      <c r="G34" s="348">
        <v>0</v>
      </c>
      <c r="H34" s="348">
        <v>0</v>
      </c>
      <c r="I34" s="348">
        <v>0</v>
      </c>
    </row>
    <row r="35" spans="2:9" x14ac:dyDescent="0.3">
      <c r="B35" s="73">
        <v>25</v>
      </c>
      <c r="C35" s="21" t="s">
        <v>245</v>
      </c>
      <c r="D35" s="218">
        <v>0</v>
      </c>
      <c r="E35" s="348">
        <v>0</v>
      </c>
      <c r="F35" s="348">
        <v>0</v>
      </c>
      <c r="G35" s="348">
        <v>0</v>
      </c>
      <c r="H35" s="348">
        <v>0</v>
      </c>
      <c r="I35" s="348">
        <v>0</v>
      </c>
    </row>
    <row r="36" spans="2:9" x14ac:dyDescent="0.3">
      <c r="B36" s="73">
        <v>26</v>
      </c>
      <c r="C36" s="21" t="s">
        <v>246</v>
      </c>
      <c r="D36" s="218">
        <v>3.0383589041095896E-4</v>
      </c>
      <c r="E36" s="348">
        <v>2.9973000000000005E-3</v>
      </c>
      <c r="F36" s="348">
        <v>3.2970300000000007E-3</v>
      </c>
      <c r="G36" s="348">
        <v>3.6267330000000009E-3</v>
      </c>
      <c r="H36" s="348">
        <v>3.9894063000000014E-3</v>
      </c>
      <c r="I36" s="348">
        <v>4.3883469300000019E-3</v>
      </c>
    </row>
    <row r="37" spans="2:9" x14ac:dyDescent="0.3">
      <c r="B37" s="73">
        <v>27</v>
      </c>
      <c r="C37" s="21" t="s">
        <v>247</v>
      </c>
      <c r="D37" s="218">
        <v>0</v>
      </c>
      <c r="E37" s="348">
        <v>0</v>
      </c>
      <c r="F37" s="348">
        <v>0</v>
      </c>
      <c r="G37" s="348">
        <v>0</v>
      </c>
      <c r="H37" s="348">
        <v>0</v>
      </c>
      <c r="I37" s="348">
        <v>0</v>
      </c>
    </row>
    <row r="38" spans="2:9" x14ac:dyDescent="0.3">
      <c r="B38" s="73">
        <v>28</v>
      </c>
      <c r="C38" s="21" t="s">
        <v>205</v>
      </c>
      <c r="D38" s="218">
        <v>0.4560555439561646</v>
      </c>
      <c r="E38" s="348">
        <v>4.4989263120000018</v>
      </c>
      <c r="F38" s="348">
        <v>4.9488189432000027</v>
      </c>
      <c r="G38" s="348">
        <v>5.4437008375200033</v>
      </c>
      <c r="H38" s="348">
        <v>5.988070921272004</v>
      </c>
      <c r="I38" s="348">
        <v>6.5868780133992049</v>
      </c>
    </row>
    <row r="39" spans="2:9" x14ac:dyDescent="0.3">
      <c r="B39" s="73">
        <v>29</v>
      </c>
      <c r="C39" s="20" t="s">
        <v>248</v>
      </c>
      <c r="D39" s="1106">
        <f>SUM(D11:D38)</f>
        <v>3.3304741727802738</v>
      </c>
      <c r="E39" s="1106">
        <f>SUM(E11:E38)</f>
        <v>32.960089550399999</v>
      </c>
      <c r="F39" s="1106">
        <f>SUM(F11:F38)</f>
        <v>36.256098505440008</v>
      </c>
      <c r="G39" s="1106">
        <f t="shared" ref="G39:I39" si="0">SUM(G11:G38)</f>
        <v>39.88170835598401</v>
      </c>
      <c r="H39" s="1106">
        <f t="shared" si="0"/>
        <v>43.869879191582413</v>
      </c>
      <c r="I39" s="1106">
        <f t="shared" si="0"/>
        <v>48.256867110740664</v>
      </c>
    </row>
    <row r="40" spans="2:9" x14ac:dyDescent="0.3">
      <c r="B40" s="73">
        <v>30</v>
      </c>
      <c r="C40" s="2" t="s">
        <v>33</v>
      </c>
      <c r="D40" s="74"/>
      <c r="E40" s="74"/>
      <c r="F40" s="74"/>
      <c r="G40" s="74"/>
      <c r="H40" s="74"/>
      <c r="I40" s="74"/>
    </row>
    <row r="41" spans="2:9" x14ac:dyDescent="0.25">
      <c r="B41" s="73">
        <v>31</v>
      </c>
      <c r="C41" s="22" t="s">
        <v>249</v>
      </c>
      <c r="D41" s="1106">
        <f>D39-D40</f>
        <v>3.3304741727802738</v>
      </c>
      <c r="E41" s="1106">
        <f>E39-E40</f>
        <v>32.960089550399999</v>
      </c>
      <c r="F41" s="1106">
        <f t="shared" ref="F41:I41" si="1">F39-F40</f>
        <v>36.256098505440008</v>
      </c>
      <c r="G41" s="1106">
        <f t="shared" si="1"/>
        <v>39.88170835598401</v>
      </c>
      <c r="H41" s="1106">
        <f t="shared" si="1"/>
        <v>43.869879191582413</v>
      </c>
      <c r="I41" s="1106">
        <f t="shared" si="1"/>
        <v>48.256867110740664</v>
      </c>
    </row>
    <row r="42" spans="2:9" x14ac:dyDescent="0.3">
      <c r="B42" s="73"/>
      <c r="C42" s="46"/>
      <c r="D42" s="218"/>
      <c r="E42" s="19"/>
      <c r="F42" s="19"/>
      <c r="G42" s="19"/>
      <c r="H42" s="19"/>
      <c r="I42" s="19"/>
    </row>
    <row r="43" spans="2:9" x14ac:dyDescent="0.3">
      <c r="B43" s="73"/>
      <c r="C43" s="46"/>
      <c r="D43" s="218"/>
      <c r="E43" s="19"/>
      <c r="F43" s="19"/>
      <c r="G43" s="19"/>
      <c r="H43" s="19"/>
      <c r="I43" s="19"/>
    </row>
    <row r="44" spans="2:9" x14ac:dyDescent="0.3">
      <c r="B44" s="73"/>
      <c r="C44" s="212"/>
      <c r="D44" s="247">
        <f>Assumptions!G177</f>
        <v>0</v>
      </c>
      <c r="E44" s="19"/>
      <c r="F44" s="19"/>
      <c r="G44" s="19"/>
      <c r="H44" s="19"/>
      <c r="I44" s="19"/>
    </row>
    <row r="45" spans="2:9" x14ac:dyDescent="0.3">
      <c r="B45" s="73"/>
      <c r="C45" s="2"/>
      <c r="D45" s="218">
        <f>Assumptions!G178</f>
        <v>0</v>
      </c>
      <c r="E45" s="19"/>
      <c r="F45" s="19"/>
      <c r="G45" s="19"/>
      <c r="H45" s="19"/>
      <c r="I45" s="19"/>
    </row>
    <row r="46" spans="2:9" x14ac:dyDescent="0.25">
      <c r="B46" s="73"/>
      <c r="C46" s="22"/>
      <c r="D46" s="218">
        <f t="shared" ref="D46" si="2">D44-D45</f>
        <v>0</v>
      </c>
      <c r="E46" s="19"/>
      <c r="F46" s="19"/>
      <c r="G46" s="19"/>
      <c r="H46" s="19"/>
      <c r="I46" s="19"/>
    </row>
  </sheetData>
  <mergeCells count="5">
    <mergeCell ref="B2:M2"/>
    <mergeCell ref="B3:M3"/>
    <mergeCell ref="B4:M4"/>
    <mergeCell ref="B7:B9"/>
    <mergeCell ref="C7:C9"/>
  </mergeCells>
  <pageMargins left="0.75" right="0.75" top="1" bottom="1" header="0.5" footer="0.5"/>
  <pageSetup paperSize="9" scale="59" orientation="landscape"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B2:M25"/>
  <sheetViews>
    <sheetView showGridLines="0" view="pageBreakPreview" zoomScale="68" zoomScaleNormal="80" zoomScaleSheetLayoutView="90" workbookViewId="0">
      <selection activeCell="E23" sqref="E23"/>
    </sheetView>
  </sheetViews>
  <sheetFormatPr defaultColWidth="9.453125" defaultRowHeight="14" x14ac:dyDescent="0.25"/>
  <cols>
    <col min="1" max="1" width="6.54296875" style="10" customWidth="1"/>
    <col min="2" max="2" width="8.54296875" style="72" customWidth="1"/>
    <col min="3" max="3" width="45.54296875" style="10" customWidth="1"/>
    <col min="4" max="13" width="15.54296875" style="10" customWidth="1"/>
    <col min="14" max="16384" width="9.453125" style="10"/>
  </cols>
  <sheetData>
    <row r="2" spans="2:13" x14ac:dyDescent="0.25">
      <c r="B2" s="1406" t="str">
        <f>Index!B2</f>
        <v xml:space="preserve">      Maharashtra State Power Generation Company Ltd.</v>
      </c>
      <c r="C2" s="1406"/>
      <c r="D2" s="1406"/>
      <c r="E2" s="88"/>
      <c r="F2" s="88"/>
      <c r="G2" s="88"/>
      <c r="H2" s="88"/>
      <c r="I2" s="88"/>
      <c r="J2" s="88"/>
      <c r="K2" s="88"/>
      <c r="L2" s="88"/>
      <c r="M2" s="88"/>
    </row>
    <row r="3" spans="2:13" s="1" customFormat="1" x14ac:dyDescent="0.3">
      <c r="B3" s="1406" t="str">
        <f>Index!B3</f>
        <v>MYT Petition Formats for Bhusawal Unit 6</v>
      </c>
      <c r="C3" s="1406"/>
      <c r="D3" s="1406"/>
      <c r="E3" s="88"/>
      <c r="F3" s="88"/>
      <c r="G3" s="88"/>
      <c r="H3" s="88"/>
      <c r="I3" s="88"/>
      <c r="J3" s="88"/>
      <c r="K3" s="88"/>
      <c r="L3" s="88"/>
      <c r="M3" s="88"/>
    </row>
    <row r="4" spans="2:13" s="1" customFormat="1" x14ac:dyDescent="0.3">
      <c r="B4" s="1406" t="s">
        <v>250</v>
      </c>
      <c r="C4" s="1406"/>
      <c r="D4" s="1406"/>
      <c r="E4" s="88"/>
      <c r="F4" s="88"/>
      <c r="G4" s="88"/>
      <c r="H4" s="88"/>
      <c r="I4" s="88"/>
      <c r="J4" s="88"/>
      <c r="K4" s="88"/>
      <c r="L4" s="88"/>
      <c r="M4" s="88"/>
    </row>
    <row r="6" spans="2:13" x14ac:dyDescent="0.25">
      <c r="D6" s="16" t="s">
        <v>10</v>
      </c>
      <c r="H6" s="16"/>
    </row>
    <row r="7" spans="2:13" ht="12.75" customHeight="1" x14ac:dyDescent="0.25">
      <c r="B7" s="1404" t="s">
        <v>327</v>
      </c>
      <c r="C7" s="1411" t="s">
        <v>35</v>
      </c>
      <c r="D7" s="97" t="s">
        <v>477</v>
      </c>
      <c r="E7" s="456" t="s">
        <v>849</v>
      </c>
      <c r="F7" s="456" t="s">
        <v>850</v>
      </c>
      <c r="G7" s="456" t="s">
        <v>851</v>
      </c>
      <c r="H7" s="456" t="s">
        <v>852</v>
      </c>
      <c r="I7" s="456" t="s">
        <v>853</v>
      </c>
    </row>
    <row r="8" spans="2:13" ht="28" x14ac:dyDescent="0.25">
      <c r="B8" s="1404"/>
      <c r="C8" s="1411"/>
      <c r="D8" s="97" t="s">
        <v>77</v>
      </c>
      <c r="E8" s="97" t="s">
        <v>77</v>
      </c>
      <c r="F8" s="97" t="s">
        <v>77</v>
      </c>
      <c r="G8" s="97" t="s">
        <v>77</v>
      </c>
      <c r="H8" s="97" t="s">
        <v>77</v>
      </c>
      <c r="I8" s="97" t="s">
        <v>77</v>
      </c>
    </row>
    <row r="9" spans="2:13" x14ac:dyDescent="0.25">
      <c r="B9" s="1404"/>
      <c r="C9" s="1411"/>
      <c r="D9" s="97" t="s">
        <v>78</v>
      </c>
      <c r="E9" s="97" t="s">
        <v>78</v>
      </c>
      <c r="F9" s="97" t="s">
        <v>78</v>
      </c>
      <c r="G9" s="97" t="s">
        <v>78</v>
      </c>
      <c r="H9" s="97" t="s">
        <v>78</v>
      </c>
      <c r="I9" s="97" t="s">
        <v>78</v>
      </c>
    </row>
    <row r="10" spans="2:13" x14ac:dyDescent="0.3">
      <c r="B10" s="73">
        <v>1</v>
      </c>
      <c r="C10" s="21" t="s">
        <v>251</v>
      </c>
      <c r="D10" s="218">
        <v>0.91693117489852105</v>
      </c>
      <c r="E10" s="218">
        <v>55.987829099999999</v>
      </c>
      <c r="F10" s="218">
        <v>61.586612010000003</v>
      </c>
      <c r="G10" s="218">
        <v>67.745273211000011</v>
      </c>
      <c r="H10" s="218">
        <v>74.519800532100021</v>
      </c>
      <c r="I10" s="218">
        <v>81.971780585310029</v>
      </c>
    </row>
    <row r="11" spans="2:13" x14ac:dyDescent="0.3">
      <c r="B11" s="73">
        <v>2</v>
      </c>
      <c r="C11" s="21" t="s">
        <v>743</v>
      </c>
      <c r="D11" s="218"/>
      <c r="E11" s="218"/>
      <c r="F11" s="218"/>
      <c r="G11" s="218"/>
      <c r="H11" s="218"/>
      <c r="I11" s="218"/>
    </row>
    <row r="12" spans="2:13" x14ac:dyDescent="0.3">
      <c r="B12" s="73">
        <v>3</v>
      </c>
      <c r="C12" s="21" t="s">
        <v>744</v>
      </c>
      <c r="D12" s="218"/>
      <c r="E12" s="218"/>
      <c r="F12" s="218"/>
      <c r="G12" s="218"/>
      <c r="H12" s="218"/>
      <c r="I12" s="218"/>
    </row>
    <row r="13" spans="2:13" x14ac:dyDescent="0.3">
      <c r="B13" s="73">
        <v>4</v>
      </c>
      <c r="C13" s="21" t="s">
        <v>252</v>
      </c>
      <c r="D13" s="218"/>
      <c r="E13" s="218"/>
      <c r="F13" s="218"/>
      <c r="G13" s="218"/>
      <c r="H13" s="218"/>
      <c r="I13" s="218"/>
    </row>
    <row r="14" spans="2:13" x14ac:dyDescent="0.3">
      <c r="B14" s="73">
        <v>5</v>
      </c>
      <c r="C14" s="21" t="s">
        <v>253</v>
      </c>
      <c r="D14" s="218"/>
      <c r="E14" s="218"/>
      <c r="F14" s="218"/>
      <c r="G14" s="218"/>
      <c r="H14" s="218"/>
      <c r="I14" s="218"/>
    </row>
    <row r="15" spans="2:13" x14ac:dyDescent="0.3">
      <c r="B15" s="73">
        <v>6</v>
      </c>
      <c r="C15" s="21" t="s">
        <v>254</v>
      </c>
      <c r="D15" s="218"/>
      <c r="E15" s="218"/>
      <c r="F15" s="218"/>
      <c r="G15" s="218"/>
      <c r="H15" s="218"/>
      <c r="I15" s="218"/>
    </row>
    <row r="16" spans="2:13" x14ac:dyDescent="0.3">
      <c r="B16" s="73">
        <v>7</v>
      </c>
      <c r="C16" s="21" t="s">
        <v>255</v>
      </c>
      <c r="D16" s="218"/>
      <c r="E16" s="218"/>
      <c r="F16" s="218"/>
      <c r="G16" s="218"/>
      <c r="H16" s="218"/>
      <c r="I16" s="218"/>
    </row>
    <row r="17" spans="2:9" x14ac:dyDescent="0.3">
      <c r="B17" s="73">
        <v>8</v>
      </c>
      <c r="C17" s="46" t="s">
        <v>256</v>
      </c>
      <c r="D17" s="218"/>
      <c r="E17" s="218"/>
      <c r="F17" s="218"/>
      <c r="G17" s="218"/>
      <c r="H17" s="218"/>
      <c r="I17" s="218"/>
    </row>
    <row r="18" spans="2:9" x14ac:dyDescent="0.3">
      <c r="B18" s="73">
        <v>9</v>
      </c>
      <c r="C18" s="304" t="s">
        <v>905</v>
      </c>
      <c r="D18" s="218"/>
      <c r="E18" s="218"/>
      <c r="F18" s="218"/>
      <c r="G18" s="218"/>
      <c r="H18" s="218"/>
      <c r="I18" s="218"/>
    </row>
    <row r="19" spans="2:9" x14ac:dyDescent="0.3">
      <c r="B19" s="73">
        <v>10</v>
      </c>
      <c r="C19" s="304" t="s">
        <v>904</v>
      </c>
      <c r="D19" s="218"/>
      <c r="E19" s="218"/>
      <c r="F19" s="218"/>
      <c r="G19" s="218"/>
      <c r="H19" s="218"/>
      <c r="I19" s="218"/>
    </row>
    <row r="20" spans="2:9" x14ac:dyDescent="0.3">
      <c r="B20" s="73">
        <v>11</v>
      </c>
      <c r="C20" s="46" t="s">
        <v>729</v>
      </c>
      <c r="D20" s="218"/>
      <c r="E20" s="218"/>
      <c r="F20" s="218"/>
      <c r="G20" s="218"/>
      <c r="H20" s="218"/>
      <c r="I20" s="218"/>
    </row>
    <row r="21" spans="2:9" x14ac:dyDescent="0.3">
      <c r="B21" s="73">
        <v>12</v>
      </c>
      <c r="C21" s="212" t="s">
        <v>257</v>
      </c>
      <c r="D21" s="247">
        <f>SUM(D10:D20)</f>
        <v>0.91693117489852105</v>
      </c>
      <c r="E21" s="247">
        <f>SUM(E10:E20)</f>
        <v>55.987829099999999</v>
      </c>
      <c r="F21" s="247">
        <f t="shared" ref="F21:I21" si="0">SUM(F10:F20)</f>
        <v>61.586612010000003</v>
      </c>
      <c r="G21" s="247">
        <f t="shared" si="0"/>
        <v>67.745273211000011</v>
      </c>
      <c r="H21" s="247">
        <f t="shared" si="0"/>
        <v>74.519800532100021</v>
      </c>
      <c r="I21" s="247">
        <f t="shared" si="0"/>
        <v>81.971780585310029</v>
      </c>
    </row>
    <row r="22" spans="2:9" x14ac:dyDescent="0.25">
      <c r="B22" s="73"/>
      <c r="C22" s="302"/>
      <c r="D22" s="218"/>
      <c r="E22" s="218"/>
      <c r="F22" s="218"/>
      <c r="G22" s="218"/>
      <c r="H22" s="218"/>
      <c r="I22" s="218"/>
    </row>
    <row r="23" spans="2:9" x14ac:dyDescent="0.25">
      <c r="B23" s="73">
        <v>14</v>
      </c>
      <c r="C23" s="303" t="s">
        <v>258</v>
      </c>
      <c r="D23" s="218">
        <f>'F5 (T)'!$E$31</f>
        <v>5836.060836691081</v>
      </c>
      <c r="E23" s="218">
        <f>'F5 (T)'!$I$31</f>
        <v>5836.060836691081</v>
      </c>
      <c r="F23" s="218">
        <f>'F5 (T)'!$D$57</f>
        <v>6074.0781379251675</v>
      </c>
      <c r="G23" s="218">
        <f>'F5 (T)'!$I$57</f>
        <v>6805.2431531885377</v>
      </c>
      <c r="H23" s="218">
        <f>'F5 (T)'!$N$57</f>
        <v>6942.2531531885379</v>
      </c>
      <c r="I23" s="218">
        <f>'F5 (T)'!$S$57</f>
        <v>6961.0031531885379</v>
      </c>
    </row>
    <row r="24" spans="2:9" x14ac:dyDescent="0.25">
      <c r="B24" s="73">
        <v>15</v>
      </c>
      <c r="C24" s="303" t="s">
        <v>259</v>
      </c>
      <c r="D24" s="245">
        <f>D21/D23</f>
        <v>1.571147389577935E-4</v>
      </c>
      <c r="E24" s="245">
        <f t="shared" ref="E24:I24" si="1">E21/E23</f>
        <v>9.5934279416703058E-3</v>
      </c>
      <c r="F24" s="245">
        <f t="shared" si="1"/>
        <v>1.0139252510676008E-2</v>
      </c>
      <c r="G24" s="245">
        <f t="shared" si="1"/>
        <v>9.9548644605385699E-3</v>
      </c>
      <c r="H24" s="245">
        <f t="shared" si="1"/>
        <v>1.0734238421984583E-2</v>
      </c>
      <c r="I24" s="245">
        <f t="shared" si="1"/>
        <v>1.1775857413275593E-2</v>
      </c>
    </row>
    <row r="25" spans="2:9" x14ac:dyDescent="0.25">
      <c r="B25" s="73"/>
      <c r="C25" s="23"/>
      <c r="D25" s="218"/>
      <c r="E25" s="218"/>
      <c r="F25" s="218"/>
      <c r="G25" s="218"/>
      <c r="H25" s="218"/>
      <c r="I25" s="218"/>
    </row>
  </sheetData>
  <mergeCells count="5">
    <mergeCell ref="B7:B9"/>
    <mergeCell ref="C7:C9"/>
    <mergeCell ref="B2:D2"/>
    <mergeCell ref="B3:D3"/>
    <mergeCell ref="B4:D4"/>
  </mergeCells>
  <pageMargins left="0.75" right="0.75" top="1" bottom="1" header="0.5" footer="0.5"/>
  <pageSetup paperSize="9" scale="86"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66" zoomScaleNormal="136" workbookViewId="0">
      <pane ySplit="2" topLeftCell="A3" activePane="bottomLeft" state="frozen"/>
      <selection pane="bottomLeft" activeCell="F8" sqref="F8"/>
    </sheetView>
  </sheetViews>
  <sheetFormatPr defaultColWidth="8.81640625" defaultRowHeight="14.5" x14ac:dyDescent="0.35"/>
  <cols>
    <col min="1" max="1" width="55" style="1200" bestFit="1" customWidth="1"/>
    <col min="2" max="2" width="10.1796875" style="1200" customWidth="1"/>
    <col min="3" max="5" width="12.7265625" style="1200" customWidth="1"/>
    <col min="6" max="7" width="14.36328125" style="1200" customWidth="1"/>
    <col min="8" max="8" width="32.1796875" style="1200" customWidth="1"/>
    <col min="9" max="16384" width="8.81640625" style="1200"/>
  </cols>
  <sheetData>
    <row r="1" spans="1:8" x14ac:dyDescent="0.35">
      <c r="A1" s="1198" t="s">
        <v>2987</v>
      </c>
      <c r="B1" s="1199"/>
      <c r="C1" s="1199"/>
      <c r="D1" s="1199"/>
      <c r="E1" s="1551" t="s">
        <v>2970</v>
      </c>
      <c r="F1" s="1551"/>
      <c r="G1" s="1551"/>
      <c r="H1" s="1199"/>
    </row>
    <row r="2" spans="1:8" x14ac:dyDescent="0.35">
      <c r="A2" s="1198" t="s">
        <v>136</v>
      </c>
      <c r="B2" s="1198" t="s">
        <v>2971</v>
      </c>
      <c r="C2" s="1198" t="s">
        <v>849</v>
      </c>
      <c r="D2" s="1198" t="s">
        <v>850</v>
      </c>
      <c r="E2" s="1198" t="s">
        <v>851</v>
      </c>
      <c r="F2" s="1198" t="s">
        <v>852</v>
      </c>
      <c r="G2" s="1198" t="s">
        <v>853</v>
      </c>
      <c r="H2" s="1198" t="s">
        <v>25</v>
      </c>
    </row>
    <row r="3" spans="1:8" x14ac:dyDescent="0.35">
      <c r="A3" s="1199" t="s">
        <v>2972</v>
      </c>
      <c r="B3" s="1201">
        <v>1553375</v>
      </c>
      <c r="C3" s="1201">
        <v>19496000</v>
      </c>
      <c r="D3" s="1201">
        <v>19493859</v>
      </c>
      <c r="E3" s="1201">
        <v>19496000</v>
      </c>
      <c r="F3" s="1201">
        <v>19496000</v>
      </c>
      <c r="G3" s="1201">
        <v>19487650</v>
      </c>
      <c r="H3" s="1199"/>
    </row>
    <row r="4" spans="1:8" x14ac:dyDescent="0.35">
      <c r="A4" s="1199"/>
      <c r="B4" s="1201"/>
      <c r="C4" s="1201"/>
      <c r="D4" s="1201"/>
      <c r="E4" s="1201"/>
      <c r="F4" s="1201"/>
      <c r="G4" s="1201"/>
      <c r="H4" s="1199"/>
    </row>
    <row r="5" spans="1:8" x14ac:dyDescent="0.35">
      <c r="A5" s="1198" t="s">
        <v>2973</v>
      </c>
      <c r="B5" s="1201"/>
      <c r="C5" s="1201"/>
      <c r="D5" s="1201"/>
      <c r="E5" s="1201"/>
      <c r="F5" s="1201"/>
      <c r="G5" s="1201"/>
      <c r="H5" s="1199"/>
    </row>
    <row r="6" spans="1:8" x14ac:dyDescent="0.35">
      <c r="A6" s="1199" t="s">
        <v>2974</v>
      </c>
      <c r="B6" s="1201">
        <v>0</v>
      </c>
      <c r="C6" s="1201">
        <v>12500000</v>
      </c>
      <c r="D6" s="1201">
        <v>12500000</v>
      </c>
      <c r="E6" s="1201">
        <f>E3*0.75</f>
        <v>14622000</v>
      </c>
      <c r="F6" s="1201">
        <f>(F3-F8)*0.75</f>
        <v>7311000</v>
      </c>
      <c r="G6" s="1201">
        <v>0</v>
      </c>
      <c r="H6" s="1199"/>
    </row>
    <row r="7" spans="1:8" x14ac:dyDescent="0.35">
      <c r="A7" s="1199" t="s">
        <v>2975</v>
      </c>
      <c r="B7" s="1201">
        <v>0</v>
      </c>
      <c r="C7" s="1201">
        <v>0</v>
      </c>
      <c r="D7" s="1201">
        <v>0</v>
      </c>
      <c r="E7" s="1201">
        <v>0</v>
      </c>
      <c r="F7" s="1201">
        <v>0</v>
      </c>
      <c r="G7" s="1201">
        <v>0</v>
      </c>
      <c r="H7" s="1199"/>
    </row>
    <row r="8" spans="1:8" ht="129" customHeight="1" x14ac:dyDescent="0.35">
      <c r="A8" s="1202" t="s">
        <v>2976</v>
      </c>
      <c r="B8" s="1203">
        <v>0</v>
      </c>
      <c r="C8" s="1203">
        <v>0</v>
      </c>
      <c r="D8" s="1203">
        <v>0</v>
      </c>
      <c r="E8" s="1203">
        <v>0</v>
      </c>
      <c r="F8" s="1203">
        <f>F3/2</f>
        <v>9748000</v>
      </c>
      <c r="G8" s="1203">
        <f>G3</f>
        <v>19487650</v>
      </c>
      <c r="H8" s="1204" t="s">
        <v>3082</v>
      </c>
    </row>
    <row r="9" spans="1:8" s="1206" customFormat="1" ht="30.75" customHeight="1" x14ac:dyDescent="0.35">
      <c r="A9" s="1205" t="s">
        <v>2977</v>
      </c>
      <c r="B9" s="1203">
        <v>1553375</v>
      </c>
      <c r="C9" s="1203">
        <v>7000000</v>
      </c>
      <c r="D9" s="1203">
        <v>7000000</v>
      </c>
      <c r="E9" s="1203">
        <f>E3*0.25</f>
        <v>4874000</v>
      </c>
      <c r="F9" s="1201">
        <f>(F6-F11)*0.25</f>
        <v>1827750</v>
      </c>
      <c r="G9" s="1203">
        <v>0</v>
      </c>
      <c r="H9" s="1202">
        <v>0</v>
      </c>
    </row>
    <row r="10" spans="1:8" x14ac:dyDescent="0.35">
      <c r="A10" s="1199" t="s">
        <v>267</v>
      </c>
      <c r="B10" s="1201">
        <f>SUM(B6:B9)</f>
        <v>1553375</v>
      </c>
      <c r="C10" s="1201">
        <f>SUM(C6:C9)</f>
        <v>19500000</v>
      </c>
      <c r="D10" s="1201">
        <f t="shared" ref="D10:G10" si="0">SUM(D6:D9)</f>
        <v>19500000</v>
      </c>
      <c r="E10" s="1201">
        <f t="shared" si="0"/>
        <v>19496000</v>
      </c>
      <c r="F10" s="1201">
        <f t="shared" si="0"/>
        <v>18886750</v>
      </c>
      <c r="G10" s="1201">
        <f t="shared" si="0"/>
        <v>19487650</v>
      </c>
      <c r="H10" s="1199"/>
    </row>
    <row r="11" spans="1:8" x14ac:dyDescent="0.35">
      <c r="A11" s="1198" t="s">
        <v>2978</v>
      </c>
      <c r="B11" s="1201"/>
      <c r="C11" s="1201"/>
      <c r="D11" s="1201"/>
      <c r="E11" s="1201"/>
      <c r="F11" s="1201"/>
      <c r="G11" s="1201"/>
      <c r="H11" s="1199"/>
    </row>
    <row r="12" spans="1:8" x14ac:dyDescent="0.35">
      <c r="A12" s="1199" t="s">
        <v>2974</v>
      </c>
      <c r="B12" s="1244">
        <v>31.679999999999996</v>
      </c>
      <c r="C12" s="1244">
        <f>B12*1.1</f>
        <v>34.847999999999999</v>
      </c>
      <c r="D12" s="1244">
        <f>C12*1.1</f>
        <v>38.332799999999999</v>
      </c>
      <c r="E12" s="1244">
        <f t="shared" ref="E12:G13" si="1">D12*1.1</f>
        <v>42.166080000000001</v>
      </c>
      <c r="F12" s="1244">
        <f t="shared" si="1"/>
        <v>46.382688000000002</v>
      </c>
      <c r="G12" s="1244">
        <f t="shared" si="1"/>
        <v>51.020956800000008</v>
      </c>
      <c r="H12" s="1199"/>
    </row>
    <row r="13" spans="1:8" x14ac:dyDescent="0.35">
      <c r="A13" s="1199" t="s">
        <v>2979</v>
      </c>
      <c r="B13" s="1244">
        <v>2.5319999999999996</v>
      </c>
      <c r="C13" s="1244">
        <f>B13*1.1</f>
        <v>2.7851999999999997</v>
      </c>
      <c r="D13" s="1244">
        <f>C13*1.1</f>
        <v>3.06372</v>
      </c>
      <c r="E13" s="1244">
        <f t="shared" si="1"/>
        <v>3.3700920000000001</v>
      </c>
      <c r="F13" s="1244">
        <f t="shared" si="1"/>
        <v>3.7071012000000003</v>
      </c>
      <c r="G13" s="1244">
        <f t="shared" si="1"/>
        <v>4.0778113200000004</v>
      </c>
      <c r="H13" s="1199"/>
    </row>
    <row r="14" spans="1:8" s="1206" customFormat="1" ht="99" customHeight="1" x14ac:dyDescent="0.25">
      <c r="A14" s="1202" t="s">
        <v>2980</v>
      </c>
      <c r="B14" s="1245">
        <v>69.5</v>
      </c>
      <c r="C14" s="1245">
        <f>B14*1.11</f>
        <v>77.14500000000001</v>
      </c>
      <c r="D14" s="1245">
        <f t="shared" ref="D14:G14" si="2">C14*1.11</f>
        <v>85.630950000000013</v>
      </c>
      <c r="E14" s="1245">
        <f t="shared" si="2"/>
        <v>95.050354500000026</v>
      </c>
      <c r="F14" s="1245">
        <f t="shared" si="2"/>
        <v>105.50589349500004</v>
      </c>
      <c r="G14" s="1245">
        <f t="shared" si="2"/>
        <v>117.11154177945005</v>
      </c>
      <c r="H14" s="1205" t="s">
        <v>3083</v>
      </c>
    </row>
    <row r="15" spans="1:8" s="1206" customFormat="1" ht="31.5" customHeight="1" x14ac:dyDescent="0.25">
      <c r="A15" s="1205" t="s">
        <v>2981</v>
      </c>
      <c r="B15" s="1203">
        <v>2.5319999999999996</v>
      </c>
      <c r="C15" s="1203">
        <f>B15*1.1</f>
        <v>2.7851999999999997</v>
      </c>
      <c r="D15" s="1203">
        <f>C15*1.1</f>
        <v>3.06372</v>
      </c>
      <c r="E15" s="1203">
        <f t="shared" ref="E15:G15" si="3">D15*1.1</f>
        <v>3.3700920000000001</v>
      </c>
      <c r="F15" s="1203">
        <f t="shared" si="3"/>
        <v>3.7071012000000003</v>
      </c>
      <c r="G15" s="1203">
        <f t="shared" si="3"/>
        <v>4.0778113200000004</v>
      </c>
      <c r="H15" s="1202"/>
    </row>
    <row r="16" spans="1:8" x14ac:dyDescent="0.35">
      <c r="A16" s="1199"/>
      <c r="B16" s="1201"/>
      <c r="C16" s="1201"/>
      <c r="D16" s="1201"/>
      <c r="E16" s="1201"/>
      <c r="F16" s="1201"/>
      <c r="G16" s="1201"/>
      <c r="H16" s="1199"/>
    </row>
    <row r="17" spans="1:11" x14ac:dyDescent="0.35">
      <c r="A17" s="1207" t="s">
        <v>2982</v>
      </c>
      <c r="B17" s="1201"/>
      <c r="C17" s="1201"/>
      <c r="D17" s="1201"/>
      <c r="E17" s="1201"/>
      <c r="F17" s="1201"/>
      <c r="G17" s="1201"/>
      <c r="H17" s="1199"/>
    </row>
    <row r="18" spans="1:11" x14ac:dyDescent="0.35">
      <c r="A18" s="1199" t="s">
        <v>2974</v>
      </c>
      <c r="B18" s="1387">
        <f>B6*B12</f>
        <v>0</v>
      </c>
      <c r="C18" s="1387">
        <f t="shared" ref="C18:G21" si="4">C6*C12</f>
        <v>435600000</v>
      </c>
      <c r="D18" s="1387">
        <f t="shared" si="4"/>
        <v>479160000</v>
      </c>
      <c r="E18" s="1387">
        <f>E6*E12</f>
        <v>616552421.75999999</v>
      </c>
      <c r="F18" s="1387">
        <f t="shared" si="4"/>
        <v>339103831.96799999</v>
      </c>
      <c r="G18" s="1387">
        <f t="shared" si="4"/>
        <v>0</v>
      </c>
      <c r="H18" s="1199"/>
      <c r="I18" s="1390">
        <f>E18/10^7</f>
        <v>61.655242176000002</v>
      </c>
      <c r="J18" s="1390">
        <f t="shared" ref="J18:K21" si="5">F18/10^7</f>
        <v>33.910383196799998</v>
      </c>
      <c r="K18" s="1390">
        <f t="shared" si="5"/>
        <v>0</v>
      </c>
    </row>
    <row r="19" spans="1:11" x14ac:dyDescent="0.35">
      <c r="A19" s="1199" t="s">
        <v>2975</v>
      </c>
      <c r="B19" s="1387">
        <f>B7*B13</f>
        <v>0</v>
      </c>
      <c r="C19" s="1387">
        <f>C7*C13</f>
        <v>0</v>
      </c>
      <c r="D19" s="1387">
        <f t="shared" si="4"/>
        <v>0</v>
      </c>
      <c r="E19" s="1387">
        <f t="shared" si="4"/>
        <v>0</v>
      </c>
      <c r="F19" s="1387">
        <f t="shared" si="4"/>
        <v>0</v>
      </c>
      <c r="G19" s="1387">
        <f t="shared" si="4"/>
        <v>0</v>
      </c>
      <c r="H19" s="1199"/>
      <c r="I19" s="1390">
        <f t="shared" ref="I19:I21" si="6">E19/10^7</f>
        <v>0</v>
      </c>
      <c r="J19" s="1390">
        <f t="shared" si="5"/>
        <v>0</v>
      </c>
      <c r="K19" s="1390">
        <f t="shared" si="5"/>
        <v>0</v>
      </c>
    </row>
    <row r="20" spans="1:11" x14ac:dyDescent="0.35">
      <c r="A20" s="1199" t="s">
        <v>2976</v>
      </c>
      <c r="B20" s="1387">
        <f>B8*B14</f>
        <v>0</v>
      </c>
      <c r="C20" s="1387">
        <f t="shared" si="4"/>
        <v>0</v>
      </c>
      <c r="D20" s="1387">
        <f t="shared" si="4"/>
        <v>0</v>
      </c>
      <c r="E20" s="1387">
        <f t="shared" si="4"/>
        <v>0</v>
      </c>
      <c r="F20" s="1387">
        <f t="shared" si="4"/>
        <v>1028471449.7892604</v>
      </c>
      <c r="G20" s="1387">
        <f t="shared" si="4"/>
        <v>2282228737.1582999</v>
      </c>
      <c r="H20" s="1199"/>
      <c r="I20" s="1390">
        <f t="shared" si="6"/>
        <v>0</v>
      </c>
      <c r="J20" s="1390">
        <f t="shared" si="5"/>
        <v>102.84714497892604</v>
      </c>
      <c r="K20" s="1390">
        <f t="shared" si="5"/>
        <v>228.22287371582999</v>
      </c>
    </row>
    <row r="21" spans="1:11" s="1210" customFormat="1" ht="29" x14ac:dyDescent="0.35">
      <c r="A21" s="1208" t="s">
        <v>2977</v>
      </c>
      <c r="B21" s="1388">
        <f>B9*B15</f>
        <v>3933145.4999999995</v>
      </c>
      <c r="C21" s="1388">
        <f t="shared" si="4"/>
        <v>19496399.999999996</v>
      </c>
      <c r="D21" s="1388">
        <f t="shared" si="4"/>
        <v>21446040</v>
      </c>
      <c r="E21" s="1388">
        <f t="shared" si="4"/>
        <v>16425828.408</v>
      </c>
      <c r="F21" s="1388">
        <f t="shared" si="4"/>
        <v>6775654.2183000008</v>
      </c>
      <c r="G21" s="1388">
        <f t="shared" si="4"/>
        <v>0</v>
      </c>
      <c r="H21" s="1209"/>
      <c r="I21" s="1390">
        <f t="shared" si="6"/>
        <v>1.6425828408000001</v>
      </c>
      <c r="J21" s="1390">
        <f t="shared" si="5"/>
        <v>0.67756542183000013</v>
      </c>
      <c r="K21" s="1390">
        <f t="shared" si="5"/>
        <v>0</v>
      </c>
    </row>
    <row r="22" spans="1:11" x14ac:dyDescent="0.35">
      <c r="A22" s="1198" t="s">
        <v>2983</v>
      </c>
      <c r="B22" s="1389">
        <f>SUM(B18:B21)</f>
        <v>3933145.4999999995</v>
      </c>
      <c r="C22" s="1389">
        <f>SUM(C18:C21)</f>
        <v>455096400</v>
      </c>
      <c r="D22" s="1389">
        <f t="shared" ref="D22:G22" si="7">SUM(D18:D21)</f>
        <v>500606040</v>
      </c>
      <c r="E22" s="1389">
        <f t="shared" si="7"/>
        <v>632978250.16799998</v>
      </c>
      <c r="F22" s="1389">
        <f t="shared" si="7"/>
        <v>1374350935.9755604</v>
      </c>
      <c r="G22" s="1389">
        <f t="shared" si="7"/>
        <v>2282228737.1582999</v>
      </c>
      <c r="H22" s="1198"/>
    </row>
    <row r="23" spans="1:11" x14ac:dyDescent="0.35">
      <c r="A23" s="1198" t="s">
        <v>2984</v>
      </c>
      <c r="B23" s="1211">
        <f>B22/10^7</f>
        <v>0.39331454999999993</v>
      </c>
      <c r="C23" s="1211">
        <f t="shared" ref="C23:G23" si="8">C22/10^7</f>
        <v>45.509639999999997</v>
      </c>
      <c r="D23" s="1211">
        <f t="shared" si="8"/>
        <v>50.060603999999998</v>
      </c>
      <c r="E23" s="1211">
        <f t="shared" si="8"/>
        <v>63.297825016799997</v>
      </c>
      <c r="F23" s="1211">
        <f t="shared" si="8"/>
        <v>137.43509359755603</v>
      </c>
      <c r="G23" s="1211">
        <f t="shared" si="8"/>
        <v>228.22287371582999</v>
      </c>
      <c r="H23" s="1199"/>
    </row>
    <row r="24" spans="1:11" x14ac:dyDescent="0.35">
      <c r="A24" s="1212" t="s">
        <v>141</v>
      </c>
      <c r="B24" s="1213">
        <v>0</v>
      </c>
      <c r="C24" s="1213">
        <v>0</v>
      </c>
      <c r="D24" s="1213">
        <v>0</v>
      </c>
      <c r="E24" s="1213">
        <v>-17.153291143200015</v>
      </c>
      <c r="F24" s="1213">
        <v>-68.259196360296045</v>
      </c>
      <c r="G24" s="1213">
        <v>0</v>
      </c>
      <c r="H24" s="1212"/>
    </row>
    <row r="25" spans="1:11" x14ac:dyDescent="0.35">
      <c r="A25" s="1552" t="s">
        <v>2985</v>
      </c>
      <c r="B25" s="1552"/>
      <c r="C25" s="1552"/>
      <c r="D25" s="1552"/>
      <c r="E25" s="1552"/>
      <c r="F25" s="1552"/>
      <c r="G25" s="1552"/>
      <c r="H25" s="1552"/>
    </row>
    <row r="26" spans="1:11" x14ac:dyDescent="0.35">
      <c r="A26" s="1552" t="s">
        <v>2986</v>
      </c>
      <c r="B26" s="1552"/>
      <c r="C26" s="1552"/>
      <c r="D26" s="1552"/>
      <c r="E26" s="1552"/>
      <c r="F26" s="1552"/>
      <c r="G26" s="1552"/>
      <c r="H26" s="1552"/>
    </row>
  </sheetData>
  <mergeCells count="3">
    <mergeCell ref="E1:G1"/>
    <mergeCell ref="A25:H25"/>
    <mergeCell ref="A26:H26"/>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N58"/>
  <sheetViews>
    <sheetView showGridLines="0" view="pageBreakPreview" zoomScale="80" zoomScaleNormal="80" zoomScaleSheetLayoutView="80" workbookViewId="0">
      <selection activeCell="C11" sqref="C11"/>
    </sheetView>
  </sheetViews>
  <sheetFormatPr defaultColWidth="9.453125" defaultRowHeight="14" x14ac:dyDescent="0.25"/>
  <cols>
    <col min="1" max="1" width="6.453125" style="10" customWidth="1"/>
    <col min="2" max="2" width="9.453125" style="10" customWidth="1"/>
    <col min="3" max="3" width="75.54296875" style="10" customWidth="1"/>
    <col min="4" max="4" width="17.54296875" style="10" customWidth="1"/>
    <col min="5" max="5" width="20.54296875" style="10" customWidth="1"/>
    <col min="6" max="14" width="18.54296875" style="10" customWidth="1"/>
    <col min="15" max="16384" width="9.453125" style="10"/>
  </cols>
  <sheetData>
    <row r="2" spans="2:14" ht="17.5" x14ac:dyDescent="0.25">
      <c r="B2" s="1395" t="s">
        <v>705</v>
      </c>
      <c r="C2" s="1396"/>
      <c r="D2" s="1396"/>
      <c r="E2" s="25"/>
      <c r="F2" s="25"/>
      <c r="G2" s="25"/>
      <c r="H2" s="25"/>
      <c r="I2" s="25"/>
      <c r="J2" s="25"/>
      <c r="K2" s="25"/>
      <c r="L2" s="25"/>
      <c r="M2" s="25"/>
      <c r="N2" s="25"/>
    </row>
    <row r="3" spans="2:14" s="1" customFormat="1" ht="15.65" customHeight="1" x14ac:dyDescent="0.3">
      <c r="B3" s="1397" t="s">
        <v>1214</v>
      </c>
      <c r="C3" s="1398"/>
      <c r="D3" s="1398"/>
      <c r="E3" s="25"/>
      <c r="F3" s="25"/>
      <c r="G3" s="25"/>
      <c r="H3" s="25"/>
      <c r="I3" s="25"/>
      <c r="J3" s="25"/>
      <c r="K3" s="25"/>
      <c r="L3" s="25"/>
      <c r="M3" s="25"/>
      <c r="N3" s="25"/>
    </row>
    <row r="4" spans="2:14" ht="15.5" x14ac:dyDescent="0.25">
      <c r="B4" s="26"/>
      <c r="C4" s="26"/>
      <c r="D4" s="26"/>
      <c r="E4" s="26"/>
      <c r="F4" s="26"/>
      <c r="G4" s="26"/>
      <c r="H4" s="26"/>
      <c r="I4" s="26"/>
      <c r="J4" s="26"/>
      <c r="K4" s="26"/>
      <c r="L4" s="26"/>
      <c r="M4" s="26"/>
      <c r="N4" s="26"/>
    </row>
    <row r="5" spans="2:14" ht="15.5" x14ac:dyDescent="0.25">
      <c r="B5" s="26"/>
      <c r="C5" s="26"/>
      <c r="D5" s="26"/>
      <c r="E5" s="26"/>
      <c r="F5" s="26"/>
      <c r="G5" s="26"/>
      <c r="H5" s="26"/>
      <c r="I5" s="26"/>
      <c r="J5" s="26"/>
      <c r="K5" s="26"/>
      <c r="L5" s="26"/>
      <c r="M5" s="27"/>
      <c r="N5" s="26"/>
    </row>
    <row r="6" spans="2:14" x14ac:dyDescent="0.25">
      <c r="B6" s="1399" t="s">
        <v>327</v>
      </c>
      <c r="C6" s="1402" t="s">
        <v>15</v>
      </c>
      <c r="D6" s="1402" t="s">
        <v>5</v>
      </c>
    </row>
    <row r="7" spans="2:14" x14ac:dyDescent="0.25">
      <c r="B7" s="1400"/>
      <c r="C7" s="1402"/>
      <c r="D7" s="1402"/>
    </row>
    <row r="8" spans="2:14" x14ac:dyDescent="0.25">
      <c r="B8" s="1401"/>
      <c r="C8" s="1403"/>
      <c r="D8" s="1403"/>
    </row>
    <row r="9" spans="2:14" ht="15.5" x14ac:dyDescent="0.25">
      <c r="B9" s="91">
        <v>1</v>
      </c>
      <c r="C9" s="90" t="s">
        <v>51</v>
      </c>
      <c r="D9" s="649" t="s">
        <v>13</v>
      </c>
    </row>
    <row r="10" spans="2:14" ht="15.5" x14ac:dyDescent="0.25">
      <c r="B10" s="91">
        <f>B9+1</f>
        <v>2</v>
      </c>
      <c r="C10" s="90" t="s">
        <v>357</v>
      </c>
      <c r="D10" s="649" t="s">
        <v>358</v>
      </c>
    </row>
    <row r="11" spans="2:14" ht="15.5" x14ac:dyDescent="0.25">
      <c r="B11" s="91">
        <f>B10+1</f>
        <v>3</v>
      </c>
      <c r="C11" s="90" t="s">
        <v>376</v>
      </c>
      <c r="D11" s="649" t="s">
        <v>53</v>
      </c>
    </row>
    <row r="12" spans="2:14" ht="15.5" x14ac:dyDescent="0.25">
      <c r="B12" s="91">
        <f>B11+1</f>
        <v>4</v>
      </c>
      <c r="C12" s="90" t="s">
        <v>52</v>
      </c>
      <c r="D12" s="649" t="s">
        <v>54</v>
      </c>
    </row>
    <row r="13" spans="2:14" ht="15.5" x14ac:dyDescent="0.25">
      <c r="B13" s="91">
        <f>B12+1</f>
        <v>5</v>
      </c>
      <c r="C13" s="90" t="s">
        <v>298</v>
      </c>
      <c r="D13" s="649" t="s">
        <v>56</v>
      </c>
    </row>
    <row r="14" spans="2:14" ht="15.5" x14ac:dyDescent="0.25">
      <c r="B14" s="91">
        <f t="shared" ref="B14:B41" si="0">B13+1</f>
        <v>6</v>
      </c>
      <c r="C14" s="90" t="s">
        <v>55</v>
      </c>
      <c r="D14" s="649" t="s">
        <v>58</v>
      </c>
    </row>
    <row r="15" spans="2:14" ht="15.5" x14ac:dyDescent="0.25">
      <c r="B15" s="91">
        <f t="shared" si="0"/>
        <v>7</v>
      </c>
      <c r="C15" s="90" t="s">
        <v>57</v>
      </c>
      <c r="D15" s="649" t="s">
        <v>60</v>
      </c>
    </row>
    <row r="16" spans="2:14" ht="15.5" x14ac:dyDescent="0.25">
      <c r="B16" s="91">
        <f t="shared" si="0"/>
        <v>8</v>
      </c>
      <c r="C16" s="92" t="s">
        <v>343</v>
      </c>
      <c r="D16" s="649" t="s">
        <v>62</v>
      </c>
    </row>
    <row r="17" spans="2:4" ht="15.5" x14ac:dyDescent="0.25">
      <c r="B17" s="91">
        <f t="shared" si="0"/>
        <v>9</v>
      </c>
      <c r="C17" s="92" t="s">
        <v>59</v>
      </c>
      <c r="D17" s="649" t="s">
        <v>342</v>
      </c>
    </row>
    <row r="18" spans="2:4" ht="15.5" x14ac:dyDescent="0.25">
      <c r="B18" s="91">
        <f t="shared" si="0"/>
        <v>10</v>
      </c>
      <c r="C18" s="90" t="s">
        <v>61</v>
      </c>
      <c r="D18" s="649" t="s">
        <v>375</v>
      </c>
    </row>
    <row r="19" spans="2:4" ht="15.5" x14ac:dyDescent="0.25">
      <c r="B19" s="91">
        <f t="shared" si="0"/>
        <v>11</v>
      </c>
      <c r="C19" s="92" t="s">
        <v>63</v>
      </c>
      <c r="D19" s="649" t="s">
        <v>38</v>
      </c>
    </row>
    <row r="20" spans="2:4" ht="15.5" x14ac:dyDescent="0.25">
      <c r="B20" s="91">
        <f t="shared" si="0"/>
        <v>12</v>
      </c>
      <c r="C20" s="92" t="s">
        <v>604</v>
      </c>
      <c r="D20" s="649" t="s">
        <v>64</v>
      </c>
    </row>
    <row r="21" spans="2:4" ht="15.5" x14ac:dyDescent="0.25">
      <c r="B21" s="91">
        <f t="shared" si="0"/>
        <v>13</v>
      </c>
      <c r="C21" s="92" t="s">
        <v>174</v>
      </c>
      <c r="D21" s="649" t="s">
        <v>65</v>
      </c>
    </row>
    <row r="22" spans="2:4" ht="15.5" x14ac:dyDescent="0.25">
      <c r="B22" s="91">
        <f t="shared" si="0"/>
        <v>14</v>
      </c>
      <c r="C22" s="92" t="s">
        <v>602</v>
      </c>
      <c r="D22" s="649" t="s">
        <v>66</v>
      </c>
    </row>
    <row r="23" spans="2:4" ht="15.5" x14ac:dyDescent="0.25">
      <c r="B23" s="91">
        <f t="shared" si="0"/>
        <v>15</v>
      </c>
      <c r="C23" s="90" t="s">
        <v>603</v>
      </c>
      <c r="D23" s="649" t="s">
        <v>67</v>
      </c>
    </row>
    <row r="24" spans="2:4" ht="15.5" x14ac:dyDescent="0.25">
      <c r="B24" s="91">
        <f t="shared" si="0"/>
        <v>16</v>
      </c>
      <c r="C24" s="90" t="s">
        <v>457</v>
      </c>
      <c r="D24" s="649" t="s">
        <v>39</v>
      </c>
    </row>
    <row r="25" spans="2:4" ht="15.5" x14ac:dyDescent="0.25">
      <c r="B25" s="91">
        <f t="shared" si="0"/>
        <v>17</v>
      </c>
      <c r="C25" s="90" t="s">
        <v>14</v>
      </c>
      <c r="D25" s="649" t="s">
        <v>381</v>
      </c>
    </row>
    <row r="26" spans="2:4" ht="15.5" x14ac:dyDescent="0.25">
      <c r="B26" s="91">
        <f t="shared" si="0"/>
        <v>18</v>
      </c>
      <c r="C26" s="90" t="s">
        <v>299</v>
      </c>
      <c r="D26" s="649" t="s">
        <v>382</v>
      </c>
    </row>
    <row r="27" spans="2:4" ht="15.5" x14ac:dyDescent="0.25">
      <c r="B27" s="91">
        <f t="shared" si="0"/>
        <v>19</v>
      </c>
      <c r="C27" s="90" t="s">
        <v>46</v>
      </c>
      <c r="D27" s="649" t="s">
        <v>458</v>
      </c>
    </row>
    <row r="28" spans="2:4" ht="15.5" x14ac:dyDescent="0.25">
      <c r="B28" s="91">
        <f t="shared" si="0"/>
        <v>20</v>
      </c>
      <c r="C28" s="90" t="s">
        <v>1088</v>
      </c>
      <c r="D28" s="649" t="s">
        <v>68</v>
      </c>
    </row>
    <row r="29" spans="2:4" ht="46.5" x14ac:dyDescent="0.25">
      <c r="B29" s="91">
        <f t="shared" si="0"/>
        <v>21</v>
      </c>
      <c r="C29" s="286" t="s">
        <v>1089</v>
      </c>
      <c r="D29" s="649" t="s">
        <v>1090</v>
      </c>
    </row>
    <row r="30" spans="2:4" ht="15.5" x14ac:dyDescent="0.25">
      <c r="B30" s="91">
        <f t="shared" si="0"/>
        <v>22</v>
      </c>
      <c r="C30" s="90" t="s">
        <v>1091</v>
      </c>
      <c r="D30" s="649" t="s">
        <v>1092</v>
      </c>
    </row>
    <row r="31" spans="2:4" ht="15.5" x14ac:dyDescent="0.25">
      <c r="B31" s="91">
        <f t="shared" si="0"/>
        <v>23</v>
      </c>
      <c r="C31" s="92" t="s">
        <v>31</v>
      </c>
      <c r="D31" s="649" t="s">
        <v>69</v>
      </c>
    </row>
    <row r="32" spans="2:4" ht="15.5" x14ac:dyDescent="0.25">
      <c r="B32" s="91">
        <f t="shared" si="0"/>
        <v>24</v>
      </c>
      <c r="C32" s="90" t="s">
        <v>40</v>
      </c>
      <c r="D32" s="649" t="s">
        <v>71</v>
      </c>
    </row>
    <row r="33" spans="2:4" ht="15.5" x14ac:dyDescent="0.25">
      <c r="B33" s="91">
        <f t="shared" si="0"/>
        <v>25</v>
      </c>
      <c r="C33" s="90" t="s">
        <v>70</v>
      </c>
      <c r="D33" s="649" t="s">
        <v>72</v>
      </c>
    </row>
    <row r="34" spans="2:4" ht="15.5" x14ac:dyDescent="0.25">
      <c r="B34" s="91">
        <f t="shared" si="0"/>
        <v>26</v>
      </c>
      <c r="C34" s="92" t="s">
        <v>626</v>
      </c>
      <c r="D34" s="649" t="s">
        <v>73</v>
      </c>
    </row>
    <row r="35" spans="2:4" ht="15.5" x14ac:dyDescent="0.25">
      <c r="B35" s="91">
        <f t="shared" si="0"/>
        <v>27</v>
      </c>
      <c r="C35" s="161" t="s">
        <v>421</v>
      </c>
      <c r="D35" s="649" t="s">
        <v>300</v>
      </c>
    </row>
    <row r="36" spans="2:4" ht="15.5" x14ac:dyDescent="0.25">
      <c r="B36" s="91">
        <f t="shared" si="0"/>
        <v>28</v>
      </c>
      <c r="C36" s="92" t="s">
        <v>302</v>
      </c>
      <c r="D36" s="649" t="s">
        <v>301</v>
      </c>
    </row>
    <row r="37" spans="2:4" ht="15.5" x14ac:dyDescent="0.25">
      <c r="B37" s="91">
        <f t="shared" si="0"/>
        <v>29</v>
      </c>
      <c r="C37" s="90" t="s">
        <v>425</v>
      </c>
      <c r="D37" s="649" t="s">
        <v>420</v>
      </c>
    </row>
    <row r="38" spans="2:4" ht="15.5" x14ac:dyDescent="0.25">
      <c r="B38" s="91">
        <f t="shared" si="0"/>
        <v>30</v>
      </c>
      <c r="C38" s="90" t="s">
        <v>311</v>
      </c>
      <c r="D38" s="649" t="s">
        <v>74</v>
      </c>
    </row>
    <row r="39" spans="2:4" ht="15.5" x14ac:dyDescent="0.25">
      <c r="B39" s="91">
        <f t="shared" si="0"/>
        <v>31</v>
      </c>
      <c r="C39" s="90" t="s">
        <v>303</v>
      </c>
      <c r="D39" s="649" t="s">
        <v>75</v>
      </c>
    </row>
    <row r="40" spans="2:4" ht="15.5" x14ac:dyDescent="0.25">
      <c r="B40" s="91">
        <f t="shared" si="0"/>
        <v>32</v>
      </c>
      <c r="C40" s="90" t="s">
        <v>86</v>
      </c>
      <c r="D40" s="649" t="s">
        <v>312</v>
      </c>
    </row>
    <row r="41" spans="2:4" ht="15.5" x14ac:dyDescent="0.25">
      <c r="B41" s="91">
        <f t="shared" si="0"/>
        <v>33</v>
      </c>
      <c r="C41" s="90" t="s">
        <v>304</v>
      </c>
      <c r="D41" s="649" t="s">
        <v>336</v>
      </c>
    </row>
    <row r="42" spans="2:4" ht="15.5" x14ac:dyDescent="0.25">
      <c r="B42" s="650"/>
      <c r="C42" s="651" t="s">
        <v>1093</v>
      </c>
      <c r="D42" s="652"/>
    </row>
    <row r="43" spans="2:4" ht="15.5" x14ac:dyDescent="0.25">
      <c r="B43" s="91">
        <f>B41+1</f>
        <v>34</v>
      </c>
      <c r="C43" s="90" t="s">
        <v>1094</v>
      </c>
      <c r="D43" s="649" t="s">
        <v>1095</v>
      </c>
    </row>
    <row r="44" spans="2:4" ht="15.5" x14ac:dyDescent="0.25">
      <c r="B44" s="91">
        <f>B43+1</f>
        <v>35</v>
      </c>
      <c r="C44" s="90" t="s">
        <v>1096</v>
      </c>
      <c r="D44" s="649" t="s">
        <v>1097</v>
      </c>
    </row>
    <row r="45" spans="2:4" ht="15.5" x14ac:dyDescent="0.25">
      <c r="B45" s="91">
        <f>B44+1</f>
        <v>36</v>
      </c>
      <c r="C45" s="90" t="s">
        <v>1098</v>
      </c>
      <c r="D45" s="649" t="s">
        <v>1099</v>
      </c>
    </row>
    <row r="46" spans="2:4" ht="15.5" x14ac:dyDescent="0.25">
      <c r="B46" s="91">
        <f t="shared" ref="B46:B55" si="1">B45+1</f>
        <v>37</v>
      </c>
      <c r="C46" s="90" t="s">
        <v>1100</v>
      </c>
      <c r="D46" s="649" t="s">
        <v>1101</v>
      </c>
    </row>
    <row r="47" spans="2:4" ht="15.5" x14ac:dyDescent="0.25">
      <c r="B47" s="91">
        <f t="shared" si="1"/>
        <v>38</v>
      </c>
      <c r="C47" s="90" t="s">
        <v>1102</v>
      </c>
      <c r="D47" s="649" t="s">
        <v>1103</v>
      </c>
    </row>
    <row r="48" spans="2:4" ht="15.5" x14ac:dyDescent="0.25">
      <c r="B48" s="91">
        <f t="shared" si="1"/>
        <v>39</v>
      </c>
      <c r="C48" s="90" t="s">
        <v>1104</v>
      </c>
      <c r="D48" s="649" t="s">
        <v>1105</v>
      </c>
    </row>
    <row r="49" spans="2:4" ht="15.5" x14ac:dyDescent="0.25">
      <c r="B49" s="91">
        <f t="shared" si="1"/>
        <v>40</v>
      </c>
      <c r="C49" s="90" t="s">
        <v>1106</v>
      </c>
      <c r="D49" s="649" t="s">
        <v>1107</v>
      </c>
    </row>
    <row r="50" spans="2:4" ht="15.5" x14ac:dyDescent="0.25">
      <c r="B50" s="91">
        <f t="shared" si="1"/>
        <v>41</v>
      </c>
      <c r="C50" s="90" t="s">
        <v>1108</v>
      </c>
      <c r="D50" s="649" t="s">
        <v>1109</v>
      </c>
    </row>
    <row r="51" spans="2:4" ht="15.5" x14ac:dyDescent="0.25">
      <c r="B51" s="91">
        <f t="shared" si="1"/>
        <v>42</v>
      </c>
      <c r="C51" s="90" t="s">
        <v>1110</v>
      </c>
      <c r="D51" s="649" t="s">
        <v>1111</v>
      </c>
    </row>
    <row r="52" spans="2:4" ht="15.5" x14ac:dyDescent="0.25">
      <c r="B52" s="91">
        <f t="shared" si="1"/>
        <v>43</v>
      </c>
      <c r="C52" s="197" t="s">
        <v>1112</v>
      </c>
      <c r="D52" s="198" t="s">
        <v>1113</v>
      </c>
    </row>
    <row r="53" spans="2:4" ht="15.5" x14ac:dyDescent="0.25">
      <c r="B53" s="91">
        <f t="shared" si="1"/>
        <v>44</v>
      </c>
      <c r="C53" s="197" t="s">
        <v>1114</v>
      </c>
      <c r="D53" s="198" t="s">
        <v>1115</v>
      </c>
    </row>
    <row r="54" spans="2:4" ht="15.5" x14ac:dyDescent="0.25">
      <c r="B54" s="91">
        <f t="shared" si="1"/>
        <v>45</v>
      </c>
      <c r="C54" s="197" t="s">
        <v>523</v>
      </c>
      <c r="D54" s="198" t="s">
        <v>524</v>
      </c>
    </row>
    <row r="55" spans="2:4" ht="15.5" x14ac:dyDescent="0.25">
      <c r="B55" s="653">
        <f t="shared" si="1"/>
        <v>46</v>
      </c>
      <c r="C55" s="654" t="s">
        <v>585</v>
      </c>
      <c r="D55" s="655" t="s">
        <v>1116</v>
      </c>
    </row>
    <row r="56" spans="2:4" ht="15.5" x14ac:dyDescent="0.25">
      <c r="B56" s="91">
        <f>B55+1</f>
        <v>47</v>
      </c>
      <c r="C56" s="197" t="s">
        <v>1117</v>
      </c>
      <c r="D56" s="198" t="s">
        <v>1118</v>
      </c>
    </row>
    <row r="57" spans="2:4" x14ac:dyDescent="0.25">
      <c r="B57" s="73">
        <v>48</v>
      </c>
      <c r="C57" s="19" t="s">
        <v>1119</v>
      </c>
      <c r="D57" s="19" t="s">
        <v>1120</v>
      </c>
    </row>
    <row r="58" spans="2:4" x14ac:dyDescent="0.25">
      <c r="B58" s="199" t="s">
        <v>1121</v>
      </c>
    </row>
  </sheetData>
  <mergeCells count="5">
    <mergeCell ref="B2:D2"/>
    <mergeCell ref="B3:D3"/>
    <mergeCell ref="B6:B8"/>
    <mergeCell ref="C6:C8"/>
    <mergeCell ref="D6:D8"/>
  </mergeCells>
  <phoneticPr fontId="28" type="noConversion"/>
  <pageMargins left="0.55000000000000004" right="0.23622047244094491" top="1.1023622047244095" bottom="0.98425196850393704" header="0.23622047244094491" footer="0.23622047244094491"/>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T19"/>
  <sheetViews>
    <sheetView showGridLines="0" view="pageBreakPreview" topLeftCell="A2" zoomScale="113" zoomScaleSheetLayoutView="90" workbookViewId="0">
      <selection activeCell="E16" sqref="E16"/>
    </sheetView>
  </sheetViews>
  <sheetFormatPr defaultColWidth="9.453125" defaultRowHeight="14" x14ac:dyDescent="0.3"/>
  <cols>
    <col min="1" max="1" width="4.453125" style="1" customWidth="1"/>
    <col min="2" max="2" width="6.453125" style="1" customWidth="1"/>
    <col min="3" max="3" width="30.1796875" style="1" customWidth="1"/>
    <col min="4" max="4" width="13.54296875" style="1" bestFit="1" customWidth="1"/>
    <col min="5" max="5" width="12.54296875" style="1" bestFit="1" customWidth="1"/>
    <col min="6" max="6" width="13.453125" style="1" bestFit="1" customWidth="1"/>
    <col min="7" max="9" width="13.453125" style="1" customWidth="1"/>
    <col min="10" max="10" width="13.54296875" style="1" bestFit="1" customWidth="1"/>
    <col min="11" max="11" width="12.54296875" style="1" customWidth="1"/>
    <col min="12" max="12" width="11.54296875" style="1" bestFit="1" customWidth="1"/>
    <col min="13" max="13" width="13.54296875" style="1" bestFit="1" customWidth="1"/>
    <col min="14" max="14" width="20.453125" style="1" bestFit="1" customWidth="1"/>
    <col min="15" max="17" width="11.54296875" style="1" bestFit="1" customWidth="1"/>
    <col min="18" max="18" width="11.54296875" style="1" customWidth="1"/>
    <col min="19" max="20" width="11.54296875" style="1" bestFit="1" customWidth="1"/>
    <col min="21" max="16384" width="9.453125" style="1"/>
  </cols>
  <sheetData>
    <row r="1" spans="2:20" x14ac:dyDescent="0.3">
      <c r="B1" s="42"/>
    </row>
    <row r="2" spans="2:20" x14ac:dyDescent="0.3">
      <c r="B2" s="1406" t="str">
        <f>Index!$B$2</f>
        <v xml:space="preserve">      Maharashtra State Power Generation Company Ltd.</v>
      </c>
      <c r="C2" s="1406"/>
      <c r="D2" s="1406"/>
      <c r="E2" s="1406"/>
      <c r="F2" s="1406"/>
      <c r="G2" s="1406"/>
      <c r="H2" s="1406"/>
      <c r="I2" s="1406"/>
      <c r="J2" s="1406"/>
      <c r="K2" s="1406"/>
      <c r="L2" s="1406"/>
      <c r="M2" s="88"/>
      <c r="N2" s="88"/>
      <c r="O2" s="88"/>
    </row>
    <row r="3" spans="2:20" x14ac:dyDescent="0.3">
      <c r="B3" s="1406" t="str">
        <f>Index!$B$3</f>
        <v>MYT Petition Formats for Bhusawal Unit 6</v>
      </c>
      <c r="C3" s="1406"/>
      <c r="D3" s="1406"/>
      <c r="E3" s="1406"/>
      <c r="F3" s="1406"/>
      <c r="G3" s="1406"/>
      <c r="H3" s="1406"/>
      <c r="I3" s="1406"/>
      <c r="J3" s="1406"/>
      <c r="K3" s="1406"/>
      <c r="L3" s="1406"/>
      <c r="M3" s="88"/>
      <c r="N3" s="88"/>
      <c r="O3" s="88"/>
    </row>
    <row r="4" spans="2:20" x14ac:dyDescent="0.3">
      <c r="B4" s="1406" t="s">
        <v>455</v>
      </c>
      <c r="C4" s="1406"/>
      <c r="D4" s="1406"/>
      <c r="E4" s="1406"/>
      <c r="F4" s="1406"/>
      <c r="G4" s="1406"/>
      <c r="H4" s="1406"/>
      <c r="I4" s="1406"/>
      <c r="J4" s="1406"/>
      <c r="K4" s="1406"/>
      <c r="L4" s="1406"/>
      <c r="M4" s="88"/>
      <c r="N4" s="88"/>
      <c r="O4" s="88"/>
    </row>
    <row r="5" spans="2:20" x14ac:dyDescent="0.3">
      <c r="B5" s="63"/>
      <c r="C5" s="96"/>
      <c r="D5" s="96"/>
      <c r="E5" s="96"/>
      <c r="F5" s="96"/>
      <c r="G5" s="96"/>
      <c r="H5" s="96"/>
      <c r="I5" s="96"/>
      <c r="J5" s="96"/>
      <c r="K5" s="96"/>
      <c r="L5" s="96"/>
      <c r="M5" s="96"/>
      <c r="N5" s="96"/>
      <c r="O5" s="96"/>
    </row>
    <row r="6" spans="2:20" x14ac:dyDescent="0.3">
      <c r="T6" s="16" t="s">
        <v>10</v>
      </c>
    </row>
    <row r="7" spans="2:20" s="10" customFormat="1" ht="15" customHeight="1" x14ac:dyDescent="0.25">
      <c r="B7" s="1408" t="s">
        <v>327</v>
      </c>
      <c r="C7" s="1411" t="s">
        <v>35</v>
      </c>
      <c r="D7" s="1546" t="s">
        <v>477</v>
      </c>
      <c r="E7" s="1548"/>
      <c r="F7" s="1549"/>
      <c r="G7" s="1429" t="s">
        <v>848</v>
      </c>
      <c r="H7" s="1429"/>
      <c r="I7" s="1429"/>
      <c r="J7" s="1429"/>
      <c r="K7" s="1429"/>
      <c r="L7" s="1404" t="s">
        <v>25</v>
      </c>
    </row>
    <row r="8" spans="2:20" s="10" customFormat="1" ht="28" x14ac:dyDescent="0.25">
      <c r="B8" s="1409"/>
      <c r="C8" s="1411"/>
      <c r="D8" s="202" t="s">
        <v>1216</v>
      </c>
      <c r="E8" s="202" t="s">
        <v>77</v>
      </c>
      <c r="F8" s="202" t="s">
        <v>427</v>
      </c>
      <c r="G8" s="456" t="s">
        <v>849</v>
      </c>
      <c r="H8" s="456" t="s">
        <v>850</v>
      </c>
      <c r="I8" s="456" t="s">
        <v>851</v>
      </c>
      <c r="J8" s="456" t="s">
        <v>852</v>
      </c>
      <c r="K8" s="456" t="s">
        <v>853</v>
      </c>
      <c r="L8" s="1404"/>
    </row>
    <row r="9" spans="2:20" s="10" customFormat="1" x14ac:dyDescent="0.25">
      <c r="B9" s="1410"/>
      <c r="C9" s="1412"/>
      <c r="D9" s="202" t="s">
        <v>78</v>
      </c>
      <c r="E9" s="202" t="s">
        <v>79</v>
      </c>
      <c r="F9" s="202" t="s">
        <v>627</v>
      </c>
      <c r="G9" s="97" t="s">
        <v>20</v>
      </c>
      <c r="H9" s="97" t="s">
        <v>20</v>
      </c>
      <c r="I9" s="97" t="s">
        <v>20</v>
      </c>
      <c r="J9" s="97" t="s">
        <v>20</v>
      </c>
      <c r="K9" s="97" t="s">
        <v>20</v>
      </c>
      <c r="L9" s="1489"/>
    </row>
    <row r="10" spans="2:20" s="67" customFormat="1" x14ac:dyDescent="0.25">
      <c r="B10" s="121">
        <v>1</v>
      </c>
      <c r="C10" s="116" t="s">
        <v>21</v>
      </c>
      <c r="D10" s="209"/>
      <c r="E10" s="209">
        <f>F4.2!O91</f>
        <v>0</v>
      </c>
      <c r="F10" s="209"/>
      <c r="G10" s="209">
        <f>F4.2!P91</f>
        <v>0</v>
      </c>
      <c r="H10" s="209">
        <f>F4.2!Q91</f>
        <v>0</v>
      </c>
      <c r="I10" s="209">
        <f>F4.2!R91</f>
        <v>8.129999999999999</v>
      </c>
      <c r="J10" s="209">
        <f>F4.2!S91</f>
        <v>163.69999999999999</v>
      </c>
      <c r="K10" s="209">
        <f>F4.2!T91</f>
        <v>223.15</v>
      </c>
      <c r="L10" s="219"/>
      <c r="M10" s="220"/>
    </row>
    <row r="11" spans="2:20" s="67" customFormat="1" x14ac:dyDescent="0.25">
      <c r="B11" s="121"/>
      <c r="C11" s="116"/>
      <c r="D11" s="209"/>
      <c r="E11" s="209"/>
      <c r="F11" s="209"/>
      <c r="G11" s="219"/>
      <c r="H11" s="219"/>
      <c r="I11" s="219"/>
      <c r="J11" s="219"/>
      <c r="K11" s="219"/>
      <c r="L11" s="219"/>
      <c r="M11" s="220"/>
    </row>
    <row r="12" spans="2:20" s="67" customFormat="1" x14ac:dyDescent="0.25">
      <c r="B12" s="121">
        <f>B10+1</f>
        <v>2</v>
      </c>
      <c r="C12" s="68" t="s">
        <v>18</v>
      </c>
      <c r="D12" s="221">
        <v>4973.3900000000003</v>
      </c>
      <c r="E12" s="221">
        <f>F14.2!E15</f>
        <v>4690.3526113346534</v>
      </c>
      <c r="F12" s="218">
        <f>E12-D12</f>
        <v>-283.03738866534695</v>
      </c>
      <c r="G12" s="221"/>
      <c r="H12" s="221"/>
      <c r="I12" s="221"/>
      <c r="J12" s="221"/>
      <c r="K12" s="221"/>
      <c r="L12" s="221"/>
      <c r="M12" s="220"/>
    </row>
    <row r="13" spans="2:20" s="67" customFormat="1" x14ac:dyDescent="0.25">
      <c r="B13" s="121">
        <f>B12+1</f>
        <v>3</v>
      </c>
      <c r="C13" s="68" t="s">
        <v>399</v>
      </c>
      <c r="D13" s="221"/>
      <c r="E13" s="221">
        <f>F14.2!$E$18</f>
        <v>1122.0283103034301</v>
      </c>
      <c r="F13" s="218">
        <f>E13-D13</f>
        <v>1122.0283103034301</v>
      </c>
      <c r="G13" s="221"/>
      <c r="H13" s="221"/>
      <c r="I13" s="221"/>
      <c r="J13" s="221"/>
      <c r="K13" s="221"/>
      <c r="L13" s="221"/>
      <c r="M13" s="220"/>
    </row>
    <row r="14" spans="2:20" s="67" customFormat="1" x14ac:dyDescent="0.25">
      <c r="B14" s="121">
        <v>4</v>
      </c>
      <c r="C14" s="68" t="s">
        <v>2993</v>
      </c>
      <c r="D14" s="221"/>
      <c r="E14" s="221">
        <f>F14.7!$E$25</f>
        <v>23.679915053000002</v>
      </c>
      <c r="F14" s="218"/>
      <c r="G14" s="221">
        <f>F14.7!$G$25</f>
        <v>238.01730123408606</v>
      </c>
      <c r="H14" s="221">
        <f>F14.7!$I$25</f>
        <v>731.16501526337015</v>
      </c>
      <c r="I14" s="221">
        <f>F14.7!$K$25</f>
        <v>137.01</v>
      </c>
      <c r="J14" s="221"/>
      <c r="K14" s="221"/>
      <c r="L14" s="221"/>
      <c r="M14" s="220"/>
    </row>
    <row r="15" spans="2:20" s="67" customFormat="1" x14ac:dyDescent="0.25">
      <c r="B15" s="121">
        <v>4</v>
      </c>
      <c r="C15" s="68" t="s">
        <v>2994</v>
      </c>
      <c r="D15" s="221"/>
      <c r="E15" s="221"/>
      <c r="F15" s="218"/>
      <c r="G15" s="221"/>
      <c r="H15" s="221"/>
      <c r="I15" s="221"/>
      <c r="J15" s="221">
        <f>F14.7!$M$29</f>
        <v>18.75</v>
      </c>
      <c r="K15" s="221">
        <f>F14.7!$O$29</f>
        <v>25</v>
      </c>
      <c r="L15" s="221"/>
      <c r="M15" s="220"/>
    </row>
    <row r="16" spans="2:20" s="51" customFormat="1" x14ac:dyDescent="0.25">
      <c r="B16" s="121">
        <v>4</v>
      </c>
      <c r="C16" s="134" t="s">
        <v>456</v>
      </c>
      <c r="D16" s="1003">
        <f>SUM(D12:D14)</f>
        <v>4973.3900000000003</v>
      </c>
      <c r="E16" s="1003">
        <f t="shared" ref="E16:L16" si="0">SUM(E12:E14)</f>
        <v>5836.0608366910828</v>
      </c>
      <c r="F16" s="1003">
        <f t="shared" si="0"/>
        <v>838.99092163808314</v>
      </c>
      <c r="G16" s="1003">
        <f t="shared" ref="G16:H16" si="1">SUM(G12:G15)</f>
        <v>238.01730123408606</v>
      </c>
      <c r="H16" s="1003">
        <f t="shared" si="1"/>
        <v>731.16501526337015</v>
      </c>
      <c r="I16" s="1003">
        <f>SUM(I12:I15)</f>
        <v>137.01</v>
      </c>
      <c r="J16" s="1003">
        <f t="shared" ref="J16" si="2">SUM(J12:J15)</f>
        <v>18.75</v>
      </c>
      <c r="K16" s="1003">
        <f t="shared" ref="K16" si="3">SUM(K12:K15)</f>
        <v>25</v>
      </c>
      <c r="L16" s="1003">
        <f t="shared" si="0"/>
        <v>0</v>
      </c>
      <c r="M16" s="465"/>
    </row>
    <row r="17" spans="2:11" s="51" customFormat="1" x14ac:dyDescent="0.25">
      <c r="B17" s="340"/>
      <c r="C17" s="760"/>
      <c r="D17" s="760"/>
      <c r="E17" s="761">
        <f>SUM(E12:E13)-F14.2!E22</f>
        <v>0</v>
      </c>
      <c r="F17" s="760"/>
      <c r="G17" s="762">
        <f>'F5 (T)'!$J$31-G16</f>
        <v>0</v>
      </c>
      <c r="H17" s="763">
        <f>'F5 (T)'!$E$57-H16</f>
        <v>0</v>
      </c>
      <c r="I17" s="763">
        <f>'F5 (T)'!$J$57-I16</f>
        <v>0</v>
      </c>
      <c r="J17" s="763">
        <f>'F5 (T)'!$O$57-J16</f>
        <v>0</v>
      </c>
      <c r="K17" s="763">
        <f>'F5 (T)'!$T$57-K16</f>
        <v>0</v>
      </c>
    </row>
    <row r="18" spans="2:11" x14ac:dyDescent="0.3">
      <c r="B18" s="10" t="s">
        <v>854</v>
      </c>
      <c r="E18" s="406">
        <v>-2.0463630789890885E-12</v>
      </c>
    </row>
    <row r="19" spans="2:11" x14ac:dyDescent="0.3">
      <c r="B19" s="10"/>
      <c r="C19" s="1" t="s">
        <v>592</v>
      </c>
    </row>
  </sheetData>
  <mergeCells count="8">
    <mergeCell ref="B2:L2"/>
    <mergeCell ref="B3:L3"/>
    <mergeCell ref="B4:L4"/>
    <mergeCell ref="L7:L9"/>
    <mergeCell ref="B7:B9"/>
    <mergeCell ref="C7:C9"/>
    <mergeCell ref="D7:F7"/>
    <mergeCell ref="G7:K7"/>
  </mergeCells>
  <pageMargins left="1.02" right="0.25" top="1" bottom="1" header="0.25" footer="0.25"/>
  <pageSetup paperSize="9" scale="51" orientation="landscape" r:id="rId1"/>
  <headerFooter alignWithMargins="0">
    <oddHeader>&amp;F</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S68"/>
  <sheetViews>
    <sheetView view="pageBreakPreview" zoomScale="44" zoomScaleNormal="70" zoomScaleSheetLayoutView="70" workbookViewId="0">
      <pane xSplit="2" ySplit="6" topLeftCell="C7" activePane="bottomRight" state="frozen"/>
      <selection activeCell="A453" sqref="A453:XFD481"/>
      <selection pane="topRight" activeCell="A453" sqref="A453:XFD481"/>
      <selection pane="bottomLeft" activeCell="A453" sqref="A453:XFD481"/>
      <selection pane="bottomRight" activeCell="B7" sqref="B7"/>
    </sheetView>
  </sheetViews>
  <sheetFormatPr defaultColWidth="9.1796875" defaultRowHeight="14" x14ac:dyDescent="0.3"/>
  <cols>
    <col min="1" max="1" width="8.1796875" style="769" customWidth="1"/>
    <col min="2" max="2" width="69.453125" style="770" customWidth="1"/>
    <col min="3" max="3" width="15.81640625" style="770" customWidth="1"/>
    <col min="4" max="4" width="37.453125" style="770" customWidth="1"/>
    <col min="5" max="5" width="15.81640625" style="770" customWidth="1"/>
    <col min="6" max="6" width="20.1796875" style="1" bestFit="1" customWidth="1"/>
    <col min="7" max="7" width="15.54296875" style="1" customWidth="1"/>
    <col min="8" max="8" width="14.1796875" style="1" customWidth="1"/>
    <col min="9" max="13" width="15.453125" style="1" customWidth="1"/>
    <col min="14" max="14" width="18.81640625" style="1" customWidth="1"/>
    <col min="15" max="15" width="22.81640625" style="1" bestFit="1" customWidth="1"/>
    <col min="16" max="16" width="19" style="1" bestFit="1" customWidth="1"/>
    <col min="17" max="18" width="16.453125" style="1" customWidth="1"/>
    <col min="19" max="19" width="20.81640625" style="770" bestFit="1" customWidth="1"/>
    <col min="20" max="20" width="12.81640625" style="1" customWidth="1"/>
    <col min="21" max="21" width="14" style="1" customWidth="1"/>
    <col min="22" max="24" width="12.81640625" style="1" customWidth="1"/>
    <col min="25" max="25" width="15.1796875" style="1" customWidth="1"/>
    <col min="26" max="26" width="12.54296875" style="1" customWidth="1"/>
    <col min="27" max="27" width="13.453125" style="1" customWidth="1"/>
    <col min="28" max="28" width="13.54296875" style="1" customWidth="1"/>
    <col min="29" max="16384" width="9.1796875" style="1"/>
  </cols>
  <sheetData>
    <row r="1" spans="1:45" x14ac:dyDescent="0.3">
      <c r="B1" s="1406" t="str">
        <f>Index!$B$2</f>
        <v xml:space="preserve">      Maharashtra State Power Generation Company Ltd.</v>
      </c>
      <c r="C1" s="1406"/>
      <c r="D1" s="1406"/>
      <c r="E1" s="1406"/>
      <c r="F1" s="1406"/>
      <c r="G1" s="1406"/>
      <c r="H1" s="1406"/>
      <c r="I1" s="1406"/>
      <c r="J1" s="1406"/>
      <c r="K1" s="1406"/>
      <c r="L1" s="1406"/>
    </row>
    <row r="2" spans="1:45" x14ac:dyDescent="0.3">
      <c r="B2" s="1406" t="str">
        <f>Index!$B$3</f>
        <v>MYT Petition Formats for Bhusawal Unit 6</v>
      </c>
      <c r="C2" s="1406"/>
      <c r="D2" s="1406"/>
      <c r="E2" s="1406"/>
      <c r="F2" s="1406"/>
      <c r="G2" s="1406"/>
      <c r="H2" s="1406"/>
      <c r="I2" s="1406"/>
      <c r="J2" s="1406"/>
      <c r="K2" s="1406"/>
      <c r="L2" s="1406"/>
    </row>
    <row r="3" spans="1:45" ht="17.5" x14ac:dyDescent="0.35">
      <c r="B3" s="771" t="s">
        <v>0</v>
      </c>
      <c r="E3" s="157" t="s">
        <v>472</v>
      </c>
      <c r="F3" s="14"/>
      <c r="G3" s="39"/>
      <c r="H3" s="39"/>
      <c r="I3" s="39"/>
      <c r="J3" s="39"/>
      <c r="K3" s="39"/>
      <c r="L3" s="39"/>
      <c r="M3" s="14"/>
      <c r="N3" s="14"/>
      <c r="O3" s="14"/>
      <c r="P3" s="14"/>
      <c r="Q3" s="14"/>
      <c r="R3" s="14"/>
      <c r="S3" s="772" t="s">
        <v>10</v>
      </c>
      <c r="T3" s="14"/>
      <c r="U3" s="14"/>
      <c r="V3" s="14"/>
      <c r="W3" s="14"/>
      <c r="X3" s="14"/>
      <c r="Y3" s="14"/>
      <c r="Z3" s="14"/>
      <c r="AA3" s="14"/>
      <c r="AB3" s="14"/>
    </row>
    <row r="4" spans="1:45" s="67" customFormat="1" x14ac:dyDescent="0.25">
      <c r="A4" s="1557" t="s">
        <v>327</v>
      </c>
      <c r="B4" s="1558" t="s">
        <v>16</v>
      </c>
      <c r="C4" s="1558" t="s">
        <v>1</v>
      </c>
      <c r="D4" s="1558" t="s">
        <v>460</v>
      </c>
      <c r="E4" s="1558" t="s">
        <v>461</v>
      </c>
      <c r="F4" s="1481" t="s">
        <v>4</v>
      </c>
      <c r="G4" s="1554" t="s">
        <v>2</v>
      </c>
      <c r="H4" s="1555"/>
      <c r="I4" s="1556"/>
      <c r="J4" s="1554" t="s">
        <v>8</v>
      </c>
      <c r="K4" s="1555"/>
      <c r="L4" s="1556"/>
      <c r="M4" s="1481" t="s">
        <v>462</v>
      </c>
      <c r="N4" s="1481"/>
      <c r="O4" s="1481"/>
      <c r="P4" s="1481"/>
      <c r="Q4" s="1481"/>
      <c r="R4" s="1481"/>
      <c r="S4" s="1481"/>
    </row>
    <row r="5" spans="1:45" s="67" customFormat="1" x14ac:dyDescent="0.25">
      <c r="A5" s="1557"/>
      <c r="B5" s="1558"/>
      <c r="C5" s="1558"/>
      <c r="D5" s="1558"/>
      <c r="E5" s="1558"/>
      <c r="F5" s="1481"/>
      <c r="G5" s="1477" t="s">
        <v>11</v>
      </c>
      <c r="H5" s="1477" t="s">
        <v>9</v>
      </c>
      <c r="I5" s="1477" t="s">
        <v>463</v>
      </c>
      <c r="J5" s="1477" t="s">
        <v>11</v>
      </c>
      <c r="K5" s="1477" t="s">
        <v>9</v>
      </c>
      <c r="L5" s="1477" t="s">
        <v>7</v>
      </c>
      <c r="M5" s="1462" t="s">
        <v>23</v>
      </c>
      <c r="N5" s="1481" t="s">
        <v>464</v>
      </c>
      <c r="O5" s="1553" t="s">
        <v>620</v>
      </c>
      <c r="P5" s="1553"/>
      <c r="Q5" s="1553"/>
      <c r="R5" s="1553"/>
      <c r="S5" s="1553"/>
    </row>
    <row r="6" spans="1:45" ht="28" x14ac:dyDescent="0.3">
      <c r="A6" s="1557"/>
      <c r="B6" s="1558"/>
      <c r="C6" s="1558"/>
      <c r="D6" s="1558"/>
      <c r="E6" s="1558"/>
      <c r="F6" s="1481"/>
      <c r="G6" s="1478"/>
      <c r="H6" s="1478"/>
      <c r="I6" s="1478"/>
      <c r="J6" s="1478"/>
      <c r="K6" s="1478"/>
      <c r="L6" s="1478"/>
      <c r="M6" s="1462"/>
      <c r="N6" s="1481"/>
      <c r="O6" s="666" t="s">
        <v>625</v>
      </c>
      <c r="P6" s="666" t="s">
        <v>621</v>
      </c>
      <c r="Q6" s="666" t="s">
        <v>622</v>
      </c>
      <c r="R6" s="666" t="s">
        <v>623</v>
      </c>
      <c r="S6" s="773" t="s">
        <v>624</v>
      </c>
    </row>
    <row r="7" spans="1:45" x14ac:dyDescent="0.3">
      <c r="A7" s="1249"/>
      <c r="B7" s="1250"/>
      <c r="C7" s="1250"/>
      <c r="D7" s="1250"/>
      <c r="E7" s="1250"/>
      <c r="F7" s="133"/>
      <c r="G7" s="94"/>
      <c r="H7" s="94"/>
      <c r="I7" s="94"/>
      <c r="J7" s="94"/>
      <c r="K7" s="94"/>
      <c r="L7" s="94"/>
      <c r="M7" s="94"/>
      <c r="N7" s="133"/>
      <c r="O7" s="133"/>
      <c r="P7" s="133"/>
      <c r="Q7" s="133"/>
      <c r="R7" s="133"/>
      <c r="S7" s="1250"/>
    </row>
    <row r="8" spans="1:45" s="747" customFormat="1" ht="15.5" x14ac:dyDescent="0.3">
      <c r="A8" s="1251"/>
      <c r="B8" s="3"/>
      <c r="C8" s="1251"/>
      <c r="D8" s="1251"/>
      <c r="E8" s="1252"/>
      <c r="F8" s="1251"/>
      <c r="G8" s="1252"/>
      <c r="H8" s="1253"/>
      <c r="I8" s="1252"/>
      <c r="J8" s="1252"/>
      <c r="K8" s="1254"/>
      <c r="L8" s="1252"/>
      <c r="M8" s="1255"/>
      <c r="N8" s="1255"/>
      <c r="O8" s="116"/>
      <c r="P8" s="774"/>
      <c r="Q8" s="774"/>
      <c r="R8" s="774"/>
      <c r="S8" s="774"/>
      <c r="T8" s="775"/>
      <c r="U8" s="776"/>
      <c r="V8" s="776"/>
      <c r="W8" s="776"/>
      <c r="X8" s="777"/>
      <c r="Y8" s="777"/>
      <c r="Z8" s="778"/>
      <c r="AA8" s="778"/>
      <c r="AB8" s="778"/>
      <c r="AC8" s="778"/>
      <c r="AD8" s="778"/>
      <c r="AE8" s="779"/>
      <c r="AF8" s="779"/>
      <c r="AG8" s="776"/>
      <c r="AH8" s="776"/>
      <c r="AI8" s="775"/>
      <c r="AJ8" s="776"/>
      <c r="AK8" s="776"/>
      <c r="AL8" s="776"/>
      <c r="AM8" s="776"/>
      <c r="AN8" s="67"/>
      <c r="AO8" s="780"/>
      <c r="AP8" s="781"/>
      <c r="AQ8" s="781"/>
      <c r="AS8" s="748"/>
    </row>
    <row r="9" spans="1:45" s="750" customFormat="1" ht="14.5" x14ac:dyDescent="0.35">
      <c r="A9" s="1256"/>
      <c r="B9" s="212"/>
      <c r="C9" s="1257"/>
      <c r="D9" s="1256"/>
      <c r="E9" s="1258"/>
      <c r="F9" s="1259"/>
      <c r="G9" s="1258"/>
      <c r="H9" s="1258"/>
      <c r="I9" s="1258"/>
      <c r="J9" s="1258"/>
      <c r="K9" s="1258"/>
      <c r="L9" s="1258"/>
      <c r="M9" s="749"/>
      <c r="N9" s="749"/>
      <c r="O9" s="1259"/>
      <c r="P9" s="1260"/>
      <c r="Q9" s="1259"/>
      <c r="R9" s="1259"/>
      <c r="S9" s="749"/>
    </row>
    <row r="10" spans="1:45" s="750" customFormat="1" ht="14.5" x14ac:dyDescent="0.35">
      <c r="A10" s="1256"/>
      <c r="B10" s="1261"/>
      <c r="C10" s="1257"/>
      <c r="D10" s="1256"/>
      <c r="E10" s="1258"/>
      <c r="F10" s="1259"/>
      <c r="G10" s="1258"/>
      <c r="H10" s="1258"/>
      <c r="I10" s="1258"/>
      <c r="J10" s="1258"/>
      <c r="K10" s="1258"/>
      <c r="L10" s="1258"/>
      <c r="M10" s="749"/>
      <c r="N10" s="749"/>
      <c r="O10" s="1259"/>
      <c r="P10" s="1260"/>
      <c r="Q10" s="1259"/>
      <c r="R10" s="1259"/>
      <c r="S10" s="749"/>
    </row>
    <row r="11" spans="1:45" ht="15" customHeight="1" x14ac:dyDescent="0.3">
      <c r="A11" s="1251"/>
      <c r="B11" s="2"/>
      <c r="C11" s="1251"/>
      <c r="D11" s="1251"/>
      <c r="E11" s="1252"/>
      <c r="F11" s="1251"/>
      <c r="G11" s="1252"/>
      <c r="H11" s="1253"/>
      <c r="I11" s="1252"/>
      <c r="J11" s="1252"/>
      <c r="K11" s="1254"/>
      <c r="L11" s="1252"/>
      <c r="M11" s="1255"/>
      <c r="N11" s="1255"/>
      <c r="O11" s="116"/>
      <c r="P11" s="774"/>
      <c r="Q11" s="774"/>
      <c r="R11" s="774"/>
      <c r="S11" s="774"/>
    </row>
    <row r="12" spans="1:45" s="750" customFormat="1" ht="14.5" x14ac:dyDescent="0.35">
      <c r="A12" s="1256"/>
      <c r="B12" s="2"/>
      <c r="C12" s="1257"/>
      <c r="D12" s="1256"/>
      <c r="E12" s="1258"/>
      <c r="F12" s="1259"/>
      <c r="G12" s="1258"/>
      <c r="H12" s="1258"/>
      <c r="I12" s="1258"/>
      <c r="J12" s="1258"/>
      <c r="K12" s="1258"/>
      <c r="L12" s="1258"/>
      <c r="M12" s="749"/>
      <c r="N12" s="749"/>
      <c r="O12" s="1259"/>
      <c r="P12" s="1260"/>
      <c r="Q12" s="1259"/>
      <c r="R12" s="1259"/>
      <c r="S12" s="749"/>
    </row>
    <row r="13" spans="1:45" s="750" customFormat="1" ht="14.5" x14ac:dyDescent="0.35">
      <c r="A13" s="1256"/>
      <c r="B13" s="1261"/>
      <c r="C13" s="1257"/>
      <c r="D13" s="1256"/>
      <c r="E13" s="1258"/>
      <c r="F13" s="1259"/>
      <c r="G13" s="1258"/>
      <c r="H13" s="1258"/>
      <c r="I13" s="1258"/>
      <c r="J13" s="1258"/>
      <c r="K13" s="1258"/>
      <c r="L13" s="1258"/>
      <c r="M13" s="749"/>
      <c r="N13" s="749"/>
      <c r="O13" s="1259"/>
      <c r="P13" s="1260"/>
      <c r="Q13" s="1259"/>
      <c r="R13" s="1259"/>
      <c r="S13" s="749"/>
    </row>
    <row r="14" spans="1:45" ht="15.5" x14ac:dyDescent="0.3">
      <c r="A14" s="1251"/>
      <c r="B14" s="2"/>
      <c r="C14" s="1251"/>
      <c r="D14" s="1251"/>
      <c r="E14" s="1252"/>
      <c r="F14" s="1251"/>
      <c r="G14" s="1252"/>
      <c r="H14" s="1253"/>
      <c r="I14" s="1252"/>
      <c r="J14" s="1252"/>
      <c r="K14" s="1254"/>
      <c r="L14" s="1252"/>
      <c r="M14" s="1255"/>
      <c r="N14" s="1255"/>
      <c r="O14" s="116"/>
      <c r="P14" s="774"/>
      <c r="Q14" s="774"/>
      <c r="R14" s="774"/>
      <c r="S14" s="774"/>
    </row>
    <row r="15" spans="1:45" s="750" customFormat="1" ht="14.5" x14ac:dyDescent="0.35">
      <c r="A15" s="1256"/>
      <c r="B15" s="2"/>
      <c r="C15" s="1257"/>
      <c r="D15" s="1256"/>
      <c r="E15" s="1258"/>
      <c r="F15" s="1259"/>
      <c r="G15" s="1258"/>
      <c r="H15" s="1258"/>
      <c r="I15" s="1258"/>
      <c r="J15" s="1258"/>
      <c r="K15" s="1258"/>
      <c r="L15" s="1258"/>
      <c r="M15" s="749"/>
      <c r="N15" s="749"/>
      <c r="O15" s="1259"/>
      <c r="P15" s="1260"/>
      <c r="Q15" s="1259"/>
      <c r="R15" s="1259"/>
      <c r="S15" s="749"/>
    </row>
    <row r="16" spans="1:45" s="750" customFormat="1" ht="14.5" x14ac:dyDescent="0.35">
      <c r="A16" s="1256"/>
      <c r="B16" s="3"/>
      <c r="C16" s="1257"/>
      <c r="D16" s="1256"/>
      <c r="E16" s="1258"/>
      <c r="F16" s="1259"/>
      <c r="G16" s="1258"/>
      <c r="H16" s="1258"/>
      <c r="I16" s="1258"/>
      <c r="J16" s="1258"/>
      <c r="K16" s="1258"/>
      <c r="L16" s="1258"/>
      <c r="M16" s="749"/>
      <c r="N16" s="749"/>
      <c r="O16" s="1259"/>
      <c r="P16" s="1260"/>
      <c r="Q16" s="1259"/>
      <c r="R16" s="1259"/>
      <c r="S16" s="749"/>
    </row>
    <row r="17" spans="1:19" s="750" customFormat="1" ht="14.5" x14ac:dyDescent="0.35">
      <c r="A17" s="1256"/>
      <c r="B17" s="2"/>
      <c r="C17" s="1257"/>
      <c r="D17" s="1256"/>
      <c r="E17" s="1258"/>
      <c r="F17" s="1259"/>
      <c r="G17" s="1258"/>
      <c r="H17" s="1258"/>
      <c r="I17" s="1258"/>
      <c r="J17" s="1258"/>
      <c r="K17" s="1258"/>
      <c r="L17" s="1258"/>
      <c r="M17" s="749"/>
      <c r="N17" s="749"/>
      <c r="O17" s="1259"/>
      <c r="P17" s="1260"/>
      <c r="Q17" s="1259"/>
      <c r="R17" s="1259"/>
      <c r="S17" s="749"/>
    </row>
    <row r="18" spans="1:19" ht="15.5" x14ac:dyDescent="0.3">
      <c r="A18" s="1251"/>
      <c r="B18" s="2"/>
      <c r="C18" s="1251"/>
      <c r="D18" s="1251"/>
      <c r="E18" s="1252"/>
      <c r="F18" s="1251"/>
      <c r="G18" s="1252"/>
      <c r="H18" s="1253"/>
      <c r="I18" s="1252"/>
      <c r="J18" s="1252"/>
      <c r="K18" s="1254"/>
      <c r="L18" s="1252"/>
      <c r="M18" s="1255"/>
      <c r="N18" s="1255"/>
      <c r="O18" s="116"/>
      <c r="P18" s="774"/>
      <c r="Q18" s="774"/>
      <c r="R18" s="774"/>
      <c r="S18" s="774"/>
    </row>
    <row r="19" spans="1:19" s="750" customFormat="1" ht="14.5" x14ac:dyDescent="0.35">
      <c r="A19" s="1256"/>
      <c r="B19" s="46"/>
      <c r="C19" s="1257"/>
      <c r="D19" s="1256"/>
      <c r="E19" s="1258"/>
      <c r="F19" s="1259"/>
      <c r="G19" s="1258"/>
      <c r="H19" s="1258"/>
      <c r="I19" s="1258"/>
      <c r="J19" s="1258"/>
      <c r="K19" s="1258"/>
      <c r="L19" s="1258"/>
      <c r="M19" s="749"/>
      <c r="N19" s="749"/>
      <c r="O19" s="1259"/>
      <c r="P19" s="1260"/>
      <c r="Q19" s="1259"/>
      <c r="R19" s="1259"/>
      <c r="S19" s="749"/>
    </row>
    <row r="20" spans="1:19" s="750" customFormat="1" ht="14.5" x14ac:dyDescent="0.35">
      <c r="A20" s="1256"/>
      <c r="B20" s="1262"/>
      <c r="C20" s="1257"/>
      <c r="D20" s="1256"/>
      <c r="E20" s="1258"/>
      <c r="F20" s="1259"/>
      <c r="G20" s="1258"/>
      <c r="H20" s="1258"/>
      <c r="I20" s="1258"/>
      <c r="J20" s="1258"/>
      <c r="K20" s="1258"/>
      <c r="L20" s="1258"/>
      <c r="M20" s="749"/>
      <c r="N20" s="749"/>
      <c r="O20" s="1259"/>
      <c r="P20" s="1260"/>
      <c r="Q20" s="1259"/>
      <c r="R20" s="1259"/>
      <c r="S20" s="749"/>
    </row>
    <row r="21" spans="1:19" s="750" customFormat="1" ht="14.5" x14ac:dyDescent="0.35">
      <c r="A21" s="1256"/>
      <c r="B21" s="1262"/>
      <c r="C21" s="1257"/>
      <c r="D21" s="1256"/>
      <c r="E21" s="1258"/>
      <c r="F21" s="1259"/>
      <c r="G21" s="1258"/>
      <c r="H21" s="1258"/>
      <c r="I21" s="1258"/>
      <c r="J21" s="1258"/>
      <c r="K21" s="1258"/>
      <c r="L21" s="1258"/>
      <c r="M21" s="749"/>
      <c r="N21" s="749"/>
      <c r="O21" s="1259"/>
      <c r="P21" s="1260"/>
      <c r="Q21" s="1259"/>
      <c r="R21" s="1259"/>
      <c r="S21" s="749"/>
    </row>
    <row r="22" spans="1:19" s="750" customFormat="1" ht="14.5" x14ac:dyDescent="0.35">
      <c r="A22" s="1256"/>
      <c r="B22" s="1262"/>
      <c r="C22" s="1257"/>
      <c r="D22" s="1256"/>
      <c r="E22" s="1258"/>
      <c r="F22" s="1259"/>
      <c r="G22" s="1258"/>
      <c r="H22" s="1258"/>
      <c r="I22" s="1258"/>
      <c r="J22" s="1258"/>
      <c r="K22" s="1258"/>
      <c r="L22" s="1258"/>
      <c r="M22" s="749"/>
      <c r="N22" s="749"/>
      <c r="O22" s="1259"/>
      <c r="P22" s="1260"/>
      <c r="Q22" s="1259"/>
      <c r="R22" s="1259"/>
      <c r="S22" s="749"/>
    </row>
    <row r="23" spans="1:19" s="750" customFormat="1" ht="14.5" x14ac:dyDescent="0.35">
      <c r="A23" s="1256"/>
      <c r="B23" s="1262"/>
      <c r="C23" s="1257"/>
      <c r="D23" s="1256"/>
      <c r="E23" s="1258"/>
      <c r="F23" s="1259"/>
      <c r="G23" s="1258"/>
      <c r="H23" s="1258"/>
      <c r="I23" s="1258"/>
      <c r="J23" s="1258"/>
      <c r="K23" s="1258"/>
      <c r="L23" s="1258"/>
      <c r="M23" s="749"/>
      <c r="N23" s="749"/>
      <c r="O23" s="1259"/>
      <c r="P23" s="1260"/>
      <c r="Q23" s="1259"/>
      <c r="R23" s="1259"/>
      <c r="S23" s="749"/>
    </row>
    <row r="24" spans="1:19" s="750" customFormat="1" ht="14.5" x14ac:dyDescent="0.35">
      <c r="A24" s="1256"/>
      <c r="B24" s="1262"/>
      <c r="C24" s="1257"/>
      <c r="D24" s="1256"/>
      <c r="E24" s="1258"/>
      <c r="F24" s="1259"/>
      <c r="G24" s="1258"/>
      <c r="H24" s="1258"/>
      <c r="I24" s="1258"/>
      <c r="J24" s="1258"/>
      <c r="K24" s="1258"/>
      <c r="L24" s="1258"/>
      <c r="M24" s="749"/>
      <c r="N24" s="749"/>
      <c r="O24" s="1259"/>
      <c r="P24" s="1260"/>
      <c r="Q24" s="1259"/>
      <c r="R24" s="1259"/>
      <c r="S24" s="749"/>
    </row>
    <row r="25" spans="1:19" s="750" customFormat="1" ht="14.5" x14ac:dyDescent="0.35">
      <c r="A25" s="1256"/>
      <c r="B25" s="1262"/>
      <c r="C25" s="1257"/>
      <c r="D25" s="1256"/>
      <c r="E25" s="1258"/>
      <c r="F25" s="1259"/>
      <c r="G25" s="1258"/>
      <c r="H25" s="1258"/>
      <c r="I25" s="1258"/>
      <c r="J25" s="1258"/>
      <c r="K25" s="1258"/>
      <c r="L25" s="1258"/>
      <c r="M25" s="749"/>
      <c r="N25" s="749"/>
      <c r="O25" s="1259"/>
      <c r="P25" s="1260"/>
      <c r="Q25" s="1259"/>
      <c r="R25" s="1259"/>
      <c r="S25" s="749"/>
    </row>
    <row r="26" spans="1:19" s="750" customFormat="1" ht="14.5" x14ac:dyDescent="0.35">
      <c r="A26" s="1256"/>
      <c r="B26" s="1262"/>
      <c r="C26" s="1257"/>
      <c r="D26" s="1256"/>
      <c r="E26" s="1258"/>
      <c r="F26" s="1259"/>
      <c r="G26" s="1258"/>
      <c r="H26" s="1258"/>
      <c r="I26" s="1258"/>
      <c r="J26" s="1258"/>
      <c r="K26" s="1258"/>
      <c r="L26" s="1258"/>
      <c r="M26" s="749"/>
      <c r="N26" s="749"/>
      <c r="O26" s="1259"/>
      <c r="P26" s="1260"/>
      <c r="Q26" s="1259"/>
      <c r="R26" s="1259"/>
      <c r="S26" s="749"/>
    </row>
    <row r="27" spans="1:19" s="750" customFormat="1" ht="14.5" x14ac:dyDescent="0.35">
      <c r="A27" s="1256"/>
      <c r="B27" s="1262"/>
      <c r="C27" s="1257"/>
      <c r="D27" s="1256"/>
      <c r="E27" s="1258"/>
      <c r="F27" s="1259"/>
      <c r="G27" s="1258"/>
      <c r="H27" s="1258"/>
      <c r="I27" s="1258"/>
      <c r="J27" s="1258"/>
      <c r="K27" s="1258"/>
      <c r="L27" s="1258"/>
      <c r="M27" s="749"/>
      <c r="N27" s="749"/>
      <c r="O27" s="1259"/>
      <c r="P27" s="1260"/>
      <c r="Q27" s="1259"/>
      <c r="R27" s="1259"/>
      <c r="S27" s="749"/>
    </row>
    <row r="28" spans="1:19" s="750" customFormat="1" ht="14.5" x14ac:dyDescent="0.35">
      <c r="A28" s="1256"/>
      <c r="B28" s="1262"/>
      <c r="C28" s="1257"/>
      <c r="D28" s="1256"/>
      <c r="E28" s="1258"/>
      <c r="F28" s="1259"/>
      <c r="G28" s="1258"/>
      <c r="H28" s="1258"/>
      <c r="I28" s="1258"/>
      <c r="J28" s="1258"/>
      <c r="K28" s="1258"/>
      <c r="L28" s="1258"/>
      <c r="M28" s="749"/>
      <c r="N28" s="749"/>
      <c r="O28" s="1259"/>
      <c r="P28" s="1260"/>
      <c r="Q28" s="1259"/>
      <c r="R28" s="1259"/>
      <c r="S28" s="749"/>
    </row>
    <row r="29" spans="1:19" s="750" customFormat="1" ht="14.5" x14ac:dyDescent="0.35">
      <c r="A29" s="1256"/>
      <c r="B29" s="1262"/>
      <c r="C29" s="1257"/>
      <c r="D29" s="1256"/>
      <c r="E29" s="1258"/>
      <c r="F29" s="1259"/>
      <c r="G29" s="1258"/>
      <c r="H29" s="1258"/>
      <c r="I29" s="1258"/>
      <c r="J29" s="1258"/>
      <c r="K29" s="1258"/>
      <c r="L29" s="1258"/>
      <c r="M29" s="749"/>
      <c r="N29" s="749"/>
      <c r="O29" s="1259"/>
      <c r="P29" s="1260"/>
      <c r="Q29" s="1259"/>
      <c r="R29" s="1259"/>
      <c r="S29" s="749"/>
    </row>
    <row r="30" spans="1:19" ht="15.5" x14ac:dyDescent="0.3">
      <c r="A30" s="1251"/>
      <c r="B30" s="1263"/>
      <c r="C30" s="1251"/>
      <c r="D30" s="1251"/>
      <c r="E30" s="1252"/>
      <c r="F30" s="1251"/>
      <c r="G30" s="1252"/>
      <c r="H30" s="1253"/>
      <c r="I30" s="1252"/>
      <c r="J30" s="1252"/>
      <c r="K30" s="1254"/>
      <c r="L30" s="1252"/>
      <c r="M30" s="1255"/>
      <c r="N30" s="1255"/>
      <c r="O30" s="116"/>
      <c r="P30" s="774"/>
      <c r="Q30" s="774"/>
      <c r="R30" s="774"/>
      <c r="S30" s="774"/>
    </row>
    <row r="31" spans="1:19" s="750" customFormat="1" ht="14.5" x14ac:dyDescent="0.35">
      <c r="A31" s="1256"/>
      <c r="B31" s="1262"/>
      <c r="C31" s="1257"/>
      <c r="D31" s="1256"/>
      <c r="E31" s="1258"/>
      <c r="F31" s="1259"/>
      <c r="G31" s="1258"/>
      <c r="H31" s="1258"/>
      <c r="I31" s="1258"/>
      <c r="J31" s="1258"/>
      <c r="K31" s="1258"/>
      <c r="L31" s="1258"/>
      <c r="M31" s="749"/>
      <c r="N31" s="749"/>
      <c r="O31" s="1259"/>
      <c r="P31" s="1260"/>
      <c r="Q31" s="1259"/>
      <c r="R31" s="1259"/>
      <c r="S31" s="749"/>
    </row>
    <row r="32" spans="1:19" s="750" customFormat="1" ht="14.5" x14ac:dyDescent="0.35">
      <c r="A32" s="1256"/>
      <c r="B32" s="1262"/>
      <c r="C32" s="1257"/>
      <c r="D32" s="1256"/>
      <c r="E32" s="1258"/>
      <c r="F32" s="1259"/>
      <c r="G32" s="1258"/>
      <c r="H32" s="1258"/>
      <c r="I32" s="1258"/>
      <c r="J32" s="1258"/>
      <c r="K32" s="1258"/>
      <c r="L32" s="1258"/>
      <c r="M32" s="749"/>
      <c r="N32" s="749"/>
      <c r="O32" s="1259"/>
      <c r="P32" s="1260"/>
      <c r="Q32" s="1259"/>
      <c r="R32" s="1259"/>
      <c r="S32" s="749"/>
    </row>
    <row r="33" spans="1:19" s="750" customFormat="1" ht="14.5" x14ac:dyDescent="0.35">
      <c r="A33" s="1256"/>
      <c r="B33" s="1262"/>
      <c r="C33" s="1257"/>
      <c r="D33" s="1256"/>
      <c r="E33" s="1258"/>
      <c r="F33" s="1259"/>
      <c r="G33" s="1258"/>
      <c r="H33" s="1258"/>
      <c r="I33" s="1258"/>
      <c r="J33" s="1258"/>
      <c r="K33" s="1258"/>
      <c r="L33" s="1258"/>
      <c r="M33" s="749"/>
      <c r="N33" s="749"/>
      <c r="O33" s="1259"/>
      <c r="P33" s="1260"/>
      <c r="Q33" s="1259"/>
      <c r="R33" s="1259"/>
      <c r="S33" s="749"/>
    </row>
    <row r="34" spans="1:19" s="750" customFormat="1" ht="14.5" x14ac:dyDescent="0.35">
      <c r="A34" s="1256"/>
      <c r="B34" s="1262"/>
      <c r="C34" s="1257"/>
      <c r="D34" s="1256"/>
      <c r="E34" s="1258"/>
      <c r="F34" s="1259"/>
      <c r="G34" s="1258"/>
      <c r="H34" s="1258"/>
      <c r="I34" s="1258"/>
      <c r="J34" s="1258"/>
      <c r="K34" s="1258"/>
      <c r="L34" s="1258"/>
      <c r="M34" s="749"/>
      <c r="N34" s="749"/>
      <c r="O34" s="1259"/>
      <c r="P34" s="1260"/>
      <c r="Q34" s="1259"/>
      <c r="R34" s="1259"/>
      <c r="S34" s="749"/>
    </row>
    <row r="35" spans="1:19" ht="15.5" x14ac:dyDescent="0.3">
      <c r="A35" s="1251"/>
      <c r="B35" s="1263"/>
      <c r="C35" s="1251"/>
      <c r="D35" s="1251"/>
      <c r="E35" s="1252"/>
      <c r="F35" s="1251"/>
      <c r="G35" s="1252"/>
      <c r="H35" s="1253"/>
      <c r="I35" s="1252"/>
      <c r="J35" s="1252"/>
      <c r="K35" s="1254"/>
      <c r="L35" s="1252"/>
      <c r="M35" s="1255"/>
      <c r="N35" s="1255"/>
      <c r="O35" s="116"/>
      <c r="P35" s="774"/>
      <c r="Q35" s="774"/>
      <c r="R35" s="774"/>
      <c r="S35" s="774"/>
    </row>
    <row r="36" spans="1:19" s="750" customFormat="1" ht="14.5" x14ac:dyDescent="0.35">
      <c r="A36" s="1256"/>
      <c r="B36" s="1262"/>
      <c r="C36" s="1257"/>
      <c r="D36" s="1256"/>
      <c r="E36" s="1258"/>
      <c r="F36" s="1259"/>
      <c r="G36" s="1258"/>
      <c r="H36" s="1258"/>
      <c r="I36" s="1258"/>
      <c r="J36" s="1258"/>
      <c r="K36" s="1258"/>
      <c r="L36" s="1258"/>
      <c r="M36" s="749"/>
      <c r="N36" s="749"/>
      <c r="O36" s="1259"/>
      <c r="P36" s="1260"/>
      <c r="Q36" s="1259"/>
      <c r="R36" s="1259"/>
      <c r="S36" s="749"/>
    </row>
    <row r="37" spans="1:19" s="750" customFormat="1" ht="14.5" x14ac:dyDescent="0.35">
      <c r="A37" s="1256"/>
      <c r="B37" s="1262"/>
      <c r="C37" s="1257"/>
      <c r="D37" s="1256"/>
      <c r="E37" s="1258"/>
      <c r="F37" s="1259"/>
      <c r="G37" s="1258"/>
      <c r="H37" s="1258"/>
      <c r="I37" s="1258"/>
      <c r="J37" s="1258"/>
      <c r="K37" s="1258"/>
      <c r="L37" s="1258"/>
      <c r="M37" s="749"/>
      <c r="N37" s="749"/>
      <c r="O37" s="1259"/>
      <c r="P37" s="1260"/>
      <c r="Q37" s="1259"/>
      <c r="R37" s="1259"/>
      <c r="S37" s="749"/>
    </row>
    <row r="38" spans="1:19" ht="15.5" x14ac:dyDescent="0.3">
      <c r="A38" s="1251"/>
      <c r="B38" s="1263"/>
      <c r="C38" s="1251"/>
      <c r="D38" s="1251"/>
      <c r="E38" s="1252"/>
      <c r="F38" s="1251"/>
      <c r="G38" s="1252"/>
      <c r="H38" s="1253"/>
      <c r="I38" s="1252"/>
      <c r="J38" s="1252"/>
      <c r="K38" s="1254"/>
      <c r="L38" s="1252"/>
      <c r="M38" s="1255"/>
      <c r="N38" s="1255"/>
      <c r="O38" s="116"/>
      <c r="P38" s="774"/>
      <c r="Q38" s="774"/>
      <c r="R38" s="774"/>
      <c r="S38" s="774"/>
    </row>
    <row r="39" spans="1:19" s="750" customFormat="1" ht="14.5" x14ac:dyDescent="0.35">
      <c r="A39" s="1256"/>
      <c r="B39" s="1262"/>
      <c r="C39" s="1257"/>
      <c r="D39" s="1256"/>
      <c r="E39" s="1258"/>
      <c r="F39" s="1259"/>
      <c r="G39" s="1258"/>
      <c r="H39" s="1258"/>
      <c r="I39" s="1258"/>
      <c r="J39" s="1258"/>
      <c r="K39" s="1258"/>
      <c r="L39" s="1258"/>
      <c r="M39" s="749"/>
      <c r="N39" s="749"/>
      <c r="O39" s="1259"/>
      <c r="P39" s="1260"/>
      <c r="Q39" s="1259"/>
      <c r="R39" s="1259"/>
      <c r="S39" s="749"/>
    </row>
    <row r="40" spans="1:19" s="750" customFormat="1" ht="14.5" x14ac:dyDescent="0.35">
      <c r="A40" s="1256"/>
      <c r="B40" s="1262"/>
      <c r="C40" s="1257"/>
      <c r="D40" s="1256"/>
      <c r="E40" s="1258"/>
      <c r="F40" s="1259"/>
      <c r="G40" s="1258"/>
      <c r="H40" s="1258"/>
      <c r="I40" s="1258"/>
      <c r="J40" s="1258"/>
      <c r="K40" s="1258"/>
      <c r="L40" s="1258"/>
      <c r="M40" s="749"/>
      <c r="N40" s="749"/>
      <c r="O40" s="1259"/>
      <c r="P40" s="1260"/>
      <c r="Q40" s="1259"/>
      <c r="R40" s="1259"/>
      <c r="S40" s="749"/>
    </row>
    <row r="41" spans="1:19" s="750" customFormat="1" ht="14.5" x14ac:dyDescent="0.35">
      <c r="A41" s="1256"/>
      <c r="B41" s="1262"/>
      <c r="C41" s="1257"/>
      <c r="D41" s="1256"/>
      <c r="E41" s="1258"/>
      <c r="F41" s="1259"/>
      <c r="G41" s="1258"/>
      <c r="H41" s="1258"/>
      <c r="I41" s="1258"/>
      <c r="J41" s="1258"/>
      <c r="K41" s="1258"/>
      <c r="L41" s="1258"/>
      <c r="M41" s="749"/>
      <c r="N41" s="749"/>
      <c r="O41" s="1259"/>
      <c r="P41" s="1260"/>
      <c r="Q41" s="1259"/>
      <c r="R41" s="1259"/>
      <c r="S41" s="749"/>
    </row>
    <row r="42" spans="1:19" s="750" customFormat="1" ht="14.5" x14ac:dyDescent="0.35">
      <c r="A42" s="1256"/>
      <c r="B42" s="1262"/>
      <c r="C42" s="1257"/>
      <c r="D42" s="1256"/>
      <c r="E42" s="1258"/>
      <c r="F42" s="1259"/>
      <c r="G42" s="1258"/>
      <c r="H42" s="1258"/>
      <c r="I42" s="1258"/>
      <c r="J42" s="1258"/>
      <c r="K42" s="1258"/>
      <c r="L42" s="1258"/>
      <c r="M42" s="749"/>
      <c r="N42" s="749"/>
      <c r="O42" s="1259"/>
      <c r="P42" s="1260"/>
      <c r="Q42" s="1259"/>
      <c r="R42" s="1259"/>
      <c r="S42" s="749"/>
    </row>
    <row r="43" spans="1:19" s="750" customFormat="1" ht="14.5" x14ac:dyDescent="0.35">
      <c r="A43" s="1256"/>
      <c r="B43" s="1262"/>
      <c r="C43" s="1257"/>
      <c r="D43" s="1256"/>
      <c r="E43" s="1258"/>
      <c r="F43" s="1259"/>
      <c r="G43" s="1258"/>
      <c r="H43" s="1258"/>
      <c r="I43" s="1258"/>
      <c r="J43" s="1258"/>
      <c r="K43" s="1258"/>
      <c r="L43" s="1258"/>
      <c r="M43" s="749"/>
      <c r="N43" s="749"/>
      <c r="O43" s="1259"/>
      <c r="P43" s="1260"/>
      <c r="Q43" s="1259"/>
      <c r="R43" s="1259"/>
      <c r="S43" s="749"/>
    </row>
    <row r="44" spans="1:19" s="750" customFormat="1" ht="14.5" x14ac:dyDescent="0.35">
      <c r="A44" s="1256"/>
      <c r="B44" s="1262"/>
      <c r="C44" s="1257"/>
      <c r="D44" s="1256"/>
      <c r="E44" s="1258"/>
      <c r="F44" s="1259"/>
      <c r="G44" s="1258"/>
      <c r="H44" s="1258"/>
      <c r="I44" s="1258"/>
      <c r="J44" s="1258"/>
      <c r="K44" s="1258"/>
      <c r="L44" s="1258"/>
      <c r="M44" s="749"/>
      <c r="N44" s="749"/>
      <c r="O44" s="1259"/>
      <c r="P44" s="1260"/>
      <c r="Q44" s="1259"/>
      <c r="R44" s="1259"/>
      <c r="S44" s="749"/>
    </row>
    <row r="45" spans="1:19" s="750" customFormat="1" ht="14.5" x14ac:dyDescent="0.35">
      <c r="A45" s="1256"/>
      <c r="B45" s="1262"/>
      <c r="C45" s="1257"/>
      <c r="D45" s="1256"/>
      <c r="E45" s="1258"/>
      <c r="F45" s="1259"/>
      <c r="G45" s="1258"/>
      <c r="H45" s="1258"/>
      <c r="I45" s="1258"/>
      <c r="J45" s="1258"/>
      <c r="K45" s="1258"/>
      <c r="L45" s="1258"/>
      <c r="M45" s="749"/>
      <c r="N45" s="749"/>
      <c r="O45" s="1259"/>
      <c r="P45" s="1260"/>
      <c r="Q45" s="1259"/>
      <c r="R45" s="1259"/>
      <c r="S45" s="749"/>
    </row>
    <row r="46" spans="1:19" s="750" customFormat="1" ht="14.5" x14ac:dyDescent="0.35">
      <c r="A46" s="1256"/>
      <c r="B46" s="1262"/>
      <c r="C46" s="1257"/>
      <c r="D46" s="1256"/>
      <c r="E46" s="1258"/>
      <c r="F46" s="1259"/>
      <c r="G46" s="1258"/>
      <c r="H46" s="1258"/>
      <c r="I46" s="1258"/>
      <c r="J46" s="1258"/>
      <c r="K46" s="1258"/>
      <c r="L46" s="1258"/>
      <c r="M46" s="749"/>
      <c r="N46" s="749"/>
      <c r="O46" s="1259"/>
      <c r="P46" s="1260"/>
      <c r="Q46" s="1259"/>
      <c r="R46" s="1259"/>
      <c r="S46" s="749"/>
    </row>
    <row r="47" spans="1:19" s="750" customFormat="1" ht="14.5" x14ac:dyDescent="0.35">
      <c r="A47" s="1256"/>
      <c r="B47" s="1262"/>
      <c r="C47" s="1257"/>
      <c r="D47" s="1256"/>
      <c r="E47" s="1258"/>
      <c r="F47" s="1259"/>
      <c r="G47" s="1258"/>
      <c r="H47" s="1258"/>
      <c r="I47" s="1258"/>
      <c r="J47" s="1258"/>
      <c r="K47" s="1258"/>
      <c r="L47" s="1258"/>
      <c r="M47" s="749"/>
      <c r="N47" s="749"/>
      <c r="O47" s="1259"/>
      <c r="P47" s="1260"/>
      <c r="Q47" s="1259"/>
      <c r="R47" s="1259"/>
      <c r="S47" s="749"/>
    </row>
    <row r="48" spans="1:19" ht="15.5" x14ac:dyDescent="0.3">
      <c r="A48" s="1251"/>
      <c r="B48" s="1263"/>
      <c r="C48" s="1251"/>
      <c r="D48" s="1251"/>
      <c r="E48" s="1252"/>
      <c r="F48" s="1251"/>
      <c r="G48" s="1252"/>
      <c r="H48" s="1253"/>
      <c r="I48" s="1252"/>
      <c r="J48" s="1252"/>
      <c r="K48" s="1254"/>
      <c r="L48" s="1252"/>
      <c r="M48" s="1255"/>
      <c r="N48" s="1255"/>
      <c r="O48" s="116"/>
      <c r="P48" s="774"/>
      <c r="Q48" s="774"/>
      <c r="R48" s="774"/>
      <c r="S48" s="774"/>
    </row>
    <row r="49" spans="1:19" s="750" customFormat="1" ht="14.5" x14ac:dyDescent="0.35">
      <c r="A49" s="1256"/>
      <c r="B49" s="1262"/>
      <c r="C49" s="1257"/>
      <c r="D49" s="1256"/>
      <c r="E49" s="1258"/>
      <c r="F49" s="1259"/>
      <c r="G49" s="1258"/>
      <c r="H49" s="1258"/>
      <c r="I49" s="1258"/>
      <c r="J49" s="1258"/>
      <c r="K49" s="1258"/>
      <c r="L49" s="1258"/>
      <c r="M49" s="749"/>
      <c r="N49" s="749"/>
      <c r="O49" s="1259"/>
      <c r="P49" s="1260"/>
      <c r="Q49" s="1259"/>
      <c r="R49" s="1259"/>
      <c r="S49" s="749"/>
    </row>
    <row r="50" spans="1:19" s="750" customFormat="1" ht="14.5" x14ac:dyDescent="0.35">
      <c r="A50" s="1256"/>
      <c r="B50" s="1262"/>
      <c r="C50" s="1257"/>
      <c r="D50" s="1256"/>
      <c r="E50" s="1258"/>
      <c r="F50" s="1259"/>
      <c r="G50" s="1258"/>
      <c r="H50" s="1258"/>
      <c r="I50" s="1258"/>
      <c r="J50" s="1258"/>
      <c r="K50" s="1258"/>
      <c r="L50" s="1258"/>
      <c r="M50" s="749"/>
      <c r="N50" s="749"/>
      <c r="O50" s="1259"/>
      <c r="P50" s="1260"/>
      <c r="Q50" s="1259"/>
      <c r="R50" s="1259"/>
      <c r="S50" s="749"/>
    </row>
    <row r="51" spans="1:19" s="750" customFormat="1" ht="14.5" x14ac:dyDescent="0.35">
      <c r="A51" s="1256"/>
      <c r="B51" s="1262"/>
      <c r="C51" s="1257"/>
      <c r="D51" s="1256"/>
      <c r="E51" s="1258"/>
      <c r="F51" s="1259"/>
      <c r="G51" s="1258"/>
      <c r="H51" s="1258"/>
      <c r="I51" s="1258"/>
      <c r="J51" s="1258"/>
      <c r="K51" s="1258"/>
      <c r="L51" s="1258"/>
      <c r="M51" s="749"/>
      <c r="N51" s="749"/>
      <c r="O51" s="1259"/>
      <c r="P51" s="1260"/>
      <c r="Q51" s="1259"/>
      <c r="R51" s="1259"/>
      <c r="S51" s="749"/>
    </row>
    <row r="52" spans="1:19" s="750" customFormat="1" ht="14.5" x14ac:dyDescent="0.35">
      <c r="A52" s="1256"/>
      <c r="B52" s="1262"/>
      <c r="C52" s="1257"/>
      <c r="D52" s="1256"/>
      <c r="E52" s="1258"/>
      <c r="F52" s="1259"/>
      <c r="G52" s="1258"/>
      <c r="H52" s="1258"/>
      <c r="I52" s="1258"/>
      <c r="J52" s="1258"/>
      <c r="K52" s="1258"/>
      <c r="L52" s="1258"/>
      <c r="M52" s="749"/>
      <c r="N52" s="749"/>
      <c r="O52" s="1259"/>
      <c r="P52" s="1260"/>
      <c r="Q52" s="1259"/>
      <c r="R52" s="1259"/>
      <c r="S52" s="749"/>
    </row>
    <row r="53" spans="1:19" s="750" customFormat="1" ht="14.5" x14ac:dyDescent="0.35">
      <c r="A53" s="1256"/>
      <c r="B53" s="1262"/>
      <c r="C53" s="1257"/>
      <c r="D53" s="1256"/>
      <c r="E53" s="1258"/>
      <c r="F53" s="1259"/>
      <c r="G53" s="1258"/>
      <c r="H53" s="1258"/>
      <c r="I53" s="1258"/>
      <c r="J53" s="1258"/>
      <c r="K53" s="1258"/>
      <c r="L53" s="1258"/>
      <c r="M53" s="749"/>
      <c r="N53" s="749"/>
      <c r="O53" s="1259"/>
      <c r="P53" s="1260"/>
      <c r="Q53" s="1259"/>
      <c r="R53" s="1259"/>
      <c r="S53" s="749"/>
    </row>
    <row r="54" spans="1:19" s="750" customFormat="1" ht="14.5" x14ac:dyDescent="0.35">
      <c r="A54" s="1256"/>
      <c r="B54" s="1262"/>
      <c r="C54" s="1257"/>
      <c r="D54" s="1256"/>
      <c r="E54" s="1258"/>
      <c r="F54" s="1259"/>
      <c r="G54" s="1258"/>
      <c r="H54" s="1258"/>
      <c r="I54" s="1258"/>
      <c r="J54" s="1258"/>
      <c r="K54" s="1258"/>
      <c r="L54" s="1258"/>
      <c r="M54" s="749"/>
      <c r="N54" s="749"/>
      <c r="O54" s="1259"/>
      <c r="P54" s="1260"/>
      <c r="Q54" s="1259"/>
      <c r="R54" s="1259"/>
      <c r="S54" s="749"/>
    </row>
    <row r="55" spans="1:19" s="750" customFormat="1" ht="14.5" x14ac:dyDescent="0.35">
      <c r="A55" s="1256"/>
      <c r="B55" s="1262"/>
      <c r="C55" s="1257"/>
      <c r="D55" s="1256"/>
      <c r="E55" s="1258"/>
      <c r="F55" s="1259"/>
      <c r="G55" s="1258"/>
      <c r="H55" s="1258"/>
      <c r="I55" s="1258"/>
      <c r="J55" s="1258"/>
      <c r="K55" s="1258"/>
      <c r="L55" s="1258"/>
      <c r="M55" s="749"/>
      <c r="N55" s="749"/>
      <c r="O55" s="1259"/>
      <c r="P55" s="1260"/>
      <c r="Q55" s="1259"/>
      <c r="R55" s="1259"/>
      <c r="S55" s="749"/>
    </row>
    <row r="56" spans="1:19" s="750" customFormat="1" ht="14.5" x14ac:dyDescent="0.35">
      <c r="A56" s="1256"/>
      <c r="B56" s="1262"/>
      <c r="C56" s="1257"/>
      <c r="D56" s="1256"/>
      <c r="E56" s="1258"/>
      <c r="F56" s="1259"/>
      <c r="G56" s="1258"/>
      <c r="H56" s="1258"/>
      <c r="I56" s="1258"/>
      <c r="J56" s="1258"/>
      <c r="K56" s="1258"/>
      <c r="L56" s="1258"/>
      <c r="M56" s="749"/>
      <c r="N56" s="749"/>
      <c r="O56" s="1259"/>
      <c r="P56" s="1260"/>
      <c r="Q56" s="1259"/>
      <c r="R56" s="1259"/>
      <c r="S56" s="749"/>
    </row>
    <row r="57" spans="1:19" ht="15.5" x14ac:dyDescent="0.3">
      <c r="A57" s="1251"/>
      <c r="B57" s="1263"/>
      <c r="C57" s="1251"/>
      <c r="D57" s="1251"/>
      <c r="E57" s="1252"/>
      <c r="F57" s="1251"/>
      <c r="G57" s="1252"/>
      <c r="H57" s="1253"/>
      <c r="I57" s="1252"/>
      <c r="J57" s="1252"/>
      <c r="K57" s="1254"/>
      <c r="L57" s="1252"/>
      <c r="M57" s="1255"/>
      <c r="N57" s="1255"/>
      <c r="O57" s="116"/>
      <c r="P57" s="774"/>
      <c r="Q57" s="774"/>
      <c r="R57" s="774"/>
      <c r="S57" s="774"/>
    </row>
    <row r="58" spans="1:19" s="750" customFormat="1" ht="14.5" x14ac:dyDescent="0.35">
      <c r="A58" s="1256"/>
      <c r="B58" s="1262"/>
      <c r="C58" s="1257"/>
      <c r="D58" s="1256"/>
      <c r="E58" s="1258"/>
      <c r="F58" s="1259"/>
      <c r="G58" s="1258"/>
      <c r="H58" s="1258"/>
      <c r="I58" s="1258"/>
      <c r="J58" s="1258"/>
      <c r="K58" s="1258"/>
      <c r="L58" s="1258"/>
      <c r="M58" s="749"/>
      <c r="N58" s="749"/>
      <c r="O58" s="1259"/>
      <c r="P58" s="1260"/>
      <c r="Q58" s="1259"/>
      <c r="R58" s="1259"/>
      <c r="S58" s="749"/>
    </row>
    <row r="59" spans="1:19" s="750" customFormat="1" ht="14.5" x14ac:dyDescent="0.35">
      <c r="A59" s="1256"/>
      <c r="B59" s="1262"/>
      <c r="C59" s="1257"/>
      <c r="D59" s="1256"/>
      <c r="E59" s="1258"/>
      <c r="F59" s="1259"/>
      <c r="G59" s="1258"/>
      <c r="H59" s="1258"/>
      <c r="I59" s="1258"/>
      <c r="J59" s="1258"/>
      <c r="K59" s="1258"/>
      <c r="L59" s="1258"/>
      <c r="M59" s="749"/>
      <c r="N59" s="749"/>
      <c r="O59" s="1259"/>
      <c r="P59" s="1260"/>
      <c r="Q59" s="1259"/>
      <c r="R59" s="1259"/>
      <c r="S59" s="749"/>
    </row>
    <row r="60" spans="1:19" ht="15.5" x14ac:dyDescent="0.3">
      <c r="A60" s="1251"/>
      <c r="B60" s="1263"/>
      <c r="C60" s="1251"/>
      <c r="D60" s="1251"/>
      <c r="E60" s="1252"/>
      <c r="F60" s="1251"/>
      <c r="G60" s="1252"/>
      <c r="H60" s="1253"/>
      <c r="I60" s="1252"/>
      <c r="J60" s="1252"/>
      <c r="K60" s="1254"/>
      <c r="L60" s="1252"/>
      <c r="M60" s="1255"/>
      <c r="N60" s="1255"/>
      <c r="O60" s="116"/>
      <c r="P60" s="774"/>
      <c r="Q60" s="774"/>
      <c r="R60" s="774"/>
      <c r="S60" s="774"/>
    </row>
    <row r="61" spans="1:19" ht="14.5" x14ac:dyDescent="0.35">
      <c r="A61" s="1256"/>
      <c r="B61" s="1262"/>
      <c r="C61" s="1257"/>
      <c r="D61" s="1256"/>
      <c r="E61" s="1258"/>
      <c r="F61" s="1259"/>
      <c r="G61" s="1258"/>
      <c r="H61" s="1258"/>
      <c r="I61" s="1258"/>
      <c r="J61" s="1258"/>
      <c r="K61" s="1258"/>
      <c r="L61" s="1258"/>
      <c r="M61" s="749"/>
      <c r="N61" s="749"/>
      <c r="O61" s="1259"/>
      <c r="P61" s="1260"/>
      <c r="Q61" s="1259"/>
      <c r="R61" s="1259"/>
      <c r="S61" s="749"/>
    </row>
    <row r="62" spans="1:19" ht="14.5" x14ac:dyDescent="0.35">
      <c r="A62" s="1256"/>
      <c r="B62" s="1262"/>
      <c r="C62" s="1257"/>
      <c r="D62" s="1256"/>
      <c r="E62" s="1258"/>
      <c r="F62" s="1259"/>
      <c r="G62" s="1258"/>
      <c r="H62" s="1258"/>
      <c r="I62" s="1258"/>
      <c r="J62" s="1258"/>
      <c r="K62" s="1258"/>
      <c r="L62" s="1258"/>
      <c r="M62" s="749"/>
      <c r="N62" s="749"/>
      <c r="O62" s="1259"/>
      <c r="P62" s="1260"/>
      <c r="Q62" s="1259"/>
      <c r="R62" s="1259"/>
      <c r="S62" s="749"/>
    </row>
    <row r="63" spans="1:19" ht="15.5" x14ac:dyDescent="0.3">
      <c r="A63" s="1251"/>
      <c r="B63" s="1263"/>
      <c r="C63" s="1251"/>
      <c r="D63" s="1251"/>
      <c r="E63" s="1252"/>
      <c r="F63" s="1251"/>
      <c r="G63" s="1252"/>
      <c r="H63" s="1253"/>
      <c r="I63" s="1252"/>
      <c r="J63" s="1252"/>
      <c r="K63" s="1254"/>
      <c r="L63" s="1252"/>
      <c r="M63" s="1255"/>
      <c r="N63" s="1255"/>
      <c r="O63" s="116"/>
      <c r="P63" s="774"/>
      <c r="Q63" s="774"/>
      <c r="R63" s="774"/>
      <c r="S63" s="774"/>
    </row>
    <row r="64" spans="1:19" ht="14.5" x14ac:dyDescent="0.35">
      <c r="A64" s="1256"/>
      <c r="B64" s="1262"/>
      <c r="C64" s="1257"/>
      <c r="D64" s="1256"/>
      <c r="E64" s="1258"/>
      <c r="F64" s="1259"/>
      <c r="G64" s="1258"/>
      <c r="H64" s="1258"/>
      <c r="I64" s="1258"/>
      <c r="J64" s="1258"/>
      <c r="K64" s="1258"/>
      <c r="L64" s="1258"/>
      <c r="M64" s="749"/>
      <c r="N64" s="749"/>
      <c r="O64" s="1259"/>
      <c r="P64" s="1260"/>
      <c r="Q64" s="1259"/>
      <c r="R64" s="1259"/>
      <c r="S64" s="749"/>
    </row>
    <row r="65" spans="1:19" ht="14.5" x14ac:dyDescent="0.35">
      <c r="A65" s="1256"/>
      <c r="B65" s="1262"/>
      <c r="C65" s="1257"/>
      <c r="D65" s="1256"/>
      <c r="E65" s="1258"/>
      <c r="F65" s="1259"/>
      <c r="G65" s="1258"/>
      <c r="H65" s="1258"/>
      <c r="I65" s="1258"/>
      <c r="J65" s="1258"/>
      <c r="K65" s="1258"/>
      <c r="L65" s="1258"/>
      <c r="M65" s="749"/>
      <c r="N65" s="749"/>
      <c r="O65" s="1259"/>
      <c r="P65" s="1260"/>
      <c r="Q65" s="1259"/>
      <c r="R65" s="1259"/>
      <c r="S65" s="749"/>
    </row>
    <row r="66" spans="1:19" ht="14.5" x14ac:dyDescent="0.35">
      <c r="A66" s="1256"/>
      <c r="B66" s="1262"/>
      <c r="C66" s="1257"/>
      <c r="D66" s="1256"/>
      <c r="E66" s="1258"/>
      <c r="F66" s="1259"/>
      <c r="G66" s="1258"/>
      <c r="H66" s="1258"/>
      <c r="I66" s="1258"/>
      <c r="J66" s="1258"/>
      <c r="K66" s="1258"/>
      <c r="L66" s="1258"/>
      <c r="M66" s="749"/>
      <c r="N66" s="749"/>
      <c r="O66" s="1259"/>
      <c r="P66" s="1260"/>
      <c r="Q66" s="1259"/>
      <c r="R66" s="1259"/>
      <c r="S66" s="749"/>
    </row>
    <row r="67" spans="1:19" ht="14.5" x14ac:dyDescent="0.35">
      <c r="A67" s="1256"/>
      <c r="B67" s="1262"/>
      <c r="C67" s="1257"/>
      <c r="D67" s="1256"/>
      <c r="E67" s="1258"/>
      <c r="F67" s="1259"/>
      <c r="G67" s="1258"/>
      <c r="H67" s="1258"/>
      <c r="I67" s="1258"/>
      <c r="J67" s="1258"/>
      <c r="K67" s="1258"/>
      <c r="L67" s="1258"/>
      <c r="M67" s="749"/>
      <c r="N67" s="749"/>
      <c r="O67" s="1259"/>
      <c r="P67" s="1260"/>
      <c r="Q67" s="1259"/>
      <c r="R67" s="1259"/>
      <c r="S67" s="749"/>
    </row>
    <row r="68" spans="1:19" ht="14.5" x14ac:dyDescent="0.35">
      <c r="A68" s="1256"/>
      <c r="B68" s="1262"/>
      <c r="C68" s="1257"/>
      <c r="D68" s="1256"/>
      <c r="E68" s="1258"/>
      <c r="F68" s="1259"/>
      <c r="G68" s="1258"/>
      <c r="H68" s="1258"/>
      <c r="I68" s="1258"/>
      <c r="J68" s="1258"/>
      <c r="K68" s="1258"/>
      <c r="L68" s="1258"/>
      <c r="M68" s="749"/>
      <c r="N68" s="749"/>
      <c r="O68" s="1259"/>
      <c r="P68" s="1260"/>
      <c r="Q68" s="1259"/>
      <c r="R68" s="1259"/>
      <c r="S68" s="749"/>
    </row>
  </sheetData>
  <mergeCells count="20">
    <mergeCell ref="B1:L1"/>
    <mergeCell ref="B2:L2"/>
    <mergeCell ref="F4:F6"/>
    <mergeCell ref="A4:A6"/>
    <mergeCell ref="B4:B6"/>
    <mergeCell ref="C4:C6"/>
    <mergeCell ref="D4:D6"/>
    <mergeCell ref="E4:E6"/>
    <mergeCell ref="N5:N6"/>
    <mergeCell ref="O5:S5"/>
    <mergeCell ref="G4:I4"/>
    <mergeCell ref="J4:L4"/>
    <mergeCell ref="M4:S4"/>
    <mergeCell ref="G5:G6"/>
    <mergeCell ref="H5:H6"/>
    <mergeCell ref="I5:I6"/>
    <mergeCell ref="J5:J6"/>
    <mergeCell ref="K5:K6"/>
    <mergeCell ref="L5:L6"/>
    <mergeCell ref="M5:M6"/>
  </mergeCells>
  <conditionalFormatting sqref="D8:E68">
    <cfRule type="containsText" dxfId="70" priority="1" operator="containsText" text="DPR not submitted">
      <formula>NOT(ISERROR(SEARCH("DPR not submitted",D8)))</formula>
    </cfRule>
    <cfRule type="containsText" dxfId="69" priority="2" operator="containsText" text="Yet to be approved">
      <formula>NOT(ISERROR(SEARCH("Yet to be approved",D8)))</formula>
    </cfRule>
  </conditionalFormatting>
  <conditionalFormatting sqref="G8:G35">
    <cfRule type="containsText" dxfId="68" priority="5" operator="containsText" text="DPR not submitted">
      <formula>NOT(ISERROR(SEARCH("DPR not submitted",G8)))</formula>
    </cfRule>
    <cfRule type="containsText" dxfId="67" priority="6" operator="containsText" text="Yet to be approved">
      <formula>NOT(ISERROR(SEARCH("Yet to be approved",G8)))</formula>
    </cfRule>
  </conditionalFormatting>
  <conditionalFormatting sqref="G38:G60">
    <cfRule type="containsText" dxfId="66" priority="11" operator="containsText" text="DPR not submitted">
      <formula>NOT(ISERROR(SEARCH("DPR not submitted",G38)))</formula>
    </cfRule>
    <cfRule type="containsText" dxfId="65" priority="12" operator="containsText" text="Yet to be approved">
      <formula>NOT(ISERROR(SEARCH("Yet to be approved",G38)))</formula>
    </cfRule>
  </conditionalFormatting>
  <conditionalFormatting sqref="G63:G68">
    <cfRule type="containsText" dxfId="64" priority="20" operator="containsText" text="DPR not submitted">
      <formula>NOT(ISERROR(SEARCH("DPR not submitted",G63)))</formula>
    </cfRule>
    <cfRule type="containsText" dxfId="63" priority="21" operator="containsText" text="Yet to be approved">
      <formula>NOT(ISERROR(SEARCH("Yet to be approved",G63)))</formula>
    </cfRule>
  </conditionalFormatting>
  <conditionalFormatting sqref="G36:L37">
    <cfRule type="containsText" dxfId="62" priority="23" operator="containsText" text="DPR not submitted">
      <formula>NOT(ISERROR(SEARCH("DPR not submitted",G36)))</formula>
    </cfRule>
    <cfRule type="containsText" dxfId="61" priority="24" operator="containsText" text="Yet to be approved">
      <formula>NOT(ISERROR(SEARCH("Yet to be approved",G36)))</formula>
    </cfRule>
  </conditionalFormatting>
  <conditionalFormatting sqref="G61:L62">
    <cfRule type="containsText" dxfId="60" priority="56" operator="containsText" text="DPR not submitted">
      <formula>NOT(ISERROR(SEARCH("DPR not submitted",G61)))</formula>
    </cfRule>
    <cfRule type="containsText" dxfId="59" priority="57" operator="containsText" text="Yet to be approved">
      <formula>NOT(ISERROR(SEARCH("Yet to be approved",G61)))</formula>
    </cfRule>
  </conditionalFormatting>
  <conditionalFormatting sqref="H9:K10">
    <cfRule type="containsText" dxfId="58" priority="37" operator="containsText" text="DPR not submitted">
      <formula>NOT(ISERROR(SEARCH("DPR not submitted",H9)))</formula>
    </cfRule>
    <cfRule type="containsText" dxfId="57" priority="38" operator="containsText" text="Yet to be approved">
      <formula>NOT(ISERROR(SEARCH("Yet to be approved",H9)))</formula>
    </cfRule>
  </conditionalFormatting>
  <conditionalFormatting sqref="H12:K13">
    <cfRule type="containsText" dxfId="56" priority="43" operator="containsText" text="DPR not submitted">
      <formula>NOT(ISERROR(SEARCH("DPR not submitted",H12)))</formula>
    </cfRule>
    <cfRule type="containsText" dxfId="55" priority="44" operator="containsText" text="Yet to be approved">
      <formula>NOT(ISERROR(SEARCH("Yet to be approved",H12)))</formula>
    </cfRule>
  </conditionalFormatting>
  <conditionalFormatting sqref="H15:K17">
    <cfRule type="containsText" dxfId="54" priority="40" operator="containsText" text="DPR not submitted">
      <formula>NOT(ISERROR(SEARCH("DPR not submitted",H15)))</formula>
    </cfRule>
    <cfRule type="containsText" dxfId="53" priority="41" operator="containsText" text="Yet to be approved">
      <formula>NOT(ISERROR(SEARCH("Yet to be approved",H15)))</formula>
    </cfRule>
  </conditionalFormatting>
  <conditionalFormatting sqref="H19:K29">
    <cfRule type="containsText" dxfId="52" priority="34" operator="containsText" text="DPR not submitted">
      <formula>NOT(ISERROR(SEARCH("DPR not submitted",H19)))</formula>
    </cfRule>
    <cfRule type="containsText" dxfId="51" priority="35" operator="containsText" text="Yet to be approved">
      <formula>NOT(ISERROR(SEARCH("Yet to be approved",H19)))</formula>
    </cfRule>
  </conditionalFormatting>
  <conditionalFormatting sqref="H31:K34 H39:K47">
    <cfRule type="containsText" dxfId="50" priority="31" operator="containsText" text="DPR not submitted">
      <formula>NOT(ISERROR(SEARCH("DPR not submitted",H31)))</formula>
    </cfRule>
    <cfRule type="containsText" dxfId="49" priority="32" operator="containsText" text="Yet to be approved">
      <formula>NOT(ISERROR(SEARCH("Yet to be approved",H31)))</formula>
    </cfRule>
  </conditionalFormatting>
  <conditionalFormatting sqref="H49:K56">
    <cfRule type="containsText" dxfId="48" priority="28" operator="containsText" text="DPR not submitted">
      <formula>NOT(ISERROR(SEARCH("DPR not submitted",H49)))</formula>
    </cfRule>
    <cfRule type="containsText" dxfId="47" priority="29" operator="containsText" text="Yet to be approved">
      <formula>NOT(ISERROR(SEARCH("Yet to be approved",H49)))</formula>
    </cfRule>
  </conditionalFormatting>
  <conditionalFormatting sqref="H58:K59">
    <cfRule type="containsText" dxfId="46" priority="25" operator="containsText" text="DPR not submitted">
      <formula>NOT(ISERROR(SEARCH("DPR not submitted",H58)))</formula>
    </cfRule>
    <cfRule type="containsText" dxfId="45" priority="26" operator="containsText" text="Yet to be approved">
      <formula>NOT(ISERROR(SEARCH("Yet to be approved",H58)))</formula>
    </cfRule>
  </conditionalFormatting>
  <conditionalFormatting sqref="H64:K68">
    <cfRule type="containsText" dxfId="44" priority="18" operator="containsText" text="DPR not submitted">
      <formula>NOT(ISERROR(SEARCH("DPR not submitted",H64)))</formula>
    </cfRule>
    <cfRule type="containsText" dxfId="43" priority="19" operator="containsText" text="Yet to be approved">
      <formula>NOT(ISERROR(SEARCH("Yet to be approved",H64)))</formula>
    </cfRule>
  </conditionalFormatting>
  <conditionalFormatting sqref="I8:J8 I11:J11 I14:J14 I18:J18">
    <cfRule type="containsText" dxfId="42" priority="58" operator="containsText" text="DPR not submitted">
      <formula>NOT(ISERROR(SEARCH("DPR not submitted",I8)))</formula>
    </cfRule>
    <cfRule type="containsText" dxfId="41" priority="59" operator="containsText" text="Yet to be approved">
      <formula>NOT(ISERROR(SEARCH("Yet to be approved",I8)))</formula>
    </cfRule>
  </conditionalFormatting>
  <conditionalFormatting sqref="I30:J30">
    <cfRule type="containsText" dxfId="40" priority="53" operator="containsText" text="DPR not submitted">
      <formula>NOT(ISERROR(SEARCH("DPR not submitted",I30)))</formula>
    </cfRule>
    <cfRule type="containsText" dxfId="39" priority="54" operator="containsText" text="Yet to be approved">
      <formula>NOT(ISERROR(SEARCH("Yet to be approved",I30)))</formula>
    </cfRule>
  </conditionalFormatting>
  <conditionalFormatting sqref="I35:J35">
    <cfRule type="containsText" dxfId="38" priority="7" operator="containsText" text="DPR not submitted">
      <formula>NOT(ISERROR(SEARCH("DPR not submitted",I35)))</formula>
    </cfRule>
    <cfRule type="containsText" dxfId="37" priority="8" operator="containsText" text="Yet to be approved">
      <formula>NOT(ISERROR(SEARCH("Yet to be approved",I35)))</formula>
    </cfRule>
  </conditionalFormatting>
  <conditionalFormatting sqref="I38:J38">
    <cfRule type="containsText" dxfId="36" priority="13" operator="containsText" text="DPR not submitted">
      <formula>NOT(ISERROR(SEARCH("DPR not submitted",I38)))</formula>
    </cfRule>
    <cfRule type="containsText" dxfId="35" priority="14" operator="containsText" text="Yet to be approved">
      <formula>NOT(ISERROR(SEARCH("Yet to be approved",I38)))</formula>
    </cfRule>
  </conditionalFormatting>
  <conditionalFormatting sqref="I48:J48">
    <cfRule type="containsText" dxfId="34" priority="51" operator="containsText" text="DPR not submitted">
      <formula>NOT(ISERROR(SEARCH("DPR not submitted",I48)))</formula>
    </cfRule>
    <cfRule type="containsText" dxfId="33" priority="52" operator="containsText" text="Yet to be approved">
      <formula>NOT(ISERROR(SEARCH("Yet to be approved",I48)))</formula>
    </cfRule>
  </conditionalFormatting>
  <conditionalFormatting sqref="I57:J57">
    <cfRule type="containsText" dxfId="32" priority="49" operator="containsText" text="DPR not submitted">
      <formula>NOT(ISERROR(SEARCH("DPR not submitted",I57)))</formula>
    </cfRule>
    <cfRule type="containsText" dxfId="31" priority="50" operator="containsText" text="Yet to be approved">
      <formula>NOT(ISERROR(SEARCH("Yet to be approved",I57)))</formula>
    </cfRule>
  </conditionalFormatting>
  <conditionalFormatting sqref="I60:J60">
    <cfRule type="containsText" dxfId="30" priority="47" operator="containsText" text="DPR not submitted">
      <formula>NOT(ISERROR(SEARCH("DPR not submitted",I60)))</formula>
    </cfRule>
    <cfRule type="containsText" dxfId="29" priority="48" operator="containsText" text="Yet to be approved">
      <formula>NOT(ISERROR(SEARCH("Yet to be approved",I60)))</formula>
    </cfRule>
  </conditionalFormatting>
  <conditionalFormatting sqref="I63:J63">
    <cfRule type="containsText" dxfId="28" priority="45" operator="containsText" text="DPR not submitted">
      <formula>NOT(ISERROR(SEARCH("DPR not submitted",I63)))</formula>
    </cfRule>
    <cfRule type="containsText" dxfId="27" priority="46" operator="containsText" text="Yet to be approved">
      <formula>NOT(ISERROR(SEARCH("Yet to be approved",I63)))</formula>
    </cfRule>
  </conditionalFormatting>
  <conditionalFormatting sqref="L8:L35">
    <cfRule type="containsText" dxfId="26" priority="3" operator="containsText" text="DPR not submitted">
      <formula>NOT(ISERROR(SEARCH("DPR not submitted",L8)))</formula>
    </cfRule>
    <cfRule type="containsText" dxfId="25" priority="4" operator="containsText" text="Yet to be approved">
      <formula>NOT(ISERROR(SEARCH("Yet to be approved",L8)))</formula>
    </cfRule>
  </conditionalFormatting>
  <conditionalFormatting sqref="L38:L60">
    <cfRule type="containsText" dxfId="24" priority="9" operator="containsText" text="DPR not submitted">
      <formula>NOT(ISERROR(SEARCH("DPR not submitted",L38)))</formula>
    </cfRule>
    <cfRule type="containsText" dxfId="23" priority="10" operator="containsText" text="Yet to be approved">
      <formula>NOT(ISERROR(SEARCH("Yet to be approved",L38)))</formula>
    </cfRule>
  </conditionalFormatting>
  <conditionalFormatting sqref="L63:L68">
    <cfRule type="containsText" dxfId="22" priority="16" operator="containsText" text="DPR not submitted">
      <formula>NOT(ISERROR(SEARCH("DPR not submitted",L63)))</formula>
    </cfRule>
    <cfRule type="containsText" dxfId="21" priority="17" operator="containsText" text="Yet to be approved">
      <formula>NOT(ISERROR(SEARCH("Yet to be approved",L63)))</formula>
    </cfRule>
  </conditionalFormatting>
  <conditionalFormatting sqref="S1:S7 S69:S1048576">
    <cfRule type="cellIs" dxfId="20" priority="68" operator="lessThan">
      <formula>0</formula>
    </cfRule>
  </conditionalFormatting>
  <conditionalFormatting sqref="S9:S10">
    <cfRule type="cellIs" dxfId="19" priority="36" operator="lessThan">
      <formula>0</formula>
    </cfRule>
  </conditionalFormatting>
  <conditionalFormatting sqref="S12:S13">
    <cfRule type="cellIs" dxfId="18" priority="42" operator="lessThan">
      <formula>0</formula>
    </cfRule>
  </conditionalFormatting>
  <conditionalFormatting sqref="S15:S17">
    <cfRule type="cellIs" dxfId="17" priority="39" operator="lessThan">
      <formula>0</formula>
    </cfRule>
  </conditionalFormatting>
  <conditionalFormatting sqref="S19:S29">
    <cfRule type="cellIs" dxfId="16" priority="33" operator="lessThan">
      <formula>0</formula>
    </cfRule>
  </conditionalFormatting>
  <conditionalFormatting sqref="S31:S34 S36:S37 S39:S47">
    <cfRule type="cellIs" dxfId="15" priority="30" operator="lessThan">
      <formula>0</formula>
    </cfRule>
  </conditionalFormatting>
  <conditionalFormatting sqref="S49:S56">
    <cfRule type="cellIs" dxfId="14" priority="27" operator="lessThan">
      <formula>0</formula>
    </cfRule>
  </conditionalFormatting>
  <conditionalFormatting sqref="S58:S59">
    <cfRule type="cellIs" dxfId="13" priority="22" operator="lessThan">
      <formula>0</formula>
    </cfRule>
  </conditionalFormatting>
  <conditionalFormatting sqref="S61:S62">
    <cfRule type="cellIs" dxfId="12" priority="55" operator="lessThan">
      <formula>0</formula>
    </cfRule>
  </conditionalFormatting>
  <conditionalFormatting sqref="S64:S68">
    <cfRule type="cellIs" dxfId="11" priority="15" operator="lessThan">
      <formula>0</formula>
    </cfRule>
  </conditionalFormatting>
  <pageMargins left="0.47244094488188981" right="0.19685039370078741" top="0.39370078740157483" bottom="0.35433070866141736" header="0.23622047244094491" footer="0.23622047244094491"/>
  <pageSetup paperSize="9" scale="37" fitToWidth="2" fitToHeight="0" orientation="landscape" r:id="rId1"/>
  <headerFooter alignWithMargins="0">
    <oddHeader>&amp;F</oddHeader>
  </headerFooter>
  <extLst>
    <ext xmlns:x14="http://schemas.microsoft.com/office/spreadsheetml/2009/9/main" uri="{78C0D931-6437-407d-A8EE-F0AAD7539E65}">
      <x14:conditionalFormattings>
        <x14:conditionalFormatting xmlns:xm="http://schemas.microsoft.com/office/excel/2006/main">
          <x14:cfRule type="containsText" priority="60" operator="containsText" id="{58AF2DD9-CC47-41D7-89B8-E894825E7A8B}">
            <xm:f>NOT(ISERROR(SEARCH($AS$8,AO8)))</xm:f>
            <xm:f>$AS$8</xm:f>
            <x14:dxf>
              <font>
                <b val="0"/>
                <i/>
                <color rgb="FFFF0000"/>
              </font>
              <fill>
                <patternFill patternType="none"/>
              </fill>
            </x14:dxf>
          </x14:cfRule>
          <x14:cfRule type="containsText" priority="61" operator="containsText" id="{BAC043E8-2414-49E9-A4B7-FDDB26A829F7}">
            <xm:f>NOT(ISERROR(SEARCH($AS$7,AO8)))</xm:f>
            <xm:f>$AS$7</xm:f>
            <x14:dxf>
              <fill>
                <patternFill patternType="solid">
                  <bgColor theme="0" tint="-0.34998626667073579"/>
                </patternFill>
              </fill>
            </x14:dxf>
          </x14:cfRule>
          <x14:cfRule type="containsText" priority="62" operator="containsText" id="{0FB0877C-AE37-4F5C-8AAF-BB9A77CF4BEE}">
            <xm:f>NOT(ISERROR(SEARCH($AS$6,AO8)))</xm:f>
            <xm:f>$AS$6</xm:f>
            <x14:dxf>
              <font>
                <color rgb="FF9C0006"/>
              </font>
              <fill>
                <patternFill patternType="solid">
                  <bgColor rgb="FFFFC7CE"/>
                </patternFill>
              </fill>
            </x14:dxf>
          </x14:cfRule>
          <x14:cfRule type="containsText" priority="63" operator="containsText" id="{3A1572E2-799B-4427-8BB1-33BD8C0CF64E}">
            <xm:f>NOT(ISERROR(SEARCH($AS$5,AO8)))</xm:f>
            <xm:f>$AS$5</xm:f>
            <x14:dxf>
              <font>
                <color rgb="FF9C0006"/>
              </font>
              <fill>
                <patternFill patternType="solid">
                  <bgColor rgb="FFFFC7CE"/>
                </patternFill>
              </fill>
            </x14:dxf>
          </x14:cfRule>
          <x14:cfRule type="containsText" priority="64" operator="containsText" id="{C893A41D-4BE2-4E03-B9B8-9D2776B917BB}">
            <xm:f>NOT(ISERROR(SEARCH($AS$4,AO8)))</xm:f>
            <xm:f>$AS$4</xm:f>
            <x14:dxf>
              <font>
                <color rgb="FF006100"/>
              </font>
              <fill>
                <patternFill patternType="solid">
                  <bgColor rgb="FFC6EFCE"/>
                </patternFill>
              </fill>
            </x14:dxf>
          </x14:cfRule>
          <x14:cfRule type="containsText" priority="65" operator="containsText" id="{3F1D45C2-1279-49DE-A0BD-6E3FC7DEB839}">
            <xm:f>NOT(ISERROR(SEARCH($AS$3,AO8)))</xm:f>
            <xm:f>$AS$3</xm:f>
            <x14:dxf>
              <font>
                <color rgb="FF00B050"/>
              </font>
            </x14:dxf>
          </x14:cfRule>
          <x14:cfRule type="containsText" priority="66" operator="containsText" id="{130E41AA-90D5-4EC0-9136-6DCA5129B52B}">
            <xm:f>NOT(ISERROR(SEARCH($AS$2,AO8)))</xm:f>
            <xm:f>$AS$2</xm:f>
            <x14:dxf>
              <font>
                <color rgb="FF9C6500"/>
              </font>
              <fill>
                <patternFill patternType="solid">
                  <bgColor rgb="FFFFEB9C"/>
                </patternFill>
              </fill>
            </x14:dxf>
          </x14:cfRule>
          <x14:cfRule type="containsText" priority="67" operator="containsText" id="{98575A7C-533D-41F4-99D7-DFEC6871E81A}">
            <xm:f>NOT(ISERROR(SEARCH($AS$1,AO8)))</xm:f>
            <xm:f>$AS$1</xm:f>
            <x14:dxf>
              <font>
                <color rgb="FF00B0F0"/>
              </font>
            </x14:dxf>
          </x14:cfRule>
          <xm:sqref>AO8</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92"/>
  <sheetViews>
    <sheetView showGridLines="0" view="pageBreakPreview" topLeftCell="A10" zoomScale="44" zoomScaleNormal="80" zoomScaleSheetLayoutView="80" workbookViewId="0">
      <pane ySplit="3" topLeftCell="A74" activePane="bottomLeft" state="frozen"/>
      <selection activeCell="Q100" sqref="Q100"/>
      <selection pane="bottomLeft" activeCell="C30" sqref="C30"/>
    </sheetView>
  </sheetViews>
  <sheetFormatPr defaultColWidth="9.1796875" defaultRowHeight="28.4" customHeight="1" x14ac:dyDescent="0.25"/>
  <cols>
    <col min="1" max="1" width="8.81640625" style="67" customWidth="1"/>
    <col min="2" max="2" width="8.1796875" style="340" customWidth="1"/>
    <col min="3" max="3" width="75.81640625" style="342" customWidth="1"/>
    <col min="4" max="4" width="19.1796875" style="67" customWidth="1"/>
    <col min="5" max="12" width="19.1796875" style="67" hidden="1" customWidth="1"/>
    <col min="13" max="13" width="18.81640625" style="67" hidden="1" customWidth="1"/>
    <col min="14" max="14" width="15.54296875" style="67" hidden="1" customWidth="1"/>
    <col min="15" max="16" width="15.54296875" style="67" customWidth="1"/>
    <col min="17" max="20" width="14.453125" style="67" customWidth="1"/>
    <col min="21" max="22" width="16.54296875" style="67" customWidth="1"/>
    <col min="23" max="25" width="14.453125" style="67" customWidth="1"/>
    <col min="26" max="26" width="15.453125" style="67" customWidth="1"/>
    <col min="27" max="27" width="19.1796875" style="67" customWidth="1"/>
    <col min="28" max="28" width="14.81640625" style="67" bestFit="1" customWidth="1"/>
    <col min="29" max="31" width="15.81640625" style="67" customWidth="1"/>
    <col min="32" max="32" width="16.54296875" style="67" customWidth="1"/>
    <col min="33" max="34" width="16" style="67" customWidth="1"/>
    <col min="35" max="37" width="12.81640625" style="67" customWidth="1"/>
    <col min="38" max="38" width="15.1796875" style="67" customWidth="1"/>
    <col min="39" max="39" width="12.54296875" style="67" customWidth="1"/>
    <col min="40" max="40" width="13.453125" style="67" customWidth="1"/>
    <col min="41" max="41" width="13.54296875" style="67" customWidth="1"/>
    <col min="42" max="44" width="9.1796875" style="67"/>
    <col min="45" max="45" width="11.1796875" style="67" customWidth="1"/>
    <col min="46" max="16384" width="9.1796875" style="67"/>
  </cols>
  <sheetData>
    <row r="1" spans="1:41" ht="28.4" hidden="1" customHeight="1" x14ac:dyDescent="0.25"/>
    <row r="2" spans="1:41" ht="28.4" hidden="1" customHeight="1" x14ac:dyDescent="0.25">
      <c r="C2" s="1107"/>
      <c r="D2" s="1107"/>
      <c r="E2" s="1107"/>
      <c r="F2" s="1107"/>
      <c r="G2" s="1107"/>
      <c r="H2" s="1107"/>
      <c r="I2" s="1107"/>
      <c r="J2" s="1107"/>
      <c r="K2" s="1107"/>
      <c r="L2" s="1107"/>
      <c r="M2" s="1107"/>
      <c r="N2" s="1107"/>
      <c r="O2" s="1107"/>
      <c r="P2" s="1107"/>
      <c r="Q2" s="1107"/>
      <c r="R2" s="1107"/>
      <c r="S2" s="1107"/>
      <c r="T2" s="1108"/>
      <c r="U2" s="1108"/>
      <c r="V2" s="1108"/>
    </row>
    <row r="3" spans="1:41" ht="28.4" hidden="1" customHeight="1" x14ac:dyDescent="0.25">
      <c r="B3" s="1560" t="s">
        <v>2886</v>
      </c>
      <c r="C3" s="1560"/>
      <c r="D3" s="1560"/>
      <c r="E3" s="1560"/>
      <c r="F3" s="1560"/>
      <c r="G3" s="1560"/>
      <c r="H3" s="1560"/>
      <c r="I3" s="1560"/>
      <c r="J3" s="1560"/>
      <c r="K3" s="1560"/>
      <c r="L3" s="1560"/>
      <c r="M3" s="1560"/>
      <c r="N3" s="1560"/>
      <c r="O3" s="1560"/>
      <c r="P3" s="1560"/>
      <c r="Q3" s="1560"/>
      <c r="R3" s="1560"/>
      <c r="S3" s="1560"/>
      <c r="T3" s="1560"/>
      <c r="U3" s="1560"/>
      <c r="V3" s="1560"/>
      <c r="W3" s="1560"/>
      <c r="X3" s="1560"/>
      <c r="Y3" s="1560"/>
      <c r="Z3" s="1560"/>
      <c r="AA3" s="1560"/>
      <c r="AB3" s="1560"/>
      <c r="AC3" s="1560"/>
      <c r="AD3" s="1560"/>
      <c r="AE3" s="1560"/>
      <c r="AF3" s="1560"/>
      <c r="AG3" s="1560"/>
      <c r="AH3" s="1560"/>
      <c r="AI3" s="1560"/>
      <c r="AJ3" s="1560"/>
      <c r="AK3" s="1560"/>
      <c r="AL3" s="1560"/>
      <c r="AM3" s="1560"/>
      <c r="AN3" s="1560"/>
      <c r="AO3" s="1560"/>
    </row>
    <row r="4" spans="1:41" ht="28.4" hidden="1" customHeight="1" x14ac:dyDescent="0.25">
      <c r="B4" s="1407" t="s">
        <v>912</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407"/>
      <c r="AJ4" s="1407"/>
      <c r="AK4" s="1407"/>
      <c r="AL4" s="1407"/>
      <c r="AM4" s="1407"/>
      <c r="AN4" s="1407"/>
      <c r="AO4" s="1407"/>
    </row>
    <row r="5" spans="1:41" ht="28.4" hidden="1" customHeight="1" x14ac:dyDescent="0.25">
      <c r="B5" s="1561" t="s">
        <v>593</v>
      </c>
      <c r="C5" s="1561"/>
      <c r="D5" s="1561"/>
      <c r="E5" s="1561"/>
      <c r="F5" s="1561"/>
      <c r="G5" s="1561"/>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1561"/>
      <c r="AF5" s="1561"/>
      <c r="AG5" s="1561"/>
      <c r="AH5" s="1561"/>
      <c r="AI5" s="1561"/>
      <c r="AJ5" s="1561"/>
      <c r="AK5" s="1561"/>
      <c r="AL5" s="1561"/>
      <c r="AM5" s="1561"/>
      <c r="AN5" s="1561"/>
      <c r="AO5" s="1561"/>
    </row>
    <row r="6" spans="1:41" ht="28.4" hidden="1" customHeight="1" x14ac:dyDescent="0.25">
      <c r="B6" s="1561" t="s">
        <v>2887</v>
      </c>
      <c r="C6" s="1561"/>
      <c r="D6" s="1561"/>
      <c r="E6" s="1561"/>
      <c r="F6" s="1561"/>
      <c r="G6" s="1561"/>
      <c r="H6" s="1561"/>
      <c r="I6" s="1561"/>
      <c r="J6" s="1561"/>
      <c r="K6" s="1561"/>
      <c r="L6" s="1561"/>
      <c r="M6" s="1561"/>
      <c r="N6" s="1561"/>
      <c r="O6" s="1561"/>
      <c r="P6" s="1561"/>
      <c r="Q6" s="1561"/>
      <c r="R6" s="1561"/>
      <c r="S6" s="1561"/>
      <c r="T6" s="1561"/>
      <c r="U6" s="1561"/>
      <c r="V6" s="1561"/>
      <c r="W6" s="1561"/>
      <c r="X6" s="1561"/>
      <c r="Y6" s="1561"/>
      <c r="Z6" s="1561"/>
      <c r="AA6" s="1561"/>
      <c r="AB6" s="1561"/>
      <c r="AC6" s="1561"/>
      <c r="AD6" s="1561"/>
      <c r="AE6" s="1561"/>
      <c r="AF6" s="1561"/>
      <c r="AG6" s="1561"/>
      <c r="AH6" s="1561"/>
      <c r="AI6" s="1561"/>
      <c r="AJ6" s="1561"/>
      <c r="AK6" s="1561"/>
      <c r="AL6" s="1561"/>
      <c r="AM6" s="1561"/>
      <c r="AN6" s="1561"/>
      <c r="AO6" s="1561"/>
    </row>
    <row r="7" spans="1:41" ht="28.4" hidden="1" customHeight="1" x14ac:dyDescent="0.25">
      <c r="C7" s="1109"/>
      <c r="D7" s="111"/>
      <c r="E7" s="111"/>
      <c r="F7" s="111"/>
      <c r="G7" s="111"/>
      <c r="H7" s="111"/>
      <c r="I7" s="111"/>
      <c r="J7" s="111"/>
      <c r="K7" s="111"/>
      <c r="L7" s="111"/>
      <c r="M7" s="1110"/>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row>
    <row r="8" spans="1:41" ht="28.4" hidden="1" customHeight="1" x14ac:dyDescent="0.25">
      <c r="C8" s="387" t="s">
        <v>0</v>
      </c>
      <c r="D8" s="1110"/>
      <c r="E8" s="1110"/>
      <c r="F8" s="1110"/>
      <c r="G8" s="1110"/>
      <c r="H8" s="1110"/>
      <c r="I8" s="1110"/>
      <c r="J8" s="1110"/>
      <c r="K8" s="1110"/>
      <c r="L8" s="1110"/>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row>
    <row r="9" spans="1:41" ht="28.4" hidden="1" customHeight="1" x14ac:dyDescent="0.25">
      <c r="C9" s="1109"/>
      <c r="D9" s="111"/>
      <c r="E9" s="111"/>
      <c r="F9" s="111"/>
      <c r="G9" s="111"/>
      <c r="H9" s="111"/>
      <c r="I9" s="111"/>
      <c r="J9" s="111"/>
      <c r="K9" s="111"/>
      <c r="L9" s="111"/>
      <c r="M9" s="111"/>
      <c r="N9" s="112"/>
      <c r="O9" s="112"/>
      <c r="P9" s="112"/>
      <c r="Q9" s="112"/>
      <c r="R9" s="112"/>
      <c r="S9" s="112"/>
      <c r="W9" s="112"/>
      <c r="X9" s="112"/>
      <c r="Y9" s="112"/>
      <c r="Z9" s="112"/>
      <c r="AA9" s="63"/>
      <c r="AB9" s="63"/>
      <c r="AC9" s="112"/>
      <c r="AE9" s="112"/>
      <c r="AF9" s="947"/>
      <c r="AG9" s="947"/>
      <c r="AH9" s="63" t="s">
        <v>10</v>
      </c>
      <c r="AI9" s="63"/>
      <c r="AJ9" s="63"/>
      <c r="AK9" s="63"/>
      <c r="AL9" s="112"/>
      <c r="AM9" s="112"/>
      <c r="AN9" s="112"/>
    </row>
    <row r="10" spans="1:41" ht="28.4" customHeight="1" x14ac:dyDescent="0.25">
      <c r="B10" s="1475" t="s">
        <v>327</v>
      </c>
      <c r="C10" s="1475" t="s">
        <v>16</v>
      </c>
      <c r="D10" s="1475" t="s">
        <v>1</v>
      </c>
      <c r="E10" s="1475" t="s">
        <v>460</v>
      </c>
      <c r="F10" s="1475" t="s">
        <v>461</v>
      </c>
      <c r="G10" s="1475" t="s">
        <v>465</v>
      </c>
      <c r="H10" s="1475" t="s">
        <v>19</v>
      </c>
      <c r="I10" s="1475" t="s">
        <v>547</v>
      </c>
      <c r="J10" s="1475" t="s">
        <v>466</v>
      </c>
      <c r="K10" s="1475" t="s">
        <v>467</v>
      </c>
      <c r="L10" s="1475" t="s">
        <v>468</v>
      </c>
      <c r="M10" s="1475" t="s">
        <v>469</v>
      </c>
      <c r="N10" s="1475" t="s">
        <v>17</v>
      </c>
      <c r="O10" s="1562" t="s">
        <v>21</v>
      </c>
      <c r="P10" s="1563"/>
      <c r="Q10" s="1563"/>
      <c r="R10" s="1563"/>
      <c r="S10" s="1563"/>
      <c r="T10" s="1563"/>
      <c r="U10" s="1554" t="s">
        <v>2888</v>
      </c>
      <c r="V10" s="1555"/>
      <c r="W10" s="1555"/>
      <c r="X10" s="1555"/>
      <c r="Y10" s="1555"/>
      <c r="Z10" s="1555"/>
      <c r="AA10" s="1554" t="s">
        <v>18</v>
      </c>
      <c r="AB10" s="1555"/>
      <c r="AC10" s="1555"/>
      <c r="AD10" s="1555"/>
      <c r="AE10" s="1555"/>
      <c r="AF10" s="1555"/>
      <c r="AG10" s="1481" t="s">
        <v>956</v>
      </c>
      <c r="AH10" s="1481"/>
    </row>
    <row r="11" spans="1:41" ht="28.4" customHeight="1" x14ac:dyDescent="0.25">
      <c r="B11" s="1559"/>
      <c r="C11" s="1559"/>
      <c r="D11" s="1559"/>
      <c r="E11" s="1559"/>
      <c r="F11" s="1559"/>
      <c r="G11" s="1559"/>
      <c r="H11" s="1559"/>
      <c r="I11" s="1559"/>
      <c r="J11" s="1559"/>
      <c r="K11" s="1559"/>
      <c r="L11" s="1559"/>
      <c r="M11" s="1559"/>
      <c r="N11" s="1559"/>
      <c r="O11" s="1475" t="s">
        <v>2889</v>
      </c>
      <c r="P11" s="64" t="s">
        <v>12</v>
      </c>
      <c r="Q11" s="64" t="s">
        <v>12</v>
      </c>
      <c r="R11" s="64" t="s">
        <v>12</v>
      </c>
      <c r="S11" s="64" t="s">
        <v>12</v>
      </c>
      <c r="T11" s="64" t="s">
        <v>12</v>
      </c>
      <c r="U11" s="1475" t="s">
        <v>2890</v>
      </c>
      <c r="V11" s="64" t="s">
        <v>20</v>
      </c>
      <c r="W11" s="64" t="s">
        <v>20</v>
      </c>
      <c r="X11" s="64" t="s">
        <v>20</v>
      </c>
      <c r="Y11" s="64" t="s">
        <v>20</v>
      </c>
      <c r="Z11" s="64" t="s">
        <v>20</v>
      </c>
      <c r="AA11" s="1475" t="s">
        <v>2891</v>
      </c>
      <c r="AB11" s="64" t="s">
        <v>20</v>
      </c>
      <c r="AC11" s="64" t="s">
        <v>20</v>
      </c>
      <c r="AD11" s="64" t="s">
        <v>20</v>
      </c>
      <c r="AE11" s="64" t="s">
        <v>20</v>
      </c>
      <c r="AF11" s="64" t="s">
        <v>20</v>
      </c>
      <c r="AG11" s="1475" t="s">
        <v>2892</v>
      </c>
      <c r="AH11" s="1564" t="s">
        <v>2893</v>
      </c>
    </row>
    <row r="12" spans="1:41" ht="28.4" customHeight="1" x14ac:dyDescent="0.25">
      <c r="B12" s="1476"/>
      <c r="C12" s="1476"/>
      <c r="D12" s="1476"/>
      <c r="E12" s="1476"/>
      <c r="F12" s="1476"/>
      <c r="G12" s="1476"/>
      <c r="H12" s="1476"/>
      <c r="I12" s="1476"/>
      <c r="J12" s="1476"/>
      <c r="K12" s="1476"/>
      <c r="L12" s="1476"/>
      <c r="M12" s="1476"/>
      <c r="N12" s="1476"/>
      <c r="O12" s="1476"/>
      <c r="P12" s="97" t="s">
        <v>849</v>
      </c>
      <c r="Q12" s="97" t="s">
        <v>850</v>
      </c>
      <c r="R12" s="97" t="s">
        <v>851</v>
      </c>
      <c r="S12" s="97" t="s">
        <v>852</v>
      </c>
      <c r="T12" s="97" t="s">
        <v>853</v>
      </c>
      <c r="U12" s="1476"/>
      <c r="V12" s="97" t="s">
        <v>849</v>
      </c>
      <c r="W12" s="97" t="s">
        <v>850</v>
      </c>
      <c r="X12" s="97" t="s">
        <v>851</v>
      </c>
      <c r="Y12" s="97" t="s">
        <v>852</v>
      </c>
      <c r="Z12" s="97" t="s">
        <v>852</v>
      </c>
      <c r="AA12" s="1476"/>
      <c r="AB12" s="97" t="s">
        <v>849</v>
      </c>
      <c r="AC12" s="97" t="s">
        <v>850</v>
      </c>
      <c r="AD12" s="97" t="s">
        <v>851</v>
      </c>
      <c r="AE12" s="97" t="s">
        <v>852</v>
      </c>
      <c r="AF12" s="97" t="s">
        <v>853</v>
      </c>
      <c r="AG12" s="1476"/>
      <c r="AH12" s="1565"/>
    </row>
    <row r="13" spans="1:41" ht="14" x14ac:dyDescent="0.25">
      <c r="A13" s="67">
        <f>100</f>
        <v>100</v>
      </c>
      <c r="B13" s="121"/>
      <c r="C13" s="386" t="s">
        <v>2909</v>
      </c>
      <c r="D13" s="116"/>
      <c r="E13" s="116"/>
      <c r="F13" s="116"/>
      <c r="G13" s="116"/>
      <c r="H13" s="116"/>
      <c r="I13" s="116"/>
      <c r="J13" s="116"/>
      <c r="K13" s="116"/>
      <c r="L13" s="116"/>
      <c r="M13" s="116"/>
      <c r="N13" s="116"/>
      <c r="O13" s="116"/>
      <c r="P13" s="218">
        <v>0</v>
      </c>
      <c r="Q13" s="218">
        <v>0</v>
      </c>
      <c r="R13" s="218">
        <v>0.5</v>
      </c>
      <c r="S13" s="218">
        <v>0</v>
      </c>
      <c r="T13" s="218">
        <v>0</v>
      </c>
      <c r="U13" s="116"/>
      <c r="V13" s="116"/>
      <c r="W13" s="116"/>
      <c r="X13" s="116"/>
      <c r="Y13" s="116"/>
      <c r="Z13" s="116"/>
      <c r="AA13" s="116"/>
      <c r="AB13" s="116"/>
      <c r="AC13" s="116"/>
      <c r="AD13" s="116"/>
      <c r="AE13" s="116"/>
      <c r="AF13" s="116"/>
      <c r="AG13" s="116"/>
      <c r="AH13" s="116"/>
    </row>
    <row r="14" spans="1:41" ht="28" x14ac:dyDescent="0.25">
      <c r="B14" s="121"/>
      <c r="C14" s="386" t="s">
        <v>2921</v>
      </c>
      <c r="D14" s="116"/>
      <c r="E14" s="116"/>
      <c r="F14" s="116"/>
      <c r="G14" s="116"/>
      <c r="H14" s="116"/>
      <c r="I14" s="116"/>
      <c r="J14" s="116"/>
      <c r="K14" s="116"/>
      <c r="L14" s="116"/>
      <c r="M14" s="116"/>
      <c r="N14" s="116"/>
      <c r="O14" s="116"/>
      <c r="P14" s="218">
        <v>0</v>
      </c>
      <c r="Q14" s="218">
        <v>0</v>
      </c>
      <c r="R14" s="218">
        <v>2.25</v>
      </c>
      <c r="S14" s="218">
        <v>0</v>
      </c>
      <c r="T14" s="218">
        <v>0</v>
      </c>
      <c r="U14" s="116"/>
      <c r="V14" s="116"/>
      <c r="W14" s="116"/>
      <c r="X14" s="116"/>
      <c r="Y14" s="116"/>
      <c r="Z14" s="116"/>
      <c r="AA14" s="116"/>
      <c r="AB14" s="116"/>
      <c r="AC14" s="116"/>
      <c r="AD14" s="116"/>
      <c r="AE14" s="116"/>
      <c r="AF14" s="116"/>
      <c r="AG14" s="116"/>
      <c r="AH14" s="116"/>
    </row>
    <row r="15" spans="1:41" ht="14" x14ac:dyDescent="0.25">
      <c r="B15" s="121"/>
      <c r="C15" s="285" t="s">
        <v>2922</v>
      </c>
      <c r="D15" s="116"/>
      <c r="E15" s="116"/>
      <c r="F15" s="116"/>
      <c r="G15" s="116"/>
      <c r="H15" s="116"/>
      <c r="I15" s="116"/>
      <c r="J15" s="116"/>
      <c r="K15" s="116"/>
      <c r="L15" s="116"/>
      <c r="M15" s="116"/>
      <c r="N15" s="116"/>
      <c r="O15" s="218"/>
      <c r="P15" s="218">
        <v>0</v>
      </c>
      <c r="Q15" s="218">
        <v>0</v>
      </c>
      <c r="R15" s="218">
        <v>0.7</v>
      </c>
      <c r="S15" s="218">
        <v>0</v>
      </c>
      <c r="T15" s="218">
        <v>0</v>
      </c>
      <c r="U15" s="218"/>
      <c r="V15" s="218"/>
      <c r="W15" s="218"/>
      <c r="X15" s="218"/>
      <c r="Y15" s="218"/>
      <c r="Z15" s="218"/>
      <c r="AA15" s="218"/>
      <c r="AB15" s="218"/>
      <c r="AC15" s="218"/>
      <c r="AD15" s="218"/>
      <c r="AE15" s="218"/>
      <c r="AF15" s="218"/>
      <c r="AG15" s="218"/>
      <c r="AH15" s="218"/>
    </row>
    <row r="16" spans="1:41" ht="14" x14ac:dyDescent="0.25">
      <c r="B16" s="121"/>
      <c r="C16" s="285" t="s">
        <v>2923</v>
      </c>
      <c r="D16" s="116"/>
      <c r="E16" s="116"/>
      <c r="F16" s="116"/>
      <c r="G16" s="116"/>
      <c r="H16" s="116"/>
      <c r="I16" s="116"/>
      <c r="J16" s="116"/>
      <c r="K16" s="116"/>
      <c r="L16" s="116"/>
      <c r="M16" s="116"/>
      <c r="N16" s="116"/>
      <c r="O16" s="218"/>
      <c r="P16" s="218">
        <v>0</v>
      </c>
      <c r="Q16" s="218">
        <v>0</v>
      </c>
      <c r="R16" s="218">
        <v>3.5</v>
      </c>
      <c r="S16" s="218">
        <v>0</v>
      </c>
      <c r="T16" s="218">
        <v>0</v>
      </c>
      <c r="U16" s="218"/>
      <c r="V16" s="218"/>
      <c r="W16" s="218"/>
      <c r="X16" s="218"/>
      <c r="Y16" s="218"/>
      <c r="Z16" s="218"/>
      <c r="AA16" s="218"/>
      <c r="AB16" s="218"/>
      <c r="AC16" s="218"/>
      <c r="AD16" s="218"/>
      <c r="AE16" s="218"/>
      <c r="AF16" s="218"/>
      <c r="AG16" s="218"/>
      <c r="AH16" s="218"/>
    </row>
    <row r="17" spans="2:34" ht="28" x14ac:dyDescent="0.25">
      <c r="B17" s="121"/>
      <c r="C17" s="285" t="s">
        <v>2924</v>
      </c>
      <c r="D17" s="116"/>
      <c r="E17" s="116"/>
      <c r="F17" s="116"/>
      <c r="G17" s="116"/>
      <c r="H17" s="116"/>
      <c r="I17" s="116"/>
      <c r="J17" s="116"/>
      <c r="K17" s="116"/>
      <c r="L17" s="116"/>
      <c r="M17" s="116"/>
      <c r="N17" s="116"/>
      <c r="O17" s="218"/>
      <c r="P17" s="218">
        <v>0</v>
      </c>
      <c r="Q17" s="218">
        <v>0</v>
      </c>
      <c r="R17" s="218">
        <v>0.8</v>
      </c>
      <c r="S17" s="218">
        <v>0</v>
      </c>
      <c r="T17" s="218">
        <v>0</v>
      </c>
      <c r="U17" s="218"/>
      <c r="V17" s="218"/>
      <c r="W17" s="218"/>
      <c r="X17" s="218"/>
      <c r="Y17" s="218"/>
      <c r="Z17" s="218"/>
      <c r="AA17" s="218"/>
      <c r="AB17" s="218"/>
      <c r="AC17" s="218"/>
      <c r="AD17" s="218"/>
      <c r="AE17" s="218"/>
      <c r="AF17" s="218"/>
      <c r="AG17" s="218"/>
      <c r="AH17" s="218"/>
    </row>
    <row r="18" spans="2:34" ht="28" x14ac:dyDescent="0.25">
      <c r="B18" s="121"/>
      <c r="C18" s="285" t="s">
        <v>2925</v>
      </c>
      <c r="D18" s="116"/>
      <c r="E18" s="116"/>
      <c r="F18" s="116"/>
      <c r="G18" s="116"/>
      <c r="H18" s="116"/>
      <c r="I18" s="116"/>
      <c r="J18" s="116"/>
      <c r="K18" s="116"/>
      <c r="L18" s="116"/>
      <c r="M18" s="116"/>
      <c r="N18" s="116"/>
      <c r="O18" s="218"/>
      <c r="P18" s="218">
        <v>0</v>
      </c>
      <c r="Q18" s="218">
        <v>0</v>
      </c>
      <c r="R18" s="218">
        <v>0.18</v>
      </c>
      <c r="S18" s="218">
        <v>0</v>
      </c>
      <c r="T18" s="218">
        <v>0</v>
      </c>
      <c r="U18" s="218"/>
      <c r="V18" s="218"/>
      <c r="W18" s="218"/>
      <c r="X18" s="218"/>
      <c r="Y18" s="218"/>
      <c r="Z18" s="218"/>
      <c r="AA18" s="218"/>
      <c r="AB18" s="218"/>
      <c r="AC18" s="218"/>
      <c r="AD18" s="218"/>
      <c r="AE18" s="218"/>
      <c r="AF18" s="218"/>
      <c r="AG18" s="218"/>
      <c r="AH18" s="218"/>
    </row>
    <row r="19" spans="2:34" ht="14" x14ac:dyDescent="0.25">
      <c r="B19" s="121"/>
      <c r="C19" s="285" t="s">
        <v>2936</v>
      </c>
      <c r="D19" s="116"/>
      <c r="E19" s="116"/>
      <c r="F19" s="116"/>
      <c r="G19" s="116"/>
      <c r="H19" s="116"/>
      <c r="I19" s="116"/>
      <c r="J19" s="116"/>
      <c r="K19" s="116"/>
      <c r="L19" s="116"/>
      <c r="M19" s="116"/>
      <c r="N19" s="116"/>
      <c r="O19" s="218"/>
      <c r="P19" s="218">
        <v>0</v>
      </c>
      <c r="Q19" s="218">
        <v>0</v>
      </c>
      <c r="R19" s="218">
        <v>0.2</v>
      </c>
      <c r="S19" s="218">
        <v>0</v>
      </c>
      <c r="T19" s="218">
        <v>0</v>
      </c>
      <c r="U19" s="218"/>
      <c r="V19" s="218"/>
      <c r="W19" s="218"/>
      <c r="X19" s="218"/>
      <c r="Y19" s="218"/>
      <c r="Z19" s="218"/>
      <c r="AA19" s="218"/>
      <c r="AB19" s="218"/>
      <c r="AC19" s="218"/>
      <c r="AD19" s="218"/>
      <c r="AE19" s="218"/>
      <c r="AF19" s="218"/>
      <c r="AG19" s="218"/>
      <c r="AH19" s="218"/>
    </row>
    <row r="20" spans="2:34" ht="14" x14ac:dyDescent="0.25">
      <c r="B20" s="121"/>
      <c r="C20" s="285" t="s">
        <v>2899</v>
      </c>
      <c r="D20" s="116"/>
      <c r="E20" s="116"/>
      <c r="F20" s="116"/>
      <c r="G20" s="116"/>
      <c r="H20" s="116"/>
      <c r="I20" s="116"/>
      <c r="J20" s="116"/>
      <c r="K20" s="116"/>
      <c r="L20" s="116"/>
      <c r="M20" s="116"/>
      <c r="N20" s="116"/>
      <c r="O20" s="218"/>
      <c r="P20" s="218">
        <v>0</v>
      </c>
      <c r="Q20" s="218">
        <v>0</v>
      </c>
      <c r="R20" s="218">
        <v>0</v>
      </c>
      <c r="S20" s="218">
        <v>2</v>
      </c>
      <c r="T20" s="218">
        <v>0</v>
      </c>
      <c r="U20" s="218"/>
      <c r="V20" s="218"/>
      <c r="W20" s="218"/>
      <c r="X20" s="218"/>
      <c r="Y20" s="218"/>
      <c r="Z20" s="218"/>
      <c r="AA20" s="218"/>
      <c r="AB20" s="218"/>
      <c r="AC20" s="218"/>
      <c r="AD20" s="218"/>
      <c r="AE20" s="218"/>
      <c r="AF20" s="218"/>
      <c r="AG20" s="218"/>
      <c r="AH20" s="218"/>
    </row>
    <row r="21" spans="2:34" ht="14" x14ac:dyDescent="0.25">
      <c r="B21" s="121"/>
      <c r="C21" s="285" t="s">
        <v>2900</v>
      </c>
      <c r="D21" s="116"/>
      <c r="E21" s="116"/>
      <c r="F21" s="116"/>
      <c r="G21" s="116"/>
      <c r="H21" s="116"/>
      <c r="I21" s="116"/>
      <c r="J21" s="116"/>
      <c r="K21" s="116"/>
      <c r="L21" s="116"/>
      <c r="M21" s="116"/>
      <c r="N21" s="116"/>
      <c r="O21" s="218"/>
      <c r="P21" s="218">
        <v>0</v>
      </c>
      <c r="Q21" s="218">
        <v>0</v>
      </c>
      <c r="R21" s="218">
        <v>0</v>
      </c>
      <c r="S21" s="218">
        <v>0.7</v>
      </c>
      <c r="T21" s="218">
        <v>0</v>
      </c>
      <c r="U21" s="218"/>
      <c r="V21" s="218"/>
      <c r="W21" s="218"/>
      <c r="X21" s="218"/>
      <c r="Y21" s="218"/>
      <c r="Z21" s="218"/>
      <c r="AA21" s="218"/>
      <c r="AB21" s="218"/>
      <c r="AC21" s="218"/>
      <c r="AD21" s="218"/>
      <c r="AE21" s="218"/>
      <c r="AF21" s="218"/>
      <c r="AG21" s="218"/>
      <c r="AH21" s="218"/>
    </row>
    <row r="22" spans="2:34" ht="14" x14ac:dyDescent="0.25">
      <c r="B22" s="121"/>
      <c r="C22" s="285" t="s">
        <v>2901</v>
      </c>
      <c r="D22" s="116"/>
      <c r="E22" s="116"/>
      <c r="F22" s="116"/>
      <c r="G22" s="116"/>
      <c r="H22" s="116"/>
      <c r="I22" s="116"/>
      <c r="J22" s="116"/>
      <c r="K22" s="116"/>
      <c r="L22" s="116"/>
      <c r="M22" s="116"/>
      <c r="N22" s="116"/>
      <c r="O22" s="218"/>
      <c r="P22" s="218">
        <v>0</v>
      </c>
      <c r="Q22" s="218">
        <v>0</v>
      </c>
      <c r="R22" s="218">
        <v>0</v>
      </c>
      <c r="S22" s="218">
        <v>4</v>
      </c>
      <c r="T22" s="218">
        <v>0</v>
      </c>
      <c r="U22" s="218"/>
      <c r="V22" s="218"/>
      <c r="W22" s="218"/>
      <c r="X22" s="218"/>
      <c r="Y22" s="218"/>
      <c r="Z22" s="218"/>
      <c r="AA22" s="218"/>
      <c r="AB22" s="218"/>
      <c r="AC22" s="218"/>
      <c r="AD22" s="218"/>
      <c r="AE22" s="218"/>
      <c r="AF22" s="218"/>
      <c r="AG22" s="218"/>
      <c r="AH22" s="218"/>
    </row>
    <row r="23" spans="2:34" ht="14" x14ac:dyDescent="0.25">
      <c r="B23" s="121"/>
      <c r="C23" s="285" t="s">
        <v>2902</v>
      </c>
      <c r="D23" s="116"/>
      <c r="E23" s="116"/>
      <c r="F23" s="116"/>
      <c r="G23" s="116"/>
      <c r="H23" s="116"/>
      <c r="I23" s="116"/>
      <c r="J23" s="116"/>
      <c r="K23" s="116"/>
      <c r="L23" s="116"/>
      <c r="M23" s="116"/>
      <c r="N23" s="116"/>
      <c r="O23" s="218"/>
      <c r="P23" s="218">
        <v>0</v>
      </c>
      <c r="Q23" s="218">
        <v>0</v>
      </c>
      <c r="R23" s="218">
        <v>0</v>
      </c>
      <c r="S23" s="218">
        <v>6</v>
      </c>
      <c r="T23" s="218">
        <v>0</v>
      </c>
      <c r="U23" s="218"/>
      <c r="V23" s="218"/>
      <c r="W23" s="218"/>
      <c r="X23" s="218"/>
      <c r="Y23" s="218"/>
      <c r="Z23" s="218"/>
      <c r="AA23" s="218"/>
      <c r="AB23" s="218"/>
      <c r="AC23" s="218"/>
      <c r="AD23" s="218"/>
      <c r="AE23" s="218"/>
      <c r="AF23" s="218"/>
      <c r="AG23" s="218"/>
      <c r="AH23" s="218"/>
    </row>
    <row r="24" spans="2:34" ht="14" x14ac:dyDescent="0.25">
      <c r="B24" s="121"/>
      <c r="C24" s="386" t="s">
        <v>2903</v>
      </c>
      <c r="D24" s="116"/>
      <c r="E24" s="116"/>
      <c r="F24" s="116"/>
      <c r="G24" s="116"/>
      <c r="H24" s="116"/>
      <c r="I24" s="116"/>
      <c r="J24" s="116"/>
      <c r="K24" s="116"/>
      <c r="L24" s="116"/>
      <c r="M24" s="116"/>
      <c r="N24" s="116"/>
      <c r="O24" s="218"/>
      <c r="P24" s="218">
        <v>0</v>
      </c>
      <c r="Q24" s="218">
        <v>0</v>
      </c>
      <c r="R24" s="218">
        <v>0</v>
      </c>
      <c r="S24" s="218">
        <v>1</v>
      </c>
      <c r="T24" s="218">
        <v>0</v>
      </c>
      <c r="U24" s="218"/>
      <c r="V24" s="218"/>
      <c r="W24" s="218"/>
      <c r="X24" s="218"/>
      <c r="Y24" s="218"/>
      <c r="Z24" s="218"/>
      <c r="AA24" s="218"/>
      <c r="AB24" s="218"/>
      <c r="AC24" s="218"/>
      <c r="AD24" s="218"/>
      <c r="AE24" s="218"/>
      <c r="AF24" s="218"/>
      <c r="AG24" s="218"/>
      <c r="AH24" s="218"/>
    </row>
    <row r="25" spans="2:34" ht="14" x14ac:dyDescent="0.25">
      <c r="B25" s="121"/>
      <c r="C25" s="386" t="s">
        <v>2895</v>
      </c>
      <c r="D25" s="116"/>
      <c r="E25" s="116"/>
      <c r="F25" s="116"/>
      <c r="G25" s="116"/>
      <c r="H25" s="116"/>
      <c r="I25" s="116"/>
      <c r="J25" s="116"/>
      <c r="K25" s="116"/>
      <c r="L25" s="116"/>
      <c r="M25" s="116"/>
      <c r="N25" s="116"/>
      <c r="O25" s="218"/>
      <c r="P25" s="218">
        <v>0</v>
      </c>
      <c r="Q25" s="218">
        <v>0</v>
      </c>
      <c r="R25" s="218">
        <v>0</v>
      </c>
      <c r="S25" s="218">
        <v>20</v>
      </c>
      <c r="T25" s="218">
        <v>0</v>
      </c>
      <c r="U25" s="218"/>
      <c r="V25" s="218"/>
      <c r="W25" s="218"/>
      <c r="X25" s="218"/>
      <c r="Y25" s="218"/>
      <c r="Z25" s="218"/>
      <c r="AA25" s="218"/>
      <c r="AB25" s="218"/>
      <c r="AC25" s="218"/>
      <c r="AD25" s="218"/>
      <c r="AE25" s="218"/>
      <c r="AF25" s="218"/>
      <c r="AG25" s="218"/>
      <c r="AH25" s="218"/>
    </row>
    <row r="26" spans="2:34" ht="14" x14ac:dyDescent="0.25">
      <c r="B26" s="121"/>
      <c r="C26" s="285" t="s">
        <v>2896</v>
      </c>
      <c r="D26" s="116"/>
      <c r="E26" s="116"/>
      <c r="F26" s="116"/>
      <c r="G26" s="116"/>
      <c r="H26" s="116"/>
      <c r="I26" s="116"/>
      <c r="J26" s="116"/>
      <c r="K26" s="116"/>
      <c r="L26" s="116"/>
      <c r="M26" s="116"/>
      <c r="N26" s="116"/>
      <c r="O26" s="218"/>
      <c r="P26" s="218">
        <v>0</v>
      </c>
      <c r="Q26" s="218">
        <v>0</v>
      </c>
      <c r="R26" s="218">
        <v>0</v>
      </c>
      <c r="S26" s="218">
        <v>3</v>
      </c>
      <c r="T26" s="218">
        <v>0</v>
      </c>
      <c r="U26" s="218"/>
      <c r="V26" s="218"/>
      <c r="W26" s="218"/>
      <c r="X26" s="218"/>
      <c r="Y26" s="218"/>
      <c r="Z26" s="218"/>
      <c r="AA26" s="218"/>
      <c r="AB26" s="218"/>
      <c r="AC26" s="218"/>
      <c r="AD26" s="218"/>
      <c r="AE26" s="218"/>
      <c r="AF26" s="218"/>
      <c r="AG26" s="218"/>
      <c r="AH26" s="218"/>
    </row>
    <row r="27" spans="2:34" ht="14" x14ac:dyDescent="0.25">
      <c r="B27" s="121"/>
      <c r="C27" s="285" t="s">
        <v>2927</v>
      </c>
      <c r="D27" s="116"/>
      <c r="E27" s="116"/>
      <c r="F27" s="116"/>
      <c r="G27" s="116"/>
      <c r="H27" s="116"/>
      <c r="I27" s="116"/>
      <c r="J27" s="116"/>
      <c r="K27" s="116"/>
      <c r="L27" s="116"/>
      <c r="M27" s="116"/>
      <c r="N27" s="116"/>
      <c r="O27" s="218"/>
      <c r="P27" s="218">
        <v>0</v>
      </c>
      <c r="Q27" s="218">
        <v>0</v>
      </c>
      <c r="R27" s="218">
        <v>0</v>
      </c>
      <c r="S27" s="218">
        <v>4</v>
      </c>
      <c r="T27" s="218">
        <v>0</v>
      </c>
      <c r="U27" s="218"/>
      <c r="V27" s="218"/>
      <c r="W27" s="218"/>
      <c r="X27" s="218"/>
      <c r="Y27" s="218"/>
      <c r="Z27" s="218"/>
      <c r="AA27" s="218"/>
      <c r="AB27" s="218"/>
      <c r="AC27" s="218"/>
      <c r="AD27" s="218"/>
      <c r="AE27" s="218"/>
      <c r="AF27" s="218"/>
      <c r="AG27" s="218"/>
      <c r="AH27" s="218"/>
    </row>
    <row r="28" spans="2:34" ht="14" x14ac:dyDescent="0.25">
      <c r="B28" s="121"/>
      <c r="C28" s="285" t="s">
        <v>2928</v>
      </c>
      <c r="D28" s="116"/>
      <c r="E28" s="116"/>
      <c r="F28" s="116"/>
      <c r="G28" s="116"/>
      <c r="H28" s="116"/>
      <c r="I28" s="116"/>
      <c r="J28" s="116"/>
      <c r="K28" s="116"/>
      <c r="L28" s="116"/>
      <c r="M28" s="116"/>
      <c r="N28" s="116"/>
      <c r="O28" s="218"/>
      <c r="P28" s="218">
        <v>0</v>
      </c>
      <c r="Q28" s="218">
        <v>0</v>
      </c>
      <c r="R28" s="218">
        <v>0</v>
      </c>
      <c r="S28" s="218">
        <v>1.5</v>
      </c>
      <c r="T28" s="218">
        <v>0</v>
      </c>
      <c r="U28" s="218"/>
      <c r="V28" s="218"/>
      <c r="W28" s="218"/>
      <c r="X28" s="218"/>
      <c r="Y28" s="218"/>
      <c r="Z28" s="218"/>
      <c r="AA28" s="218"/>
      <c r="AB28" s="218"/>
      <c r="AC28" s="218"/>
      <c r="AD28" s="218"/>
      <c r="AE28" s="218"/>
      <c r="AF28" s="218"/>
      <c r="AG28" s="218"/>
      <c r="AH28" s="218"/>
    </row>
    <row r="29" spans="2:34" ht="14" x14ac:dyDescent="0.25">
      <c r="B29" s="121"/>
      <c r="C29" s="386" t="s">
        <v>2929</v>
      </c>
      <c r="D29" s="116"/>
      <c r="E29" s="116"/>
      <c r="F29" s="116"/>
      <c r="G29" s="116"/>
      <c r="H29" s="116"/>
      <c r="I29" s="116"/>
      <c r="J29" s="116"/>
      <c r="K29" s="116"/>
      <c r="L29" s="116"/>
      <c r="M29" s="116"/>
      <c r="N29" s="116"/>
      <c r="O29" s="218"/>
      <c r="P29" s="218">
        <v>0</v>
      </c>
      <c r="Q29" s="218">
        <v>0</v>
      </c>
      <c r="R29" s="218">
        <v>0</v>
      </c>
      <c r="S29" s="218">
        <v>1</v>
      </c>
      <c r="T29" s="218">
        <v>0</v>
      </c>
      <c r="U29" s="218"/>
      <c r="V29" s="218"/>
      <c r="W29" s="218"/>
      <c r="X29" s="218"/>
      <c r="Y29" s="218"/>
      <c r="Z29" s="218"/>
      <c r="AA29" s="218"/>
      <c r="AB29" s="218"/>
      <c r="AC29" s="218"/>
      <c r="AD29" s="218"/>
      <c r="AE29" s="218"/>
      <c r="AF29" s="218"/>
      <c r="AG29" s="218"/>
      <c r="AH29" s="218"/>
    </row>
    <row r="30" spans="2:34" ht="28" x14ac:dyDescent="0.25">
      <c r="B30" s="121"/>
      <c r="C30" s="285" t="s">
        <v>2930</v>
      </c>
      <c r="D30" s="116"/>
      <c r="E30" s="116"/>
      <c r="F30" s="116"/>
      <c r="G30" s="116"/>
      <c r="H30" s="116"/>
      <c r="I30" s="116"/>
      <c r="J30" s="116"/>
      <c r="K30" s="116"/>
      <c r="L30" s="116"/>
      <c r="M30" s="116"/>
      <c r="N30" s="116"/>
      <c r="O30" s="218"/>
      <c r="P30" s="218">
        <v>0</v>
      </c>
      <c r="Q30" s="218">
        <v>0</v>
      </c>
      <c r="R30" s="218">
        <v>0</v>
      </c>
      <c r="S30" s="218">
        <v>3</v>
      </c>
      <c r="T30" s="218">
        <v>0</v>
      </c>
      <c r="U30" s="218"/>
      <c r="V30" s="218"/>
      <c r="W30" s="218"/>
      <c r="X30" s="218"/>
      <c r="Y30" s="218"/>
      <c r="Z30" s="218"/>
      <c r="AA30" s="218"/>
      <c r="AB30" s="218"/>
      <c r="AC30" s="218"/>
      <c r="AD30" s="218"/>
      <c r="AE30" s="218"/>
      <c r="AF30" s="218"/>
      <c r="AG30" s="218"/>
      <c r="AH30" s="218"/>
    </row>
    <row r="31" spans="2:34" ht="14" x14ac:dyDescent="0.25">
      <c r="B31" s="121"/>
      <c r="C31" s="285" t="s">
        <v>2931</v>
      </c>
      <c r="D31" s="116"/>
      <c r="E31" s="116"/>
      <c r="F31" s="116"/>
      <c r="G31" s="116"/>
      <c r="H31" s="116"/>
      <c r="I31" s="116"/>
      <c r="J31" s="116"/>
      <c r="K31" s="116"/>
      <c r="L31" s="116"/>
      <c r="M31" s="116"/>
      <c r="N31" s="116"/>
      <c r="O31" s="218"/>
      <c r="P31" s="218">
        <v>0</v>
      </c>
      <c r="Q31" s="218">
        <v>0</v>
      </c>
      <c r="R31" s="218">
        <v>0</v>
      </c>
      <c r="S31" s="218">
        <v>1</v>
      </c>
      <c r="T31" s="218">
        <v>0</v>
      </c>
      <c r="U31" s="218"/>
      <c r="V31" s="218"/>
      <c r="W31" s="218"/>
      <c r="X31" s="218"/>
      <c r="Y31" s="218"/>
      <c r="Z31" s="218"/>
      <c r="AA31" s="218"/>
      <c r="AB31" s="218"/>
      <c r="AC31" s="218"/>
      <c r="AD31" s="218"/>
      <c r="AE31" s="218"/>
      <c r="AF31" s="218"/>
      <c r="AG31" s="218"/>
      <c r="AH31" s="218"/>
    </row>
    <row r="32" spans="2:34" ht="14" x14ac:dyDescent="0.25">
      <c r="B32" s="121"/>
      <c r="C32" s="285" t="s">
        <v>2945</v>
      </c>
      <c r="D32" s="116"/>
      <c r="E32" s="116"/>
      <c r="F32" s="116"/>
      <c r="G32" s="116"/>
      <c r="H32" s="116"/>
      <c r="I32" s="116"/>
      <c r="J32" s="116"/>
      <c r="K32" s="116"/>
      <c r="L32" s="116"/>
      <c r="M32" s="116"/>
      <c r="N32" s="116"/>
      <c r="O32" s="218"/>
      <c r="P32" s="218">
        <v>0</v>
      </c>
      <c r="Q32" s="218">
        <v>0</v>
      </c>
      <c r="R32" s="218">
        <v>0</v>
      </c>
      <c r="S32" s="218">
        <v>1</v>
      </c>
      <c r="T32" s="218">
        <v>0</v>
      </c>
      <c r="U32" s="218"/>
      <c r="V32" s="218"/>
      <c r="W32" s="218"/>
      <c r="X32" s="218"/>
      <c r="Y32" s="218"/>
      <c r="Z32" s="218"/>
      <c r="AA32" s="218"/>
      <c r="AB32" s="218"/>
      <c r="AC32" s="218"/>
      <c r="AD32" s="218"/>
      <c r="AE32" s="218"/>
      <c r="AF32" s="218"/>
      <c r="AG32" s="218"/>
      <c r="AH32" s="218"/>
    </row>
    <row r="33" spans="2:34" ht="14" x14ac:dyDescent="0.25">
      <c r="B33" s="121"/>
      <c r="C33" s="285" t="s">
        <v>2946</v>
      </c>
      <c r="D33" s="116"/>
      <c r="E33" s="116"/>
      <c r="F33" s="116"/>
      <c r="G33" s="116"/>
      <c r="H33" s="116"/>
      <c r="I33" s="116"/>
      <c r="J33" s="116"/>
      <c r="K33" s="116"/>
      <c r="L33" s="116"/>
      <c r="M33" s="116"/>
      <c r="N33" s="116"/>
      <c r="O33" s="218"/>
      <c r="P33" s="218">
        <v>0</v>
      </c>
      <c r="Q33" s="218">
        <v>0</v>
      </c>
      <c r="R33" s="218">
        <v>0</v>
      </c>
      <c r="S33" s="218">
        <v>2.5</v>
      </c>
      <c r="T33" s="218">
        <v>0</v>
      </c>
      <c r="U33" s="218"/>
      <c r="V33" s="218"/>
      <c r="W33" s="218"/>
      <c r="X33" s="218"/>
      <c r="Y33" s="218"/>
      <c r="Z33" s="218"/>
      <c r="AA33" s="218"/>
      <c r="AB33" s="218"/>
      <c r="AC33" s="218"/>
      <c r="AD33" s="218"/>
      <c r="AE33" s="218"/>
      <c r="AF33" s="218"/>
      <c r="AG33" s="218"/>
      <c r="AH33" s="218"/>
    </row>
    <row r="34" spans="2:34" ht="14" x14ac:dyDescent="0.25">
      <c r="B34" s="121"/>
      <c r="C34" s="386" t="s">
        <v>2947</v>
      </c>
      <c r="D34" s="116"/>
      <c r="E34" s="116"/>
      <c r="F34" s="116"/>
      <c r="G34" s="116"/>
      <c r="H34" s="116"/>
      <c r="I34" s="116"/>
      <c r="J34" s="116"/>
      <c r="K34" s="116"/>
      <c r="L34" s="116"/>
      <c r="M34" s="116"/>
      <c r="N34" s="116"/>
      <c r="O34" s="218"/>
      <c r="P34" s="218">
        <v>0</v>
      </c>
      <c r="Q34" s="218">
        <v>0</v>
      </c>
      <c r="R34" s="218">
        <v>0</v>
      </c>
      <c r="S34" s="218">
        <v>2</v>
      </c>
      <c r="T34" s="218">
        <v>0</v>
      </c>
      <c r="U34" s="218"/>
      <c r="V34" s="218"/>
      <c r="W34" s="218"/>
      <c r="X34" s="218"/>
      <c r="Y34" s="218"/>
      <c r="Z34" s="218"/>
      <c r="AA34" s="218"/>
      <c r="AB34" s="218"/>
      <c r="AC34" s="218"/>
      <c r="AD34" s="218"/>
      <c r="AE34" s="218"/>
      <c r="AF34" s="218"/>
      <c r="AG34" s="218"/>
      <c r="AH34" s="218"/>
    </row>
    <row r="35" spans="2:34" s="340" customFormat="1" ht="31" x14ac:dyDescent="0.25">
      <c r="B35" s="121"/>
      <c r="C35" s="1266" t="s">
        <v>2948</v>
      </c>
      <c r="D35" s="121"/>
      <c r="E35" s="121"/>
      <c r="F35" s="121"/>
      <c r="G35" s="121"/>
      <c r="H35" s="121"/>
      <c r="I35" s="121"/>
      <c r="J35" s="121"/>
      <c r="K35" s="121"/>
      <c r="L35" s="121"/>
      <c r="M35" s="121"/>
      <c r="N35" s="121"/>
      <c r="O35" s="416"/>
      <c r="P35" s="218">
        <v>0</v>
      </c>
      <c r="Q35" s="218">
        <v>0</v>
      </c>
      <c r="R35" s="218">
        <v>0</v>
      </c>
      <c r="S35" s="218">
        <v>0.5</v>
      </c>
      <c r="T35" s="218">
        <v>0</v>
      </c>
      <c r="U35" s="416"/>
      <c r="V35" s="416"/>
      <c r="W35" s="416"/>
      <c r="X35" s="416"/>
      <c r="Y35" s="416"/>
      <c r="Z35" s="416"/>
      <c r="AA35" s="416"/>
      <c r="AB35" s="416"/>
      <c r="AC35" s="416"/>
      <c r="AD35" s="416"/>
      <c r="AE35" s="416"/>
      <c r="AF35" s="416"/>
      <c r="AG35" s="416"/>
      <c r="AH35" s="416"/>
    </row>
    <row r="36" spans="2:34" ht="14" x14ac:dyDescent="0.25">
      <c r="B36" s="121"/>
      <c r="C36" s="285" t="s">
        <v>2949</v>
      </c>
      <c r="D36" s="116"/>
      <c r="E36" s="116"/>
      <c r="F36" s="116"/>
      <c r="G36" s="1267"/>
      <c r="H36" s="116"/>
      <c r="I36" s="116"/>
      <c r="J36" s="116"/>
      <c r="K36" s="116"/>
      <c r="L36" s="116"/>
      <c r="M36" s="116"/>
      <c r="N36" s="116"/>
      <c r="O36" s="218"/>
      <c r="P36" s="218">
        <v>0</v>
      </c>
      <c r="Q36" s="218">
        <v>0</v>
      </c>
      <c r="R36" s="218">
        <v>0</v>
      </c>
      <c r="S36" s="218">
        <v>2</v>
      </c>
      <c r="T36" s="218">
        <v>0</v>
      </c>
      <c r="U36" s="218"/>
      <c r="V36" s="218"/>
      <c r="W36" s="218"/>
      <c r="X36" s="218"/>
      <c r="Y36" s="218"/>
      <c r="Z36" s="218"/>
      <c r="AA36" s="218"/>
      <c r="AB36" s="218"/>
      <c r="AC36" s="218"/>
      <c r="AD36" s="218"/>
      <c r="AE36" s="218"/>
      <c r="AF36" s="218"/>
      <c r="AG36" s="218"/>
      <c r="AH36" s="218"/>
    </row>
    <row r="37" spans="2:34" ht="28" x14ac:dyDescent="0.25">
      <c r="B37" s="121"/>
      <c r="C37" s="285" t="s">
        <v>2948</v>
      </c>
      <c r="D37" s="116"/>
      <c r="E37" s="116"/>
      <c r="F37" s="116"/>
      <c r="G37" s="1267"/>
      <c r="H37" s="116"/>
      <c r="I37" s="116"/>
      <c r="J37" s="116"/>
      <c r="K37" s="116"/>
      <c r="L37" s="116"/>
      <c r="M37" s="116"/>
      <c r="N37" s="116"/>
      <c r="O37" s="218"/>
      <c r="P37" s="218">
        <v>0</v>
      </c>
      <c r="Q37" s="218">
        <v>0</v>
      </c>
      <c r="R37" s="218">
        <v>0</v>
      </c>
      <c r="S37" s="218">
        <v>0.5</v>
      </c>
      <c r="T37" s="218">
        <v>0</v>
      </c>
      <c r="U37" s="218"/>
      <c r="V37" s="218"/>
      <c r="W37" s="218"/>
      <c r="X37" s="218"/>
      <c r="Y37" s="218"/>
      <c r="Z37" s="218"/>
      <c r="AA37" s="218"/>
      <c r="AB37" s="218"/>
      <c r="AC37" s="218"/>
      <c r="AD37" s="218"/>
      <c r="AE37" s="218"/>
      <c r="AF37" s="218"/>
      <c r="AG37" s="218"/>
      <c r="AH37" s="218"/>
    </row>
    <row r="38" spans="2:34" ht="42" x14ac:dyDescent="0.25">
      <c r="B38" s="121"/>
      <c r="C38" s="285" t="s">
        <v>2938</v>
      </c>
      <c r="D38" s="116"/>
      <c r="E38" s="116"/>
      <c r="F38" s="116"/>
      <c r="G38" s="116"/>
      <c r="H38" s="116"/>
      <c r="I38" s="116"/>
      <c r="J38" s="116"/>
      <c r="K38" s="116"/>
      <c r="L38" s="116"/>
      <c r="M38" s="116"/>
      <c r="N38" s="116"/>
      <c r="O38" s="218"/>
      <c r="P38" s="218">
        <v>0</v>
      </c>
      <c r="Q38" s="218">
        <v>0</v>
      </c>
      <c r="R38" s="218">
        <v>0</v>
      </c>
      <c r="S38" s="218">
        <v>5</v>
      </c>
      <c r="T38" s="218">
        <v>0</v>
      </c>
      <c r="U38" s="218"/>
      <c r="V38" s="218"/>
      <c r="W38" s="218"/>
      <c r="X38" s="218"/>
      <c r="Y38" s="218"/>
      <c r="Z38" s="218"/>
      <c r="AA38" s="218"/>
      <c r="AB38" s="218"/>
      <c r="AC38" s="218"/>
      <c r="AD38" s="218"/>
      <c r="AE38" s="218"/>
      <c r="AF38" s="218"/>
      <c r="AG38" s="218"/>
      <c r="AH38" s="218"/>
    </row>
    <row r="39" spans="2:34" ht="14" x14ac:dyDescent="0.25">
      <c r="B39" s="121"/>
      <c r="C39" s="285" t="s">
        <v>2937</v>
      </c>
      <c r="D39" s="116"/>
      <c r="E39" s="116"/>
      <c r="F39" s="116"/>
      <c r="G39" s="116"/>
      <c r="H39" s="116"/>
      <c r="I39" s="116"/>
      <c r="J39" s="116"/>
      <c r="K39" s="116"/>
      <c r="L39" s="116"/>
      <c r="M39" s="116"/>
      <c r="N39" s="116"/>
      <c r="O39" s="218"/>
      <c r="P39" s="218">
        <v>0</v>
      </c>
      <c r="Q39" s="218">
        <v>0</v>
      </c>
      <c r="R39" s="218">
        <v>0</v>
      </c>
      <c r="S39" s="218">
        <v>65</v>
      </c>
      <c r="T39" s="218">
        <v>0</v>
      </c>
      <c r="U39" s="218"/>
      <c r="V39" s="218"/>
      <c r="W39" s="218"/>
      <c r="X39" s="218"/>
      <c r="Y39" s="218"/>
      <c r="Z39" s="218"/>
      <c r="AA39" s="218"/>
      <c r="AB39" s="218"/>
      <c r="AC39" s="218"/>
      <c r="AD39" s="218"/>
      <c r="AE39" s="218"/>
      <c r="AF39" s="218"/>
      <c r="AG39" s="218"/>
      <c r="AH39" s="218"/>
    </row>
    <row r="40" spans="2:34" ht="14" x14ac:dyDescent="0.25">
      <c r="B40" s="121"/>
      <c r="C40" s="285" t="s">
        <v>2939</v>
      </c>
      <c r="D40" s="116"/>
      <c r="E40" s="116"/>
      <c r="F40" s="116"/>
      <c r="G40" s="116"/>
      <c r="H40" s="116"/>
      <c r="I40" s="116"/>
      <c r="J40" s="116"/>
      <c r="K40" s="116"/>
      <c r="L40" s="116"/>
      <c r="M40" s="116"/>
      <c r="N40" s="116"/>
      <c r="O40" s="218"/>
      <c r="P40" s="218">
        <v>0</v>
      </c>
      <c r="Q40" s="218">
        <v>0</v>
      </c>
      <c r="R40" s="218">
        <v>0</v>
      </c>
      <c r="S40" s="218">
        <v>1</v>
      </c>
      <c r="T40" s="218">
        <v>0</v>
      </c>
      <c r="U40" s="218"/>
      <c r="V40" s="218"/>
      <c r="W40" s="218"/>
      <c r="X40" s="218"/>
      <c r="Y40" s="218"/>
      <c r="Z40" s="218"/>
      <c r="AA40" s="218"/>
      <c r="AB40" s="218"/>
      <c r="AC40" s="218"/>
      <c r="AD40" s="218"/>
      <c r="AE40" s="218"/>
      <c r="AF40" s="218"/>
      <c r="AG40" s="218"/>
      <c r="AH40" s="218"/>
    </row>
    <row r="41" spans="2:34" ht="15.5" x14ac:dyDescent="0.25">
      <c r="B41" s="121"/>
      <c r="C41" s="1266" t="s">
        <v>2904</v>
      </c>
      <c r="D41" s="121"/>
      <c r="E41" s="116"/>
      <c r="F41" s="116"/>
      <c r="G41" s="116"/>
      <c r="H41" s="116"/>
      <c r="I41" s="116"/>
      <c r="J41" s="116"/>
      <c r="K41" s="116"/>
      <c r="L41" s="116"/>
      <c r="M41" s="116"/>
      <c r="N41" s="116"/>
      <c r="O41" s="218"/>
      <c r="P41" s="218">
        <v>0</v>
      </c>
      <c r="Q41" s="218">
        <v>0</v>
      </c>
      <c r="R41" s="218">
        <v>0</v>
      </c>
      <c r="S41" s="218">
        <v>0</v>
      </c>
      <c r="T41" s="218">
        <v>4</v>
      </c>
      <c r="U41" s="218"/>
      <c r="V41" s="218"/>
      <c r="W41" s="218"/>
      <c r="X41" s="218"/>
      <c r="Y41" s="218"/>
      <c r="Z41" s="218"/>
      <c r="AA41" s="218"/>
      <c r="AB41" s="218"/>
      <c r="AC41" s="218"/>
      <c r="AD41" s="218"/>
      <c r="AE41" s="218"/>
      <c r="AF41" s="218"/>
      <c r="AG41" s="218"/>
      <c r="AH41" s="218"/>
    </row>
    <row r="42" spans="2:34" ht="14" x14ac:dyDescent="0.25">
      <c r="B42" s="121"/>
      <c r="C42" s="285" t="s">
        <v>2905</v>
      </c>
      <c r="D42" s="116"/>
      <c r="E42" s="116"/>
      <c r="F42" s="116"/>
      <c r="G42" s="116"/>
      <c r="H42" s="116"/>
      <c r="I42" s="116"/>
      <c r="J42" s="116"/>
      <c r="K42" s="116"/>
      <c r="L42" s="116"/>
      <c r="M42" s="116"/>
      <c r="N42" s="116"/>
      <c r="O42" s="218"/>
      <c r="P42" s="218">
        <v>0</v>
      </c>
      <c r="Q42" s="218">
        <v>0</v>
      </c>
      <c r="R42" s="218">
        <v>0</v>
      </c>
      <c r="S42" s="218">
        <v>0</v>
      </c>
      <c r="T42" s="218">
        <v>0.7</v>
      </c>
      <c r="U42" s="218"/>
      <c r="V42" s="218"/>
      <c r="W42" s="218"/>
      <c r="X42" s="218"/>
      <c r="Y42" s="218"/>
      <c r="Z42" s="218"/>
      <c r="AA42" s="218"/>
      <c r="AB42" s="218"/>
      <c r="AC42" s="218"/>
      <c r="AD42" s="218"/>
      <c r="AE42" s="218"/>
      <c r="AF42" s="218"/>
      <c r="AG42" s="218"/>
      <c r="AH42" s="218"/>
    </row>
    <row r="43" spans="2:34" ht="14" x14ac:dyDescent="0.25">
      <c r="B43" s="121"/>
      <c r="C43" s="285" t="s">
        <v>2906</v>
      </c>
      <c r="D43" s="116"/>
      <c r="E43" s="116"/>
      <c r="F43" s="116"/>
      <c r="G43" s="116"/>
      <c r="H43" s="116"/>
      <c r="I43" s="116"/>
      <c r="J43" s="116"/>
      <c r="K43" s="116"/>
      <c r="L43" s="116"/>
      <c r="M43" s="116"/>
      <c r="N43" s="116"/>
      <c r="O43" s="218"/>
      <c r="P43" s="218">
        <v>0</v>
      </c>
      <c r="Q43" s="218">
        <v>0</v>
      </c>
      <c r="R43" s="218">
        <v>0</v>
      </c>
      <c r="S43" s="218">
        <v>0</v>
      </c>
      <c r="T43" s="218">
        <v>1</v>
      </c>
      <c r="U43" s="218"/>
      <c r="V43" s="218"/>
      <c r="W43" s="218"/>
      <c r="X43" s="218"/>
      <c r="Y43" s="218"/>
      <c r="Z43" s="218"/>
      <c r="AA43" s="218"/>
      <c r="AB43" s="218"/>
      <c r="AC43" s="218"/>
      <c r="AD43" s="218"/>
      <c r="AE43" s="218"/>
      <c r="AF43" s="218"/>
      <c r="AG43" s="218"/>
      <c r="AH43" s="218"/>
    </row>
    <row r="44" spans="2:34" ht="14" x14ac:dyDescent="0.25">
      <c r="B44" s="121"/>
      <c r="C44" s="285" t="s">
        <v>2907</v>
      </c>
      <c r="D44" s="116"/>
      <c r="E44" s="116"/>
      <c r="F44" s="116"/>
      <c r="G44" s="116"/>
      <c r="H44" s="116"/>
      <c r="I44" s="116"/>
      <c r="J44" s="116"/>
      <c r="K44" s="116"/>
      <c r="L44" s="116"/>
      <c r="M44" s="116"/>
      <c r="N44" s="116"/>
      <c r="O44" s="218"/>
      <c r="P44" s="218">
        <v>0</v>
      </c>
      <c r="Q44" s="218">
        <v>0</v>
      </c>
      <c r="R44" s="218">
        <v>0</v>
      </c>
      <c r="S44" s="218">
        <v>0</v>
      </c>
      <c r="T44" s="218">
        <v>2</v>
      </c>
      <c r="U44" s="218"/>
      <c r="V44" s="218"/>
      <c r="W44" s="218"/>
      <c r="X44" s="218"/>
      <c r="Y44" s="218"/>
      <c r="Z44" s="218"/>
      <c r="AA44" s="218"/>
      <c r="AB44" s="218"/>
      <c r="AC44" s="218"/>
      <c r="AD44" s="218"/>
      <c r="AE44" s="218"/>
      <c r="AF44" s="218"/>
      <c r="AG44" s="218"/>
      <c r="AH44" s="218"/>
    </row>
    <row r="45" spans="2:34" ht="14" x14ac:dyDescent="0.25">
      <c r="B45" s="121"/>
      <c r="C45" s="285" t="s">
        <v>2908</v>
      </c>
      <c r="D45" s="116"/>
      <c r="E45" s="116"/>
      <c r="F45" s="116"/>
      <c r="G45" s="116"/>
      <c r="H45" s="116"/>
      <c r="I45" s="116"/>
      <c r="J45" s="116"/>
      <c r="K45" s="116"/>
      <c r="L45" s="116"/>
      <c r="M45" s="116"/>
      <c r="N45" s="116"/>
      <c r="O45" s="218"/>
      <c r="P45" s="218">
        <v>0</v>
      </c>
      <c r="Q45" s="218">
        <v>0</v>
      </c>
      <c r="R45" s="218">
        <v>0</v>
      </c>
      <c r="S45" s="218">
        <v>0</v>
      </c>
      <c r="T45" s="218">
        <v>1</v>
      </c>
      <c r="U45" s="218"/>
      <c r="V45" s="218"/>
      <c r="W45" s="218"/>
      <c r="X45" s="218"/>
      <c r="Y45" s="218"/>
      <c r="Z45" s="218"/>
      <c r="AA45" s="218"/>
      <c r="AB45" s="218"/>
      <c r="AC45" s="218"/>
      <c r="AD45" s="218"/>
      <c r="AE45" s="218"/>
      <c r="AF45" s="218"/>
      <c r="AG45" s="218"/>
      <c r="AH45" s="218"/>
    </row>
    <row r="46" spans="2:34" ht="14" x14ac:dyDescent="0.25">
      <c r="B46" s="121"/>
      <c r="C46" s="285" t="s">
        <v>3028</v>
      </c>
      <c r="D46" s="116"/>
      <c r="E46" s="116"/>
      <c r="F46" s="116"/>
      <c r="G46" s="116"/>
      <c r="H46" s="116"/>
      <c r="I46" s="116"/>
      <c r="J46" s="116"/>
      <c r="K46" s="116"/>
      <c r="L46" s="116"/>
      <c r="M46" s="116"/>
      <c r="N46" s="116"/>
      <c r="O46" s="218"/>
      <c r="P46" s="218">
        <v>0</v>
      </c>
      <c r="Q46" s="218">
        <v>0</v>
      </c>
      <c r="R46" s="218">
        <v>0</v>
      </c>
      <c r="S46" s="218">
        <v>0</v>
      </c>
      <c r="T46" s="218">
        <v>10</v>
      </c>
      <c r="U46" s="218"/>
      <c r="V46" s="218"/>
      <c r="W46" s="218"/>
      <c r="X46" s="218"/>
      <c r="Y46" s="218"/>
      <c r="Z46" s="218"/>
      <c r="AA46" s="218"/>
      <c r="AB46" s="218"/>
      <c r="AC46" s="218"/>
      <c r="AD46" s="218"/>
      <c r="AE46" s="218"/>
      <c r="AF46" s="218"/>
      <c r="AG46" s="218"/>
      <c r="AH46" s="218"/>
    </row>
    <row r="47" spans="2:34" ht="14" x14ac:dyDescent="0.25">
      <c r="B47" s="121"/>
      <c r="C47" s="285" t="s">
        <v>2897</v>
      </c>
      <c r="D47" s="116"/>
      <c r="E47" s="116"/>
      <c r="F47" s="116"/>
      <c r="G47" s="116"/>
      <c r="H47" s="116"/>
      <c r="I47" s="116"/>
      <c r="J47" s="116"/>
      <c r="K47" s="116"/>
      <c r="L47" s="116"/>
      <c r="M47" s="116"/>
      <c r="N47" s="116"/>
      <c r="O47" s="218"/>
      <c r="P47" s="218">
        <v>0</v>
      </c>
      <c r="Q47" s="218">
        <v>0</v>
      </c>
      <c r="R47" s="218">
        <v>0</v>
      </c>
      <c r="S47" s="218">
        <v>0</v>
      </c>
      <c r="T47" s="218">
        <v>20</v>
      </c>
      <c r="U47" s="218"/>
      <c r="V47" s="218"/>
      <c r="W47" s="218"/>
      <c r="X47" s="218"/>
      <c r="Y47" s="218"/>
      <c r="Z47" s="218"/>
      <c r="AA47" s="218"/>
      <c r="AB47" s="218"/>
      <c r="AC47" s="218"/>
      <c r="AD47" s="218"/>
      <c r="AE47" s="218"/>
      <c r="AF47" s="218"/>
      <c r="AG47" s="218"/>
      <c r="AH47" s="218"/>
    </row>
    <row r="48" spans="2:34" ht="14" x14ac:dyDescent="0.25">
      <c r="B48" s="121"/>
      <c r="C48" s="285" t="s">
        <v>2898</v>
      </c>
      <c r="D48" s="116"/>
      <c r="E48" s="116"/>
      <c r="F48" s="116"/>
      <c r="G48" s="116"/>
      <c r="H48" s="116"/>
      <c r="I48" s="116"/>
      <c r="J48" s="116"/>
      <c r="K48" s="116"/>
      <c r="L48" s="116"/>
      <c r="M48" s="116"/>
      <c r="N48" s="116"/>
      <c r="O48" s="218"/>
      <c r="P48" s="218">
        <v>0</v>
      </c>
      <c r="Q48" s="218">
        <v>0</v>
      </c>
      <c r="R48" s="218">
        <v>0</v>
      </c>
      <c r="S48" s="218">
        <v>0</v>
      </c>
      <c r="T48" s="218">
        <v>3.5</v>
      </c>
      <c r="U48" s="218"/>
      <c r="V48" s="218"/>
      <c r="W48" s="218"/>
      <c r="X48" s="218"/>
      <c r="Y48" s="218"/>
      <c r="Z48" s="218"/>
      <c r="AA48" s="218"/>
      <c r="AB48" s="218"/>
      <c r="AC48" s="218"/>
      <c r="AD48" s="218"/>
      <c r="AE48" s="218"/>
      <c r="AF48" s="218"/>
      <c r="AG48" s="218"/>
      <c r="AH48" s="218"/>
    </row>
    <row r="49" spans="1:34" ht="14" x14ac:dyDescent="0.25">
      <c r="B49" s="121"/>
      <c r="C49" s="285" t="s">
        <v>2932</v>
      </c>
      <c r="D49" s="116"/>
      <c r="E49" s="116"/>
      <c r="F49" s="116"/>
      <c r="G49" s="116"/>
      <c r="H49" s="116"/>
      <c r="I49" s="116"/>
      <c r="J49" s="116"/>
      <c r="K49" s="116"/>
      <c r="L49" s="116"/>
      <c r="M49" s="116"/>
      <c r="N49" s="116"/>
      <c r="O49" s="218"/>
      <c r="P49" s="218">
        <v>0</v>
      </c>
      <c r="Q49" s="218">
        <v>0</v>
      </c>
      <c r="R49" s="218">
        <v>0</v>
      </c>
      <c r="S49" s="218">
        <v>0</v>
      </c>
      <c r="T49" s="218">
        <v>2</v>
      </c>
      <c r="U49" s="218"/>
      <c r="V49" s="218"/>
      <c r="W49" s="218"/>
      <c r="X49" s="218"/>
      <c r="Y49" s="218"/>
      <c r="Z49" s="218"/>
      <c r="AA49" s="218"/>
      <c r="AB49" s="218"/>
      <c r="AC49" s="218"/>
      <c r="AD49" s="218"/>
      <c r="AE49" s="218"/>
      <c r="AF49" s="218"/>
      <c r="AG49" s="218"/>
      <c r="AH49" s="218"/>
    </row>
    <row r="50" spans="1:34" ht="14" x14ac:dyDescent="0.25">
      <c r="B50" s="121"/>
      <c r="C50" s="285" t="s">
        <v>2933</v>
      </c>
      <c r="D50" s="116"/>
      <c r="E50" s="116"/>
      <c r="F50" s="116"/>
      <c r="G50" s="116"/>
      <c r="H50" s="116"/>
      <c r="I50" s="116"/>
      <c r="J50" s="116"/>
      <c r="K50" s="116"/>
      <c r="L50" s="116"/>
      <c r="M50" s="116"/>
      <c r="N50" s="116"/>
      <c r="O50" s="218"/>
      <c r="P50" s="218">
        <v>0</v>
      </c>
      <c r="Q50" s="218">
        <v>0</v>
      </c>
      <c r="R50" s="218">
        <v>0</v>
      </c>
      <c r="S50" s="218">
        <v>0</v>
      </c>
      <c r="T50" s="218">
        <v>2</v>
      </c>
      <c r="U50" s="218"/>
      <c r="V50" s="218"/>
      <c r="W50" s="218"/>
      <c r="X50" s="218"/>
      <c r="Y50" s="218"/>
      <c r="Z50" s="218"/>
      <c r="AA50" s="218"/>
      <c r="AB50" s="218"/>
      <c r="AC50" s="218"/>
      <c r="AD50" s="218"/>
      <c r="AE50" s="218"/>
      <c r="AF50" s="218"/>
      <c r="AG50" s="218"/>
      <c r="AH50" s="218"/>
    </row>
    <row r="51" spans="1:34" ht="14" x14ac:dyDescent="0.25">
      <c r="B51" s="1264"/>
      <c r="C51" s="285" t="s">
        <v>2934</v>
      </c>
      <c r="D51" s="116"/>
      <c r="E51" s="116"/>
      <c r="F51" s="116"/>
      <c r="G51" s="116"/>
      <c r="H51" s="116"/>
      <c r="I51" s="116"/>
      <c r="J51" s="116"/>
      <c r="K51" s="116"/>
      <c r="L51" s="116"/>
      <c r="M51" s="116"/>
      <c r="N51" s="116"/>
      <c r="O51" s="218"/>
      <c r="P51" s="218">
        <v>0</v>
      </c>
      <c r="Q51" s="218">
        <v>0</v>
      </c>
      <c r="R51" s="218">
        <v>0</v>
      </c>
      <c r="S51" s="218">
        <v>0</v>
      </c>
      <c r="T51" s="218">
        <v>2</v>
      </c>
      <c r="U51" s="218"/>
      <c r="V51" s="218"/>
      <c r="W51" s="218"/>
      <c r="X51" s="218"/>
      <c r="Y51" s="218"/>
      <c r="Z51" s="218"/>
      <c r="AA51" s="218"/>
      <c r="AB51" s="218"/>
      <c r="AC51" s="218"/>
      <c r="AD51" s="218"/>
      <c r="AE51" s="218"/>
      <c r="AF51" s="218"/>
      <c r="AG51" s="218"/>
      <c r="AH51" s="218"/>
    </row>
    <row r="52" spans="1:34" ht="15.5" x14ac:dyDescent="0.25">
      <c r="B52" s="121"/>
      <c r="C52" s="1266" t="s">
        <v>2935</v>
      </c>
      <c r="D52" s="121"/>
      <c r="E52" s="116"/>
      <c r="F52" s="116"/>
      <c r="G52" s="116"/>
      <c r="H52" s="116"/>
      <c r="I52" s="116"/>
      <c r="J52" s="116"/>
      <c r="K52" s="116"/>
      <c r="L52" s="116"/>
      <c r="M52" s="116"/>
      <c r="N52" s="116"/>
      <c r="O52" s="218"/>
      <c r="P52" s="218">
        <v>0</v>
      </c>
      <c r="Q52" s="218">
        <v>0</v>
      </c>
      <c r="R52" s="218">
        <v>0</v>
      </c>
      <c r="S52" s="218">
        <v>0</v>
      </c>
      <c r="T52" s="218">
        <v>3</v>
      </c>
      <c r="U52" s="218"/>
      <c r="V52" s="218"/>
      <c r="W52" s="218"/>
      <c r="X52" s="218"/>
      <c r="Y52" s="218"/>
      <c r="Z52" s="218"/>
      <c r="AA52" s="218"/>
      <c r="AB52" s="218"/>
      <c r="AC52" s="218"/>
      <c r="AD52" s="218"/>
      <c r="AE52" s="218"/>
      <c r="AF52" s="218"/>
      <c r="AG52" s="218"/>
      <c r="AH52" s="218"/>
    </row>
    <row r="53" spans="1:34" ht="14" x14ac:dyDescent="0.25">
      <c r="B53" s="121"/>
      <c r="C53" s="285" t="s">
        <v>2950</v>
      </c>
      <c r="D53" s="116"/>
      <c r="E53" s="116"/>
      <c r="F53" s="116"/>
      <c r="G53" s="116"/>
      <c r="H53" s="116"/>
      <c r="I53" s="116"/>
      <c r="J53" s="116"/>
      <c r="K53" s="116"/>
      <c r="L53" s="116"/>
      <c r="M53" s="116"/>
      <c r="N53" s="116"/>
      <c r="O53" s="218"/>
      <c r="P53" s="218">
        <v>0</v>
      </c>
      <c r="Q53" s="218">
        <v>0</v>
      </c>
      <c r="R53" s="218">
        <v>0</v>
      </c>
      <c r="S53" s="218">
        <v>0</v>
      </c>
      <c r="T53" s="218">
        <v>2</v>
      </c>
      <c r="U53" s="218"/>
      <c r="V53" s="218"/>
      <c r="W53" s="218"/>
      <c r="X53" s="218"/>
      <c r="Y53" s="218"/>
      <c r="Z53" s="218"/>
      <c r="AA53" s="218"/>
      <c r="AB53" s="218"/>
      <c r="AC53" s="218"/>
      <c r="AD53" s="218"/>
      <c r="AE53" s="218"/>
      <c r="AF53" s="218"/>
      <c r="AG53" s="218"/>
      <c r="AH53" s="218"/>
    </row>
    <row r="54" spans="1:34" ht="14" x14ac:dyDescent="0.25">
      <c r="B54" s="121"/>
      <c r="C54" s="285" t="s">
        <v>2910</v>
      </c>
      <c r="D54" s="116"/>
      <c r="E54" s="116"/>
      <c r="F54" s="116"/>
      <c r="G54" s="116"/>
      <c r="H54" s="116"/>
      <c r="I54" s="116"/>
      <c r="J54" s="116"/>
      <c r="K54" s="116"/>
      <c r="L54" s="116"/>
      <c r="M54" s="116"/>
      <c r="N54" s="116"/>
      <c r="O54" s="218"/>
      <c r="P54" s="218">
        <v>0</v>
      </c>
      <c r="Q54" s="218">
        <v>0</v>
      </c>
      <c r="R54" s="218">
        <v>0</v>
      </c>
      <c r="S54" s="218">
        <v>0</v>
      </c>
      <c r="T54" s="218">
        <v>2</v>
      </c>
      <c r="U54" s="218"/>
      <c r="V54" s="218"/>
      <c r="W54" s="218"/>
      <c r="X54" s="218"/>
      <c r="Y54" s="218"/>
      <c r="Z54" s="218"/>
      <c r="AA54" s="218"/>
      <c r="AB54" s="218"/>
      <c r="AC54" s="218"/>
      <c r="AD54" s="218"/>
      <c r="AE54" s="218"/>
      <c r="AF54" s="218"/>
      <c r="AG54" s="218"/>
      <c r="AH54" s="218"/>
    </row>
    <row r="55" spans="1:34" ht="14" x14ac:dyDescent="0.25">
      <c r="B55" s="121"/>
      <c r="C55" s="285" t="s">
        <v>2911</v>
      </c>
      <c r="D55" s="116"/>
      <c r="E55" s="116"/>
      <c r="F55" s="116"/>
      <c r="G55" s="116"/>
      <c r="H55" s="116"/>
      <c r="I55" s="116"/>
      <c r="J55" s="116"/>
      <c r="K55" s="116"/>
      <c r="L55" s="116"/>
      <c r="M55" s="116"/>
      <c r="N55" s="116"/>
      <c r="O55" s="218"/>
      <c r="P55" s="218">
        <v>0</v>
      </c>
      <c r="Q55" s="218">
        <v>0</v>
      </c>
      <c r="R55" s="218">
        <v>0</v>
      </c>
      <c r="S55" s="218">
        <v>0</v>
      </c>
      <c r="T55" s="218">
        <v>2</v>
      </c>
      <c r="U55" s="218"/>
      <c r="V55" s="218"/>
      <c r="W55" s="218"/>
      <c r="X55" s="218"/>
      <c r="Y55" s="218"/>
      <c r="Z55" s="218"/>
      <c r="AA55" s="218"/>
      <c r="AB55" s="218"/>
      <c r="AC55" s="218"/>
      <c r="AD55" s="218"/>
      <c r="AE55" s="218"/>
      <c r="AF55" s="218"/>
      <c r="AG55" s="218"/>
      <c r="AH55" s="218"/>
    </row>
    <row r="56" spans="1:34" ht="14" x14ac:dyDescent="0.25">
      <c r="B56" s="121"/>
      <c r="C56" s="285" t="s">
        <v>2912</v>
      </c>
      <c r="D56" s="116"/>
      <c r="E56" s="116"/>
      <c r="F56" s="116"/>
      <c r="G56" s="116"/>
      <c r="H56" s="116"/>
      <c r="I56" s="116"/>
      <c r="J56" s="116"/>
      <c r="K56" s="116"/>
      <c r="L56" s="116"/>
      <c r="M56" s="116"/>
      <c r="N56" s="116"/>
      <c r="O56" s="218"/>
      <c r="P56" s="218">
        <v>0</v>
      </c>
      <c r="Q56" s="218">
        <v>0</v>
      </c>
      <c r="R56" s="218">
        <v>0</v>
      </c>
      <c r="S56" s="218">
        <v>0</v>
      </c>
      <c r="T56" s="218">
        <v>1.5</v>
      </c>
      <c r="U56" s="218"/>
      <c r="V56" s="218"/>
      <c r="W56" s="218"/>
      <c r="X56" s="218"/>
      <c r="Y56" s="218"/>
      <c r="Z56" s="218"/>
      <c r="AA56" s="218"/>
      <c r="AB56" s="218"/>
      <c r="AC56" s="218"/>
      <c r="AD56" s="218"/>
      <c r="AE56" s="218"/>
      <c r="AF56" s="218"/>
      <c r="AG56" s="218"/>
      <c r="AH56" s="218"/>
    </row>
    <row r="57" spans="1:34" ht="14" x14ac:dyDescent="0.25">
      <c r="B57" s="121"/>
      <c r="C57" s="285" t="s">
        <v>2913</v>
      </c>
      <c r="D57" s="116"/>
      <c r="E57" s="116"/>
      <c r="F57" s="116"/>
      <c r="G57" s="116"/>
      <c r="H57" s="116"/>
      <c r="I57" s="116"/>
      <c r="J57" s="116"/>
      <c r="K57" s="116"/>
      <c r="L57" s="116"/>
      <c r="M57" s="116"/>
      <c r="N57" s="116"/>
      <c r="O57" s="218"/>
      <c r="P57" s="218">
        <v>0</v>
      </c>
      <c r="Q57" s="218">
        <v>0</v>
      </c>
      <c r="R57" s="218">
        <v>0</v>
      </c>
      <c r="S57" s="218">
        <v>0</v>
      </c>
      <c r="T57" s="218">
        <v>4</v>
      </c>
      <c r="U57" s="218"/>
      <c r="V57" s="218"/>
      <c r="W57" s="218"/>
      <c r="X57" s="218"/>
      <c r="Y57" s="218"/>
      <c r="Z57" s="218"/>
      <c r="AA57" s="218"/>
      <c r="AB57" s="218"/>
      <c r="AC57" s="218"/>
      <c r="AD57" s="218"/>
      <c r="AE57" s="218"/>
      <c r="AF57" s="218"/>
      <c r="AG57" s="218"/>
      <c r="AH57" s="218"/>
    </row>
    <row r="58" spans="1:34" ht="14" x14ac:dyDescent="0.25">
      <c r="B58" s="121"/>
      <c r="C58" s="285" t="s">
        <v>2914</v>
      </c>
      <c r="D58" s="116"/>
      <c r="E58" s="116"/>
      <c r="F58" s="116"/>
      <c r="G58" s="116"/>
      <c r="H58" s="116"/>
      <c r="I58" s="116"/>
      <c r="J58" s="116"/>
      <c r="K58" s="116"/>
      <c r="L58" s="116"/>
      <c r="M58" s="116"/>
      <c r="N58" s="116"/>
      <c r="O58" s="218"/>
      <c r="P58" s="218">
        <v>0</v>
      </c>
      <c r="Q58" s="218">
        <v>0</v>
      </c>
      <c r="R58" s="218">
        <v>0</v>
      </c>
      <c r="S58" s="218">
        <v>0</v>
      </c>
      <c r="T58" s="218">
        <v>3</v>
      </c>
      <c r="U58" s="218"/>
      <c r="V58" s="218"/>
      <c r="W58" s="218"/>
      <c r="X58" s="218"/>
      <c r="Y58" s="218"/>
      <c r="Z58" s="218"/>
      <c r="AA58" s="218"/>
      <c r="AB58" s="218"/>
      <c r="AC58" s="218"/>
      <c r="AD58" s="218"/>
      <c r="AE58" s="218"/>
      <c r="AF58" s="218"/>
      <c r="AG58" s="218"/>
      <c r="AH58" s="218"/>
    </row>
    <row r="59" spans="1:34" ht="14" x14ac:dyDescent="0.25">
      <c r="B59" s="121"/>
      <c r="C59" s="285" t="s">
        <v>2915</v>
      </c>
      <c r="D59" s="116"/>
      <c r="E59" s="116"/>
      <c r="F59" s="116"/>
      <c r="G59" s="116"/>
      <c r="H59" s="116"/>
      <c r="I59" s="116"/>
      <c r="J59" s="116"/>
      <c r="K59" s="116"/>
      <c r="L59" s="116"/>
      <c r="M59" s="116"/>
      <c r="N59" s="116"/>
      <c r="O59" s="218"/>
      <c r="P59" s="218">
        <v>0</v>
      </c>
      <c r="Q59" s="218">
        <v>0</v>
      </c>
      <c r="R59" s="218">
        <v>0</v>
      </c>
      <c r="S59" s="218">
        <v>0</v>
      </c>
      <c r="T59" s="218">
        <v>4</v>
      </c>
      <c r="U59" s="218"/>
      <c r="V59" s="218"/>
      <c r="W59" s="218"/>
      <c r="X59" s="218"/>
      <c r="Y59" s="218"/>
      <c r="Z59" s="218"/>
      <c r="AA59" s="218"/>
      <c r="AB59" s="218"/>
      <c r="AC59" s="218"/>
      <c r="AD59" s="218"/>
      <c r="AE59" s="218"/>
      <c r="AF59" s="218"/>
      <c r="AG59" s="218"/>
      <c r="AH59" s="218"/>
    </row>
    <row r="60" spans="1:34" ht="14" x14ac:dyDescent="0.25">
      <c r="B60" s="121"/>
      <c r="C60" s="285" t="s">
        <v>2916</v>
      </c>
      <c r="D60" s="116"/>
      <c r="E60" s="116"/>
      <c r="F60" s="116"/>
      <c r="G60" s="116"/>
      <c r="H60" s="116"/>
      <c r="I60" s="116"/>
      <c r="J60" s="116"/>
      <c r="K60" s="116"/>
      <c r="L60" s="116"/>
      <c r="M60" s="116"/>
      <c r="N60" s="116"/>
      <c r="O60" s="218"/>
      <c r="P60" s="218">
        <v>0</v>
      </c>
      <c r="Q60" s="218">
        <v>0</v>
      </c>
      <c r="R60" s="218">
        <v>0</v>
      </c>
      <c r="S60" s="218">
        <v>0</v>
      </c>
      <c r="T60" s="218">
        <v>1</v>
      </c>
      <c r="U60" s="218"/>
      <c r="V60" s="218"/>
      <c r="W60" s="218"/>
      <c r="X60" s="218"/>
      <c r="Y60" s="218"/>
      <c r="Z60" s="218"/>
      <c r="AA60" s="218"/>
      <c r="AB60" s="218"/>
      <c r="AC60" s="218"/>
      <c r="AD60" s="218"/>
      <c r="AE60" s="218"/>
      <c r="AF60" s="218"/>
      <c r="AG60" s="218"/>
      <c r="AH60" s="218"/>
    </row>
    <row r="61" spans="1:34" ht="14" x14ac:dyDescent="0.25">
      <c r="B61" s="121"/>
      <c r="C61" s="285" t="s">
        <v>2917</v>
      </c>
      <c r="D61" s="116"/>
      <c r="E61" s="116"/>
      <c r="F61" s="116"/>
      <c r="G61" s="116"/>
      <c r="H61" s="116"/>
      <c r="I61" s="116"/>
      <c r="J61" s="116"/>
      <c r="K61" s="116"/>
      <c r="L61" s="116"/>
      <c r="M61" s="116"/>
      <c r="N61" s="116"/>
      <c r="O61" s="218"/>
      <c r="P61" s="218">
        <v>0</v>
      </c>
      <c r="Q61" s="218">
        <v>0</v>
      </c>
      <c r="R61" s="218">
        <v>0</v>
      </c>
      <c r="S61" s="218">
        <v>0</v>
      </c>
      <c r="T61" s="218">
        <v>1</v>
      </c>
      <c r="U61" s="218"/>
      <c r="V61" s="218"/>
      <c r="W61" s="218"/>
      <c r="X61" s="218"/>
      <c r="Y61" s="218"/>
      <c r="Z61" s="218"/>
      <c r="AA61" s="218"/>
      <c r="AB61" s="218"/>
      <c r="AC61" s="218"/>
      <c r="AD61" s="218"/>
      <c r="AE61" s="218"/>
      <c r="AF61" s="218"/>
      <c r="AG61" s="218"/>
      <c r="AH61" s="218"/>
    </row>
    <row r="62" spans="1:34" ht="14" x14ac:dyDescent="0.25">
      <c r="A62" s="1265">
        <v>-0.80000000000000071</v>
      </c>
      <c r="B62" s="1264"/>
      <c r="C62" s="285" t="s">
        <v>2918</v>
      </c>
      <c r="D62" s="116"/>
      <c r="E62" s="116"/>
      <c r="F62" s="116"/>
      <c r="G62" s="116"/>
      <c r="H62" s="116"/>
      <c r="I62" s="116"/>
      <c r="J62" s="116"/>
      <c r="K62" s="116"/>
      <c r="L62" s="116"/>
      <c r="M62" s="116"/>
      <c r="N62" s="116"/>
      <c r="O62" s="218"/>
      <c r="P62" s="218">
        <v>0</v>
      </c>
      <c r="Q62" s="218">
        <v>0</v>
      </c>
      <c r="R62" s="218">
        <v>0</v>
      </c>
      <c r="S62" s="218">
        <v>0</v>
      </c>
      <c r="T62" s="218">
        <v>0.5</v>
      </c>
      <c r="U62" s="218"/>
      <c r="V62" s="218"/>
      <c r="W62" s="218"/>
      <c r="X62" s="218"/>
      <c r="Y62" s="218"/>
      <c r="Z62" s="218"/>
      <c r="AA62" s="218"/>
      <c r="AB62" s="218"/>
      <c r="AC62" s="218"/>
      <c r="AD62" s="218"/>
      <c r="AE62" s="218"/>
      <c r="AF62" s="218"/>
      <c r="AG62" s="218"/>
      <c r="AH62" s="218"/>
    </row>
    <row r="63" spans="1:34" ht="14" x14ac:dyDescent="0.25">
      <c r="B63" s="1264"/>
      <c r="C63" s="285" t="s">
        <v>2919</v>
      </c>
      <c r="D63" s="116"/>
      <c r="E63" s="116"/>
      <c r="F63" s="116"/>
      <c r="G63" s="116"/>
      <c r="H63" s="116"/>
      <c r="I63" s="116"/>
      <c r="J63" s="116"/>
      <c r="K63" s="116"/>
      <c r="L63" s="116"/>
      <c r="M63" s="116"/>
      <c r="N63" s="116"/>
      <c r="O63" s="218"/>
      <c r="P63" s="218">
        <v>0</v>
      </c>
      <c r="Q63" s="218">
        <v>0</v>
      </c>
      <c r="R63" s="218">
        <v>0</v>
      </c>
      <c r="S63" s="218">
        <v>0</v>
      </c>
      <c r="T63" s="218">
        <v>3</v>
      </c>
      <c r="U63" s="218"/>
      <c r="V63" s="218"/>
      <c r="W63" s="218"/>
      <c r="X63" s="218"/>
      <c r="Y63" s="218"/>
      <c r="Z63" s="218"/>
      <c r="AA63" s="218"/>
      <c r="AB63" s="218"/>
      <c r="AC63" s="218"/>
      <c r="AD63" s="218"/>
      <c r="AE63" s="218"/>
      <c r="AF63" s="218"/>
      <c r="AG63" s="218"/>
      <c r="AH63" s="218"/>
    </row>
    <row r="64" spans="1:34" ht="14" x14ac:dyDescent="0.25">
      <c r="B64" s="1264"/>
      <c r="C64" s="285" t="s">
        <v>2920</v>
      </c>
      <c r="D64" s="116"/>
      <c r="E64" s="116"/>
      <c r="F64" s="116"/>
      <c r="G64" s="116"/>
      <c r="H64" s="116"/>
      <c r="I64" s="116"/>
      <c r="J64" s="116"/>
      <c r="K64" s="116"/>
      <c r="L64" s="116"/>
      <c r="M64" s="116"/>
      <c r="N64" s="116"/>
      <c r="O64" s="218"/>
      <c r="P64" s="218">
        <v>0</v>
      </c>
      <c r="Q64" s="218">
        <v>0</v>
      </c>
      <c r="R64" s="218">
        <v>0</v>
      </c>
      <c r="S64" s="218">
        <v>0</v>
      </c>
      <c r="T64" s="218">
        <v>1</v>
      </c>
      <c r="U64" s="218"/>
      <c r="V64" s="218"/>
      <c r="W64" s="218"/>
      <c r="X64" s="218"/>
      <c r="Y64" s="218"/>
      <c r="Z64" s="218"/>
      <c r="AA64" s="218"/>
      <c r="AB64" s="218"/>
      <c r="AC64" s="218"/>
      <c r="AD64" s="218"/>
      <c r="AE64" s="218"/>
      <c r="AF64" s="218"/>
      <c r="AG64" s="218"/>
      <c r="AH64" s="218"/>
    </row>
    <row r="65" spans="2:34" ht="31" x14ac:dyDescent="0.25">
      <c r="B65" s="121"/>
      <c r="C65" s="1266" t="s">
        <v>2926</v>
      </c>
      <c r="D65" s="121"/>
      <c r="E65" s="116"/>
      <c r="F65" s="116"/>
      <c r="G65" s="116"/>
      <c r="H65" s="116"/>
      <c r="I65" s="116"/>
      <c r="J65" s="116"/>
      <c r="K65" s="116"/>
      <c r="L65" s="116"/>
      <c r="M65" s="116"/>
      <c r="N65" s="116"/>
      <c r="O65" s="218"/>
      <c r="P65" s="218">
        <v>0</v>
      </c>
      <c r="Q65" s="218">
        <v>0</v>
      </c>
      <c r="R65" s="218">
        <v>0</v>
      </c>
      <c r="S65" s="218">
        <v>0</v>
      </c>
      <c r="T65" s="218">
        <v>0.6</v>
      </c>
      <c r="U65" s="218"/>
      <c r="V65" s="218"/>
      <c r="W65" s="218"/>
      <c r="X65" s="218"/>
      <c r="Y65" s="218"/>
      <c r="Z65" s="218"/>
      <c r="AA65" s="218"/>
      <c r="AB65" s="218"/>
      <c r="AC65" s="218"/>
      <c r="AD65" s="218"/>
      <c r="AE65" s="218"/>
      <c r="AF65" s="218"/>
      <c r="AG65" s="218"/>
      <c r="AH65" s="218"/>
    </row>
    <row r="66" spans="2:34" ht="14" x14ac:dyDescent="0.25">
      <c r="B66" s="121"/>
      <c r="C66" s="285" t="s">
        <v>2940</v>
      </c>
      <c r="D66" s="116"/>
      <c r="E66" s="116"/>
      <c r="F66" s="116"/>
      <c r="G66" s="116"/>
      <c r="H66" s="116"/>
      <c r="I66" s="116"/>
      <c r="J66" s="116"/>
      <c r="K66" s="116"/>
      <c r="L66" s="116"/>
      <c r="M66" s="116"/>
      <c r="N66" s="116"/>
      <c r="O66" s="218"/>
      <c r="P66" s="218">
        <v>0</v>
      </c>
      <c r="Q66" s="218">
        <v>0</v>
      </c>
      <c r="R66" s="218">
        <v>0</v>
      </c>
      <c r="S66" s="218">
        <v>0</v>
      </c>
      <c r="T66" s="218">
        <v>5</v>
      </c>
      <c r="U66" s="218"/>
      <c r="V66" s="218"/>
      <c r="W66" s="218"/>
      <c r="X66" s="218"/>
      <c r="Y66" s="218"/>
      <c r="Z66" s="218"/>
      <c r="AA66" s="218"/>
      <c r="AB66" s="218"/>
      <c r="AC66" s="218"/>
      <c r="AD66" s="218"/>
      <c r="AE66" s="218"/>
      <c r="AF66" s="218"/>
      <c r="AG66" s="218"/>
      <c r="AH66" s="218"/>
    </row>
    <row r="67" spans="2:34" ht="14" x14ac:dyDescent="0.25">
      <c r="B67" s="121"/>
      <c r="C67" s="285" t="s">
        <v>2941</v>
      </c>
      <c r="D67" s="116"/>
      <c r="E67" s="116"/>
      <c r="F67" s="116"/>
      <c r="G67" s="116"/>
      <c r="H67" s="116"/>
      <c r="I67" s="116"/>
      <c r="J67" s="116"/>
      <c r="K67" s="116"/>
      <c r="L67" s="116"/>
      <c r="M67" s="116"/>
      <c r="N67" s="116"/>
      <c r="O67" s="218"/>
      <c r="P67" s="218">
        <v>0</v>
      </c>
      <c r="Q67" s="218">
        <v>0</v>
      </c>
      <c r="R67" s="218">
        <v>0</v>
      </c>
      <c r="S67" s="218">
        <v>0</v>
      </c>
      <c r="T67" s="218">
        <v>10</v>
      </c>
      <c r="U67" s="218"/>
      <c r="V67" s="218"/>
      <c r="W67" s="218"/>
      <c r="X67" s="218"/>
      <c r="Y67" s="218"/>
      <c r="Z67" s="218"/>
      <c r="AA67" s="218"/>
      <c r="AB67" s="218"/>
      <c r="AC67" s="218"/>
      <c r="AD67" s="218"/>
      <c r="AE67" s="218"/>
      <c r="AF67" s="218"/>
      <c r="AG67" s="218"/>
      <c r="AH67" s="218"/>
    </row>
    <row r="68" spans="2:34" ht="28" x14ac:dyDescent="0.25">
      <c r="B68" s="121"/>
      <c r="C68" s="285" t="s">
        <v>2942</v>
      </c>
      <c r="D68" s="116"/>
      <c r="E68" s="116"/>
      <c r="F68" s="116"/>
      <c r="G68" s="116"/>
      <c r="H68" s="116"/>
      <c r="I68" s="116"/>
      <c r="J68" s="116"/>
      <c r="K68" s="116"/>
      <c r="L68" s="116"/>
      <c r="M68" s="116"/>
      <c r="N68" s="116"/>
      <c r="O68" s="218"/>
      <c r="P68" s="218">
        <v>0</v>
      </c>
      <c r="Q68" s="218">
        <v>0</v>
      </c>
      <c r="R68" s="218">
        <v>0</v>
      </c>
      <c r="S68" s="218">
        <v>0</v>
      </c>
      <c r="T68" s="218">
        <v>5</v>
      </c>
      <c r="U68" s="218"/>
      <c r="V68" s="218"/>
      <c r="W68" s="218"/>
      <c r="X68" s="218"/>
      <c r="Y68" s="218"/>
      <c r="Z68" s="218"/>
      <c r="AA68" s="218"/>
      <c r="AB68" s="218"/>
      <c r="AC68" s="218"/>
      <c r="AD68" s="218"/>
      <c r="AE68" s="218"/>
      <c r="AF68" s="218"/>
      <c r="AG68" s="218"/>
      <c r="AH68" s="218"/>
    </row>
    <row r="69" spans="2:34" ht="28" x14ac:dyDescent="0.25">
      <c r="B69" s="121"/>
      <c r="C69" s="285" t="s">
        <v>2943</v>
      </c>
      <c r="D69" s="116"/>
      <c r="E69" s="116"/>
      <c r="F69" s="116"/>
      <c r="G69" s="116"/>
      <c r="H69" s="116"/>
      <c r="I69" s="116"/>
      <c r="J69" s="116"/>
      <c r="K69" s="116"/>
      <c r="L69" s="116"/>
      <c r="M69" s="116"/>
      <c r="N69" s="116"/>
      <c r="O69" s="218"/>
      <c r="P69" s="218">
        <v>0</v>
      </c>
      <c r="Q69" s="218">
        <v>0</v>
      </c>
      <c r="R69" s="218">
        <v>0</v>
      </c>
      <c r="S69" s="218">
        <v>0</v>
      </c>
      <c r="T69" s="218">
        <v>0.5</v>
      </c>
      <c r="U69" s="218"/>
      <c r="V69" s="218"/>
      <c r="W69" s="218"/>
      <c r="X69" s="218"/>
      <c r="Y69" s="218"/>
      <c r="Z69" s="218"/>
      <c r="AA69" s="218"/>
      <c r="AB69" s="218"/>
      <c r="AC69" s="218"/>
      <c r="AD69" s="218"/>
      <c r="AE69" s="218"/>
      <c r="AF69" s="218"/>
      <c r="AG69" s="218"/>
      <c r="AH69" s="218"/>
    </row>
    <row r="70" spans="2:34" ht="28" x14ac:dyDescent="0.25">
      <c r="B70" s="121"/>
      <c r="C70" s="285" t="s">
        <v>2951</v>
      </c>
      <c r="D70" s="116"/>
      <c r="E70" s="116"/>
      <c r="F70" s="116"/>
      <c r="G70" s="116"/>
      <c r="H70" s="116"/>
      <c r="I70" s="116"/>
      <c r="J70" s="116"/>
      <c r="K70" s="116"/>
      <c r="L70" s="116"/>
      <c r="M70" s="116"/>
      <c r="N70" s="116"/>
      <c r="O70" s="218"/>
      <c r="P70" s="218">
        <v>0</v>
      </c>
      <c r="Q70" s="218">
        <v>0</v>
      </c>
      <c r="R70" s="218">
        <v>0</v>
      </c>
      <c r="S70" s="218">
        <v>0</v>
      </c>
      <c r="T70" s="218">
        <v>0.7</v>
      </c>
      <c r="U70" s="218"/>
      <c r="V70" s="218"/>
      <c r="W70" s="218"/>
      <c r="X70" s="218"/>
      <c r="Y70" s="218"/>
      <c r="Z70" s="218"/>
      <c r="AA70" s="218"/>
      <c r="AB70" s="218"/>
      <c r="AC70" s="218"/>
      <c r="AD70" s="218"/>
      <c r="AE70" s="218"/>
      <c r="AF70" s="218"/>
      <c r="AG70" s="218"/>
      <c r="AH70" s="218"/>
    </row>
    <row r="71" spans="2:34" ht="42" x14ac:dyDescent="0.25">
      <c r="B71" s="121"/>
      <c r="C71" s="285" t="s">
        <v>2952</v>
      </c>
      <c r="D71" s="116"/>
      <c r="E71" s="116"/>
      <c r="F71" s="116"/>
      <c r="G71" s="116"/>
      <c r="H71" s="116"/>
      <c r="I71" s="116"/>
      <c r="J71" s="116"/>
      <c r="K71" s="116"/>
      <c r="L71" s="116"/>
      <c r="M71" s="116"/>
      <c r="N71" s="116"/>
      <c r="O71" s="218"/>
      <c r="P71" s="218">
        <v>0</v>
      </c>
      <c r="Q71" s="218">
        <v>0</v>
      </c>
      <c r="R71" s="218">
        <v>0</v>
      </c>
      <c r="S71" s="218">
        <v>0</v>
      </c>
      <c r="T71" s="218">
        <v>1</v>
      </c>
      <c r="U71" s="218"/>
      <c r="V71" s="218"/>
      <c r="W71" s="218"/>
      <c r="X71" s="218"/>
      <c r="Y71" s="218"/>
      <c r="Z71" s="218"/>
      <c r="AA71" s="218"/>
      <c r="AB71" s="218"/>
      <c r="AC71" s="218"/>
      <c r="AD71" s="218"/>
      <c r="AE71" s="218"/>
      <c r="AF71" s="218"/>
      <c r="AG71" s="218"/>
      <c r="AH71" s="218"/>
    </row>
    <row r="72" spans="2:34" ht="15.5" x14ac:dyDescent="0.25">
      <c r="B72" s="121"/>
      <c r="C72" s="1266" t="s">
        <v>2944</v>
      </c>
      <c r="D72" s="121"/>
      <c r="E72" s="116"/>
      <c r="F72" s="116"/>
      <c r="G72" s="116"/>
      <c r="H72" s="116"/>
      <c r="I72" s="116"/>
      <c r="J72" s="116"/>
      <c r="K72" s="116"/>
      <c r="L72" s="116"/>
      <c r="M72" s="116"/>
      <c r="N72" s="116"/>
      <c r="O72" s="218"/>
      <c r="P72" s="218">
        <v>0</v>
      </c>
      <c r="Q72" s="218">
        <v>0</v>
      </c>
      <c r="R72" s="218">
        <v>0</v>
      </c>
      <c r="S72" s="218">
        <v>0</v>
      </c>
      <c r="T72" s="218">
        <v>1.65</v>
      </c>
      <c r="U72" s="218"/>
      <c r="V72" s="218"/>
      <c r="W72" s="218"/>
      <c r="X72" s="218"/>
      <c r="Y72" s="218"/>
      <c r="Z72" s="218"/>
      <c r="AA72" s="218"/>
      <c r="AB72" s="218"/>
      <c r="AC72" s="218"/>
      <c r="AD72" s="218"/>
      <c r="AE72" s="218"/>
      <c r="AF72" s="218"/>
      <c r="AG72" s="218"/>
      <c r="AH72" s="218"/>
    </row>
    <row r="73" spans="2:34" ht="14" x14ac:dyDescent="0.25">
      <c r="B73" s="121"/>
      <c r="C73" s="285" t="s">
        <v>2953</v>
      </c>
      <c r="D73" s="116"/>
      <c r="E73" s="116"/>
      <c r="F73" s="116"/>
      <c r="G73" s="116"/>
      <c r="H73" s="116"/>
      <c r="I73" s="116"/>
      <c r="J73" s="116"/>
      <c r="K73" s="116"/>
      <c r="L73" s="116"/>
      <c r="M73" s="116"/>
      <c r="N73" s="116"/>
      <c r="O73" s="218"/>
      <c r="P73" s="218">
        <v>0</v>
      </c>
      <c r="Q73" s="218">
        <v>0</v>
      </c>
      <c r="R73" s="218">
        <v>0</v>
      </c>
      <c r="S73" s="218">
        <v>0</v>
      </c>
      <c r="T73" s="218">
        <v>1.5</v>
      </c>
      <c r="U73" s="218"/>
      <c r="V73" s="218"/>
      <c r="W73" s="218"/>
      <c r="X73" s="218"/>
      <c r="Y73" s="218"/>
      <c r="Z73" s="218"/>
      <c r="AA73" s="218"/>
      <c r="AB73" s="218"/>
      <c r="AC73" s="218"/>
      <c r="AD73" s="218"/>
      <c r="AE73" s="218"/>
      <c r="AF73" s="218"/>
      <c r="AG73" s="218"/>
      <c r="AH73" s="218"/>
    </row>
    <row r="74" spans="2:34" ht="28" x14ac:dyDescent="0.25">
      <c r="B74" s="121"/>
      <c r="C74" s="285" t="s">
        <v>2954</v>
      </c>
      <c r="D74" s="116"/>
      <c r="E74" s="116"/>
      <c r="F74" s="116"/>
      <c r="G74" s="116"/>
      <c r="H74" s="116"/>
      <c r="I74" s="116"/>
      <c r="J74" s="116"/>
      <c r="K74" s="116"/>
      <c r="L74" s="116"/>
      <c r="M74" s="116"/>
      <c r="N74" s="116"/>
      <c r="O74" s="218"/>
      <c r="P74" s="218">
        <v>0</v>
      </c>
      <c r="Q74" s="218">
        <v>0</v>
      </c>
      <c r="R74" s="218">
        <v>0</v>
      </c>
      <c r="S74" s="218">
        <v>0</v>
      </c>
      <c r="T74" s="218">
        <v>12</v>
      </c>
      <c r="U74" s="218"/>
      <c r="V74" s="218"/>
      <c r="W74" s="218"/>
      <c r="X74" s="218"/>
      <c r="Y74" s="218"/>
      <c r="Z74" s="218"/>
      <c r="AA74" s="218"/>
      <c r="AB74" s="218"/>
      <c r="AC74" s="218"/>
      <c r="AD74" s="218"/>
      <c r="AE74" s="218"/>
      <c r="AF74" s="218"/>
      <c r="AG74" s="218"/>
      <c r="AH74" s="218"/>
    </row>
    <row r="75" spans="2:34" ht="14" x14ac:dyDescent="0.25">
      <c r="B75" s="121"/>
      <c r="C75" s="285" t="s">
        <v>2955</v>
      </c>
      <c r="D75" s="116"/>
      <c r="E75" s="116"/>
      <c r="F75" s="116"/>
      <c r="G75" s="116"/>
      <c r="H75" s="116"/>
      <c r="I75" s="116"/>
      <c r="J75" s="116"/>
      <c r="K75" s="116"/>
      <c r="L75" s="116"/>
      <c r="M75" s="116"/>
      <c r="N75" s="116"/>
      <c r="O75" s="218"/>
      <c r="P75" s="218">
        <v>0</v>
      </c>
      <c r="Q75" s="218">
        <v>0</v>
      </c>
      <c r="R75" s="218">
        <v>0</v>
      </c>
      <c r="S75" s="218">
        <v>0</v>
      </c>
      <c r="T75" s="218">
        <v>0.5</v>
      </c>
      <c r="U75" s="218"/>
      <c r="V75" s="218"/>
      <c r="W75" s="218"/>
      <c r="X75" s="218"/>
      <c r="Y75" s="218"/>
      <c r="Z75" s="218"/>
      <c r="AA75" s="218"/>
      <c r="AB75" s="218"/>
      <c r="AC75" s="218"/>
      <c r="AD75" s="218"/>
      <c r="AE75" s="218"/>
      <c r="AF75" s="218"/>
      <c r="AG75" s="218"/>
      <c r="AH75" s="218"/>
    </row>
    <row r="76" spans="2:34" ht="28" x14ac:dyDescent="0.25">
      <c r="B76" s="121"/>
      <c r="C76" s="285" t="s">
        <v>2958</v>
      </c>
      <c r="D76" s="116"/>
      <c r="E76" s="116"/>
      <c r="F76" s="116"/>
      <c r="G76" s="116"/>
      <c r="H76" s="116"/>
      <c r="I76" s="116"/>
      <c r="J76" s="116"/>
      <c r="K76" s="116"/>
      <c r="L76" s="116"/>
      <c r="M76" s="116"/>
      <c r="N76" s="116"/>
      <c r="O76" s="218"/>
      <c r="P76" s="218">
        <v>0</v>
      </c>
      <c r="Q76" s="218">
        <v>0</v>
      </c>
      <c r="R76" s="218">
        <v>0</v>
      </c>
      <c r="S76" s="218">
        <v>0</v>
      </c>
      <c r="T76" s="218">
        <v>0.5</v>
      </c>
      <c r="U76" s="218"/>
      <c r="V76" s="218"/>
      <c r="W76" s="218"/>
      <c r="X76" s="218"/>
      <c r="Y76" s="218"/>
      <c r="Z76" s="218"/>
      <c r="AA76" s="218"/>
      <c r="AB76" s="218"/>
      <c r="AC76" s="218"/>
      <c r="AD76" s="218"/>
      <c r="AE76" s="218"/>
      <c r="AF76" s="218"/>
      <c r="AG76" s="218"/>
      <c r="AH76" s="218"/>
    </row>
    <row r="77" spans="2:34" ht="14" x14ac:dyDescent="0.25">
      <c r="B77" s="121"/>
      <c r="C77" s="285" t="s">
        <v>2956</v>
      </c>
      <c r="D77" s="116"/>
      <c r="E77" s="116"/>
      <c r="F77" s="116"/>
      <c r="G77" s="116"/>
      <c r="H77" s="116"/>
      <c r="I77" s="116"/>
      <c r="J77" s="116"/>
      <c r="K77" s="116"/>
      <c r="L77" s="116"/>
      <c r="M77" s="116"/>
      <c r="N77" s="116"/>
      <c r="O77" s="218"/>
      <c r="P77" s="218">
        <v>0</v>
      </c>
      <c r="Q77" s="218">
        <v>0</v>
      </c>
      <c r="R77" s="218">
        <v>0</v>
      </c>
      <c r="S77" s="218">
        <v>3</v>
      </c>
      <c r="T77" s="218">
        <v>0</v>
      </c>
      <c r="U77" s="218"/>
      <c r="V77" s="218"/>
      <c r="W77" s="218"/>
      <c r="X77" s="218"/>
      <c r="Y77" s="218"/>
      <c r="Z77" s="218"/>
      <c r="AA77" s="218"/>
      <c r="AB77" s="218"/>
      <c r="AC77" s="218"/>
      <c r="AD77" s="218"/>
      <c r="AE77" s="218"/>
      <c r="AF77" s="218"/>
      <c r="AG77" s="218"/>
      <c r="AH77" s="218"/>
    </row>
    <row r="78" spans="2:34" ht="14" x14ac:dyDescent="0.25">
      <c r="B78" s="121"/>
      <c r="C78" s="285" t="s">
        <v>2957</v>
      </c>
      <c r="D78" s="116"/>
      <c r="E78" s="116"/>
      <c r="F78" s="116"/>
      <c r="G78" s="116"/>
      <c r="H78" s="116"/>
      <c r="I78" s="116"/>
      <c r="J78" s="116"/>
      <c r="K78" s="116"/>
      <c r="L78" s="116"/>
      <c r="M78" s="116"/>
      <c r="N78" s="116"/>
      <c r="O78" s="218"/>
      <c r="P78" s="218">
        <v>0</v>
      </c>
      <c r="Q78" s="218">
        <v>0</v>
      </c>
      <c r="R78" s="218">
        <v>0</v>
      </c>
      <c r="S78" s="218">
        <v>2</v>
      </c>
      <c r="T78" s="218">
        <v>0</v>
      </c>
      <c r="U78" s="218"/>
      <c r="V78" s="218"/>
      <c r="W78" s="218"/>
      <c r="X78" s="218"/>
      <c r="Y78" s="218"/>
      <c r="Z78" s="218"/>
      <c r="AA78" s="218"/>
      <c r="AB78" s="218"/>
      <c r="AC78" s="218"/>
      <c r="AD78" s="218"/>
      <c r="AE78" s="218"/>
      <c r="AF78" s="218"/>
      <c r="AG78" s="218"/>
      <c r="AH78" s="218"/>
    </row>
    <row r="79" spans="2:34" ht="14" x14ac:dyDescent="0.25">
      <c r="B79" s="121"/>
      <c r="C79" s="285" t="s">
        <v>3029</v>
      </c>
      <c r="D79" s="116"/>
      <c r="E79" s="116"/>
      <c r="F79" s="116"/>
      <c r="G79" s="116"/>
      <c r="H79" s="116"/>
      <c r="I79" s="116"/>
      <c r="J79" s="116"/>
      <c r="K79" s="116"/>
      <c r="L79" s="116"/>
      <c r="M79" s="116"/>
      <c r="N79" s="116"/>
      <c r="O79" s="218"/>
      <c r="P79" s="218">
        <v>0</v>
      </c>
      <c r="Q79" s="218">
        <v>0</v>
      </c>
      <c r="R79" s="218">
        <v>0</v>
      </c>
      <c r="S79" s="218">
        <v>0</v>
      </c>
      <c r="T79" s="218">
        <v>40</v>
      </c>
      <c r="U79" s="218"/>
      <c r="V79" s="218"/>
      <c r="W79" s="218"/>
      <c r="X79" s="218"/>
      <c r="Y79" s="218"/>
      <c r="Z79" s="218"/>
      <c r="AA79" s="218"/>
      <c r="AB79" s="218"/>
      <c r="AC79" s="218"/>
      <c r="AD79" s="218"/>
      <c r="AE79" s="218"/>
      <c r="AF79" s="218"/>
      <c r="AG79" s="218"/>
      <c r="AH79" s="218"/>
    </row>
    <row r="80" spans="2:34" ht="14" x14ac:dyDescent="0.25">
      <c r="B80" s="121"/>
      <c r="C80" s="285" t="s">
        <v>3030</v>
      </c>
      <c r="D80" s="116"/>
      <c r="E80" s="116"/>
      <c r="F80" s="116"/>
      <c r="G80" s="116"/>
      <c r="H80" s="116"/>
      <c r="I80" s="116"/>
      <c r="J80" s="116"/>
      <c r="K80" s="116"/>
      <c r="L80" s="116"/>
      <c r="M80" s="116"/>
      <c r="N80" s="116"/>
      <c r="O80" s="218"/>
      <c r="P80" s="218">
        <v>0</v>
      </c>
      <c r="Q80" s="218">
        <v>0</v>
      </c>
      <c r="R80" s="218">
        <v>0</v>
      </c>
      <c r="S80" s="218">
        <v>0</v>
      </c>
      <c r="T80" s="218">
        <v>40</v>
      </c>
      <c r="U80" s="218"/>
      <c r="V80" s="218"/>
      <c r="W80" s="218"/>
      <c r="X80" s="218"/>
      <c r="Y80" s="218"/>
      <c r="Z80" s="218"/>
      <c r="AA80" s="218"/>
      <c r="AB80" s="218"/>
      <c r="AC80" s="218"/>
      <c r="AD80" s="218"/>
      <c r="AE80" s="218"/>
      <c r="AF80" s="218"/>
      <c r="AG80" s="218"/>
      <c r="AH80" s="218"/>
    </row>
    <row r="81" spans="2:34" ht="14" x14ac:dyDescent="0.25">
      <c r="B81" s="121"/>
      <c r="C81" s="285" t="s">
        <v>3031</v>
      </c>
      <c r="D81" s="116"/>
      <c r="E81" s="116"/>
      <c r="F81" s="116"/>
      <c r="G81" s="116"/>
      <c r="H81" s="116"/>
      <c r="I81" s="116"/>
      <c r="J81" s="116"/>
      <c r="K81" s="116"/>
      <c r="L81" s="116"/>
      <c r="M81" s="116"/>
      <c r="N81" s="116"/>
      <c r="O81" s="218"/>
      <c r="P81" s="218">
        <v>0</v>
      </c>
      <c r="Q81" s="218">
        <v>0</v>
      </c>
      <c r="R81" s="218">
        <v>0</v>
      </c>
      <c r="S81" s="218">
        <v>0</v>
      </c>
      <c r="T81" s="218">
        <v>25</v>
      </c>
      <c r="U81" s="218"/>
      <c r="V81" s="218"/>
      <c r="W81" s="218"/>
      <c r="X81" s="218"/>
      <c r="Y81" s="218"/>
      <c r="Z81" s="218"/>
      <c r="AA81" s="218"/>
      <c r="AB81" s="218"/>
      <c r="AC81" s="218"/>
      <c r="AD81" s="218"/>
      <c r="AE81" s="218"/>
      <c r="AF81" s="218"/>
      <c r="AG81" s="218"/>
      <c r="AH81" s="218"/>
    </row>
    <row r="82" spans="2:34" ht="15.5" x14ac:dyDescent="0.25">
      <c r="B82" s="121"/>
      <c r="C82" s="1266" t="s">
        <v>3032</v>
      </c>
      <c r="D82" s="121"/>
      <c r="E82" s="116"/>
      <c r="F82" s="116"/>
      <c r="G82" s="116"/>
      <c r="H82" s="116"/>
      <c r="I82" s="116"/>
      <c r="J82" s="116"/>
      <c r="K82" s="116"/>
      <c r="L82" s="116"/>
      <c r="M82" s="116"/>
      <c r="N82" s="116"/>
      <c r="O82" s="218"/>
      <c r="P82" s="218">
        <v>0</v>
      </c>
      <c r="Q82" s="218">
        <v>0</v>
      </c>
      <c r="R82" s="218">
        <v>0</v>
      </c>
      <c r="S82" s="218">
        <v>10</v>
      </c>
      <c r="T82" s="218">
        <v>0</v>
      </c>
      <c r="U82" s="218"/>
      <c r="V82" s="218"/>
      <c r="W82" s="218"/>
      <c r="X82" s="218"/>
      <c r="Y82" s="218"/>
      <c r="Z82" s="218"/>
      <c r="AA82" s="218"/>
      <c r="AB82" s="218"/>
      <c r="AC82" s="218"/>
      <c r="AD82" s="218"/>
      <c r="AE82" s="218"/>
      <c r="AF82" s="218"/>
      <c r="AG82" s="218"/>
      <c r="AH82" s="218"/>
    </row>
    <row r="83" spans="2:34" ht="14" x14ac:dyDescent="0.25">
      <c r="B83" s="121"/>
      <c r="C83" s="285" t="s">
        <v>3033</v>
      </c>
      <c r="D83" s="116"/>
      <c r="E83" s="116"/>
      <c r="F83" s="116"/>
      <c r="G83" s="116"/>
      <c r="H83" s="116"/>
      <c r="I83" s="116"/>
      <c r="J83" s="116"/>
      <c r="K83" s="116"/>
      <c r="L83" s="116"/>
      <c r="M83" s="116"/>
      <c r="N83" s="116"/>
      <c r="O83" s="218"/>
      <c r="P83" s="218">
        <v>0</v>
      </c>
      <c r="Q83" s="218">
        <v>0</v>
      </c>
      <c r="R83" s="218">
        <v>0</v>
      </c>
      <c r="S83" s="218">
        <v>1</v>
      </c>
      <c r="T83" s="218">
        <v>0</v>
      </c>
      <c r="U83" s="218"/>
      <c r="V83" s="218"/>
      <c r="W83" s="218"/>
      <c r="X83" s="218"/>
      <c r="Y83" s="218"/>
      <c r="Z83" s="218"/>
      <c r="AA83" s="218"/>
      <c r="AB83" s="218"/>
      <c r="AC83" s="218"/>
      <c r="AD83" s="218"/>
      <c r="AE83" s="218"/>
      <c r="AF83" s="218"/>
      <c r="AG83" s="218"/>
      <c r="AH83" s="218"/>
    </row>
    <row r="84" spans="2:34" ht="14" x14ac:dyDescent="0.25">
      <c r="B84" s="121"/>
      <c r="C84" s="285" t="s">
        <v>3034</v>
      </c>
      <c r="D84" s="116"/>
      <c r="E84" s="116"/>
      <c r="F84" s="116"/>
      <c r="G84" s="116"/>
      <c r="H84" s="116"/>
      <c r="I84" s="116"/>
      <c r="J84" s="116"/>
      <c r="K84" s="116"/>
      <c r="L84" s="116"/>
      <c r="M84" s="116"/>
      <c r="N84" s="116"/>
      <c r="O84" s="218"/>
      <c r="P84" s="218">
        <v>0</v>
      </c>
      <c r="Q84" s="218">
        <v>0</v>
      </c>
      <c r="R84" s="218">
        <v>0</v>
      </c>
      <c r="S84" s="218">
        <v>10</v>
      </c>
      <c r="T84" s="218">
        <v>0</v>
      </c>
      <c r="U84" s="218"/>
      <c r="V84" s="218"/>
      <c r="W84" s="218"/>
      <c r="X84" s="218"/>
      <c r="Y84" s="218"/>
      <c r="Z84" s="218"/>
      <c r="AA84" s="218"/>
      <c r="AB84" s="218"/>
      <c r="AC84" s="218"/>
      <c r="AD84" s="218"/>
      <c r="AE84" s="218"/>
      <c r="AF84" s="218"/>
      <c r="AG84" s="218"/>
      <c r="AH84" s="218"/>
    </row>
    <row r="85" spans="2:34" ht="14" x14ac:dyDescent="0.25">
      <c r="B85" s="121"/>
      <c r="C85" s="285" t="s">
        <v>3035</v>
      </c>
      <c r="D85" s="116"/>
      <c r="E85" s="116"/>
      <c r="F85" s="116"/>
      <c r="G85" s="116"/>
      <c r="H85" s="116"/>
      <c r="I85" s="116"/>
      <c r="J85" s="116"/>
      <c r="K85" s="116"/>
      <c r="L85" s="116"/>
      <c r="M85" s="116"/>
      <c r="N85" s="116"/>
      <c r="O85" s="218"/>
      <c r="P85" s="218">
        <v>0</v>
      </c>
      <c r="Q85" s="218">
        <v>0</v>
      </c>
      <c r="R85" s="218">
        <v>0</v>
      </c>
      <c r="S85" s="218">
        <v>0</v>
      </c>
      <c r="T85" s="218">
        <v>3</v>
      </c>
      <c r="U85" s="218"/>
      <c r="V85" s="218"/>
      <c r="W85" s="218"/>
      <c r="X85" s="218"/>
      <c r="Y85" s="218"/>
      <c r="Z85" s="218"/>
      <c r="AA85" s="218"/>
      <c r="AB85" s="218"/>
      <c r="AC85" s="218"/>
      <c r="AD85" s="218"/>
      <c r="AE85" s="218"/>
      <c r="AF85" s="218"/>
      <c r="AG85" s="218"/>
      <c r="AH85" s="218"/>
    </row>
    <row r="86" spans="2:34" ht="14" x14ac:dyDescent="0.25">
      <c r="B86" s="121"/>
      <c r="C86" s="285" t="s">
        <v>3036</v>
      </c>
      <c r="D86" s="116"/>
      <c r="E86" s="116"/>
      <c r="F86" s="116"/>
      <c r="G86" s="116"/>
      <c r="H86" s="116"/>
      <c r="I86" s="116"/>
      <c r="J86" s="116"/>
      <c r="K86" s="116"/>
      <c r="L86" s="116"/>
      <c r="M86" s="116"/>
      <c r="N86" s="116"/>
      <c r="O86" s="218"/>
      <c r="P86" s="218">
        <v>0</v>
      </c>
      <c r="Q86" s="218">
        <v>0</v>
      </c>
      <c r="R86" s="218">
        <v>0</v>
      </c>
      <c r="S86" s="218">
        <v>11</v>
      </c>
      <c r="T86" s="218">
        <v>0</v>
      </c>
      <c r="U86" s="218"/>
      <c r="V86" s="218"/>
      <c r="W86" s="218"/>
      <c r="X86" s="218"/>
      <c r="Y86" s="218"/>
      <c r="Z86" s="218"/>
      <c r="AA86" s="218"/>
      <c r="AB86" s="218"/>
      <c r="AC86" s="218"/>
      <c r="AD86" s="218"/>
      <c r="AE86" s="218"/>
      <c r="AF86" s="218"/>
      <c r="AG86" s="218"/>
      <c r="AH86" s="218"/>
    </row>
    <row r="87" spans="2:34" ht="28.4" customHeight="1" x14ac:dyDescent="0.25">
      <c r="B87" s="121"/>
      <c r="C87" s="285"/>
      <c r="D87" s="116"/>
      <c r="E87" s="291"/>
      <c r="F87" s="291"/>
      <c r="G87" s="291"/>
      <c r="H87" s="291"/>
      <c r="I87" s="291"/>
      <c r="J87" s="291"/>
      <c r="K87" s="291"/>
      <c r="L87" s="291"/>
      <c r="M87" s="291"/>
      <c r="N87" s="291"/>
      <c r="O87" s="223"/>
      <c r="P87" s="223"/>
      <c r="Q87" s="1170"/>
      <c r="R87" s="1170"/>
      <c r="S87" s="1170"/>
      <c r="T87" s="1170"/>
      <c r="U87" s="223"/>
      <c r="V87" s="223"/>
      <c r="W87" s="223"/>
      <c r="X87" s="223"/>
      <c r="Y87" s="223"/>
      <c r="Z87" s="223"/>
      <c r="AA87" s="223"/>
      <c r="AB87" s="223"/>
      <c r="AC87" s="223"/>
      <c r="AD87" s="223"/>
      <c r="AE87" s="223"/>
      <c r="AF87" s="223"/>
      <c r="AG87" s="223"/>
      <c r="AH87" s="223"/>
    </row>
    <row r="88" spans="2:34" ht="28.4" customHeight="1" x14ac:dyDescent="0.25">
      <c r="B88" s="121"/>
      <c r="C88" s="285"/>
      <c r="D88" s="116"/>
      <c r="E88" s="291"/>
      <c r="F88" s="291"/>
      <c r="G88" s="291"/>
      <c r="H88" s="291"/>
      <c r="I88" s="291"/>
      <c r="J88" s="291"/>
      <c r="K88" s="291"/>
      <c r="L88" s="291"/>
      <c r="M88" s="291"/>
      <c r="N88" s="291"/>
      <c r="O88" s="223"/>
      <c r="P88" s="223"/>
      <c r="Q88" s="1170"/>
      <c r="R88" s="1170"/>
      <c r="S88" s="1170"/>
      <c r="T88" s="1170"/>
      <c r="U88" s="223"/>
      <c r="V88" s="223"/>
      <c r="W88" s="223"/>
      <c r="X88" s="223"/>
      <c r="Y88" s="223"/>
      <c r="Z88" s="223"/>
      <c r="AA88" s="223"/>
      <c r="AB88" s="223"/>
      <c r="AC88" s="223"/>
      <c r="AD88" s="223"/>
      <c r="AE88" s="223"/>
      <c r="AF88" s="223"/>
      <c r="AG88" s="223"/>
      <c r="AH88" s="223"/>
    </row>
    <row r="89" spans="2:34" ht="28.4" customHeight="1" x14ac:dyDescent="0.25">
      <c r="B89" s="121"/>
      <c r="C89" s="285"/>
      <c r="D89" s="116"/>
      <c r="E89" s="291"/>
      <c r="F89" s="291"/>
      <c r="G89" s="291"/>
      <c r="H89" s="291"/>
      <c r="I89" s="291"/>
      <c r="J89" s="291"/>
      <c r="K89" s="291"/>
      <c r="L89" s="291"/>
      <c r="M89" s="291"/>
      <c r="N89" s="291"/>
      <c r="O89" s="223"/>
      <c r="P89" s="223"/>
      <c r="Q89" s="1170"/>
      <c r="R89" s="1170"/>
      <c r="S89" s="1170"/>
      <c r="T89" s="1170"/>
      <c r="U89" s="223"/>
      <c r="V89" s="223"/>
      <c r="W89" s="223"/>
      <c r="X89" s="223"/>
      <c r="Y89" s="223"/>
      <c r="Z89" s="223"/>
      <c r="AA89" s="223"/>
      <c r="AB89" s="223"/>
      <c r="AC89" s="223"/>
      <c r="AD89" s="223"/>
      <c r="AE89" s="223"/>
      <c r="AF89" s="223"/>
      <c r="AG89" s="223"/>
      <c r="AH89" s="223"/>
    </row>
    <row r="90" spans="2:34" ht="28.4" customHeight="1" x14ac:dyDescent="0.25">
      <c r="B90" s="121"/>
      <c r="C90" s="285"/>
      <c r="D90" s="116"/>
      <c r="E90" s="291"/>
      <c r="F90" s="291"/>
      <c r="G90" s="291"/>
      <c r="H90" s="291"/>
      <c r="I90" s="291"/>
      <c r="J90" s="291"/>
      <c r="K90" s="291"/>
      <c r="L90" s="291"/>
      <c r="M90" s="291"/>
      <c r="N90" s="291"/>
      <c r="O90" s="223"/>
      <c r="P90" s="223"/>
      <c r="Q90" s="1170"/>
      <c r="R90" s="1170"/>
      <c r="S90" s="1170"/>
      <c r="T90" s="1170"/>
      <c r="U90" s="223"/>
      <c r="V90" s="223"/>
      <c r="W90" s="223"/>
      <c r="X90" s="223"/>
      <c r="Y90" s="223"/>
      <c r="Z90" s="223"/>
      <c r="AA90" s="223"/>
      <c r="AB90" s="223"/>
      <c r="AC90" s="223"/>
      <c r="AD90" s="223"/>
      <c r="AE90" s="223"/>
      <c r="AF90" s="223"/>
      <c r="AG90" s="223"/>
      <c r="AH90" s="223"/>
    </row>
    <row r="91" spans="2:34" ht="28.4" customHeight="1" x14ac:dyDescent="0.25">
      <c r="B91" s="84"/>
      <c r="C91" s="1268" t="s">
        <v>267</v>
      </c>
      <c r="D91" s="116"/>
      <c r="E91" s="116"/>
      <c r="F91" s="116"/>
      <c r="G91" s="1269"/>
      <c r="H91" s="291"/>
      <c r="I91" s="291"/>
      <c r="J91" s="1269"/>
      <c r="K91" s="116"/>
      <c r="L91" s="116"/>
      <c r="M91" s="116"/>
      <c r="N91" s="116"/>
      <c r="O91" s="116"/>
      <c r="P91" s="116"/>
      <c r="Q91" s="1270">
        <f>SUM(Q13:Q90)</f>
        <v>0</v>
      </c>
      <c r="R91" s="1270">
        <f t="shared" ref="R91:AF91" si="0">SUM(R13:R90)</f>
        <v>8.129999999999999</v>
      </c>
      <c r="S91" s="1270">
        <f t="shared" si="0"/>
        <v>163.69999999999999</v>
      </c>
      <c r="T91" s="1270">
        <f t="shared" si="0"/>
        <v>223.15</v>
      </c>
      <c r="U91" s="1270">
        <f t="shared" si="0"/>
        <v>0</v>
      </c>
      <c r="V91" s="1270">
        <f t="shared" si="0"/>
        <v>0</v>
      </c>
      <c r="W91" s="1270">
        <f t="shared" si="0"/>
        <v>0</v>
      </c>
      <c r="X91" s="1270">
        <f t="shared" si="0"/>
        <v>0</v>
      </c>
      <c r="Y91" s="1270">
        <f t="shared" si="0"/>
        <v>0</v>
      </c>
      <c r="Z91" s="1270">
        <f t="shared" si="0"/>
        <v>0</v>
      </c>
      <c r="AA91" s="1270">
        <f t="shared" si="0"/>
        <v>0</v>
      </c>
      <c r="AB91" s="1270">
        <f t="shared" si="0"/>
        <v>0</v>
      </c>
      <c r="AC91" s="1270">
        <f t="shared" si="0"/>
        <v>0</v>
      </c>
      <c r="AD91" s="1270">
        <f t="shared" si="0"/>
        <v>0</v>
      </c>
      <c r="AE91" s="1270">
        <f t="shared" si="0"/>
        <v>0</v>
      </c>
      <c r="AF91" s="1270">
        <f t="shared" si="0"/>
        <v>0</v>
      </c>
      <c r="AG91" s="116"/>
      <c r="AH91" s="116"/>
    </row>
    <row r="92" spans="2:34" ht="28.4" customHeight="1" x14ac:dyDescent="0.25">
      <c r="T92" s="51">
        <f>SUM(P91:T91)</f>
        <v>394.98</v>
      </c>
    </row>
  </sheetData>
  <mergeCells count="26">
    <mergeCell ref="N10:N12"/>
    <mergeCell ref="O10:T10"/>
    <mergeCell ref="U10:Z10"/>
    <mergeCell ref="AA10:AF10"/>
    <mergeCell ref="AG10:AH10"/>
    <mergeCell ref="O11:O12"/>
    <mergeCell ref="U11:U12"/>
    <mergeCell ref="AA11:AA12"/>
    <mergeCell ref="AG11:AG12"/>
    <mergeCell ref="AH11:AH12"/>
    <mergeCell ref="M10:M12"/>
    <mergeCell ref="B3:AO3"/>
    <mergeCell ref="B4:AO4"/>
    <mergeCell ref="B5:AO5"/>
    <mergeCell ref="B6:AO6"/>
    <mergeCell ref="B10:B12"/>
    <mergeCell ref="C10:C12"/>
    <mergeCell ref="D10:D12"/>
    <mergeCell ref="E10:E12"/>
    <mergeCell ref="F10:F12"/>
    <mergeCell ref="G10:G12"/>
    <mergeCell ref="H10:H12"/>
    <mergeCell ref="I10:I12"/>
    <mergeCell ref="J10:J12"/>
    <mergeCell ref="K10:K12"/>
    <mergeCell ref="L10:L12"/>
  </mergeCells>
  <printOptions verticalCentered="1"/>
  <pageMargins left="0" right="0" top="0.25" bottom="0.25" header="0.25" footer="0.25"/>
  <pageSetup paperSize="9" scale="34" orientation="landscape" r:id="rId1"/>
  <headerFooter alignWithMargins="0">
    <oddHeader>&amp;F</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03"/>
  <sheetViews>
    <sheetView showGridLines="0" view="pageBreakPreview" topLeftCell="B1" zoomScale="52" zoomScaleNormal="80" zoomScaleSheetLayoutView="80" workbookViewId="0">
      <selection activeCell="H1" sqref="H1"/>
    </sheetView>
  </sheetViews>
  <sheetFormatPr defaultColWidth="9.1796875" defaultRowHeight="14" x14ac:dyDescent="0.3"/>
  <cols>
    <col min="1" max="1" width="4.54296875" style="1" customWidth="1"/>
    <col min="2" max="2" width="8.1796875" style="1" customWidth="1"/>
    <col min="3" max="3" width="62.54296875" style="791" customWidth="1"/>
    <col min="4" max="7" width="17.81640625" style="1" customWidth="1"/>
    <col min="8" max="8" width="16.81640625" style="340" customWidth="1"/>
    <col min="9" max="10" width="15.54296875" style="1" customWidth="1"/>
    <col min="11" max="11" width="15.1796875" style="1" customWidth="1"/>
    <col min="12" max="12" width="16.54296875" style="1" customWidth="1"/>
    <col min="13" max="13" width="17.1796875" style="1" customWidth="1"/>
    <col min="14" max="14" width="19" style="1" customWidth="1"/>
    <col min="15" max="15" width="13.1796875" style="1" customWidth="1"/>
    <col min="16" max="18" width="9.1796875" style="1"/>
    <col min="19" max="19" width="11.1796875" style="1" customWidth="1"/>
    <col min="20" max="16384" width="9.1796875" style="1"/>
  </cols>
  <sheetData>
    <row r="1" spans="2:15" ht="15.75" customHeight="1" x14ac:dyDescent="0.3"/>
    <row r="2" spans="2:15" ht="15" customHeight="1" x14ac:dyDescent="0.3">
      <c r="B2" s="1560" t="s">
        <v>705</v>
      </c>
      <c r="C2" s="1560"/>
      <c r="D2" s="1560"/>
      <c r="E2" s="1560"/>
      <c r="F2" s="1560"/>
      <c r="G2" s="1560"/>
      <c r="H2" s="1560"/>
      <c r="I2" s="1560"/>
      <c r="J2" s="1560"/>
      <c r="K2" s="1560"/>
      <c r="L2" s="1560"/>
      <c r="M2" s="1560"/>
      <c r="N2" s="1560"/>
      <c r="O2" s="1560"/>
    </row>
    <row r="3" spans="2:15" ht="15" customHeight="1" x14ac:dyDescent="0.3">
      <c r="B3" s="1407" t="s">
        <v>912</v>
      </c>
      <c r="C3" s="1407"/>
      <c r="D3" s="1407"/>
      <c r="E3" s="1407"/>
      <c r="F3" s="1407"/>
      <c r="G3" s="1407"/>
      <c r="H3" s="1407"/>
      <c r="I3" s="1407"/>
      <c r="J3" s="1407"/>
      <c r="K3" s="1407"/>
      <c r="L3" s="1407"/>
      <c r="M3" s="1407"/>
      <c r="N3" s="1407"/>
      <c r="O3" s="1407"/>
    </row>
    <row r="4" spans="2:15" ht="15" customHeight="1" x14ac:dyDescent="0.3">
      <c r="B4" s="1561" t="s">
        <v>594</v>
      </c>
      <c r="C4" s="1561"/>
      <c r="D4" s="1561"/>
      <c r="E4" s="1561"/>
      <c r="F4" s="1561"/>
      <c r="G4" s="1561"/>
      <c r="H4" s="1561"/>
      <c r="I4" s="1561"/>
      <c r="J4" s="1561"/>
      <c r="K4" s="1561"/>
      <c r="L4" s="1561"/>
      <c r="M4" s="1561"/>
      <c r="N4" s="1561"/>
      <c r="O4" s="1561"/>
    </row>
    <row r="5" spans="2:15" x14ac:dyDescent="0.3">
      <c r="B5" s="1561" t="s">
        <v>2887</v>
      </c>
      <c r="C5" s="1561"/>
      <c r="D5" s="1561"/>
      <c r="E5" s="1561"/>
      <c r="F5" s="1561"/>
      <c r="G5" s="1561"/>
      <c r="H5" s="1561"/>
      <c r="I5" s="1561"/>
      <c r="J5" s="1561"/>
      <c r="K5" s="1561"/>
      <c r="L5" s="1561"/>
      <c r="M5" s="1561"/>
      <c r="N5" s="1561"/>
      <c r="O5" s="1561"/>
    </row>
    <row r="6" spans="2:15" x14ac:dyDescent="0.3">
      <c r="C6" s="1111"/>
      <c r="D6" s="6"/>
      <c r="E6" s="6"/>
      <c r="F6" s="6"/>
      <c r="G6" s="6"/>
      <c r="H6" s="157"/>
      <c r="I6" s="14"/>
      <c r="J6" s="14"/>
      <c r="K6" s="14"/>
      <c r="L6" s="14"/>
      <c r="M6" s="14"/>
      <c r="N6" s="14"/>
      <c r="O6" s="14"/>
    </row>
    <row r="7" spans="2:15" ht="15.75" customHeight="1" x14ac:dyDescent="0.35">
      <c r="C7" s="1112" t="s">
        <v>0</v>
      </c>
      <c r="D7" s="1113"/>
      <c r="E7" s="1113"/>
      <c r="F7" s="1113"/>
      <c r="G7" s="1113"/>
      <c r="I7" s="14"/>
      <c r="J7" s="14"/>
      <c r="K7" s="14"/>
      <c r="L7" s="14"/>
      <c r="M7" s="14"/>
      <c r="N7" s="14"/>
      <c r="O7" s="14"/>
    </row>
    <row r="8" spans="2:15" x14ac:dyDescent="0.3">
      <c r="C8" s="1111"/>
      <c r="D8" s="6"/>
      <c r="E8" s="6"/>
      <c r="F8" s="6"/>
      <c r="G8" s="6"/>
      <c r="H8" s="63"/>
      <c r="I8" s="14"/>
      <c r="J8" s="14"/>
      <c r="K8" s="14"/>
      <c r="L8" s="14"/>
      <c r="M8" s="14"/>
      <c r="N8" s="54" t="s">
        <v>10</v>
      </c>
      <c r="O8" s="14"/>
    </row>
    <row r="9" spans="2:15" ht="15" customHeight="1" x14ac:dyDescent="0.3">
      <c r="B9" s="1481" t="s">
        <v>327</v>
      </c>
      <c r="C9" s="1481" t="s">
        <v>16</v>
      </c>
      <c r="D9" s="1481" t="s">
        <v>460</v>
      </c>
      <c r="E9" s="1481" t="s">
        <v>461</v>
      </c>
      <c r="F9" s="1481" t="s">
        <v>49</v>
      </c>
      <c r="G9" s="1481" t="s">
        <v>470</v>
      </c>
      <c r="H9" s="1481" t="s">
        <v>471</v>
      </c>
      <c r="I9" s="1481" t="s">
        <v>48</v>
      </c>
      <c r="J9" s="1481" t="s">
        <v>47</v>
      </c>
      <c r="K9" s="1481" t="s">
        <v>46</v>
      </c>
      <c r="L9" s="1481"/>
      <c r="M9" s="1481"/>
      <c r="N9" s="1481"/>
      <c r="O9" s="1481" t="s">
        <v>45</v>
      </c>
    </row>
    <row r="10" spans="2:15" ht="25.5" customHeight="1" x14ac:dyDescent="0.3">
      <c r="B10" s="1481"/>
      <c r="C10" s="1481"/>
      <c r="D10" s="1481"/>
      <c r="E10" s="1481"/>
      <c r="F10" s="1481"/>
      <c r="G10" s="1481"/>
      <c r="H10" s="1481"/>
      <c r="I10" s="1481"/>
      <c r="J10" s="1481"/>
      <c r="K10" s="1481"/>
      <c r="L10" s="1481"/>
      <c r="M10" s="1481"/>
      <c r="N10" s="1481"/>
      <c r="O10" s="1481"/>
    </row>
    <row r="11" spans="2:15" ht="28" x14ac:dyDescent="0.3">
      <c r="B11" s="1481"/>
      <c r="C11" s="1481"/>
      <c r="D11" s="1481"/>
      <c r="E11" s="1481"/>
      <c r="F11" s="1481"/>
      <c r="G11" s="1481"/>
      <c r="H11" s="1481"/>
      <c r="I11" s="1481"/>
      <c r="J11" s="1481"/>
      <c r="K11" s="64" t="s">
        <v>44</v>
      </c>
      <c r="L11" s="64" t="s">
        <v>43</v>
      </c>
      <c r="M11" s="64" t="s">
        <v>42</v>
      </c>
      <c r="N11" s="64" t="s">
        <v>41</v>
      </c>
      <c r="O11" s="1481"/>
    </row>
    <row r="12" spans="2:15" hidden="1" x14ac:dyDescent="0.3">
      <c r="B12" s="3"/>
      <c r="C12" s="1114" t="s">
        <v>477</v>
      </c>
      <c r="D12" s="291"/>
      <c r="E12" s="291"/>
      <c r="F12" s="291"/>
      <c r="G12" s="291"/>
      <c r="H12" s="94"/>
      <c r="I12" s="291"/>
      <c r="J12" s="291"/>
      <c r="K12" s="291"/>
      <c r="L12" s="291"/>
      <c r="M12" s="291"/>
      <c r="N12" s="291"/>
      <c r="O12" s="291"/>
    </row>
    <row r="13" spans="2:15" hidden="1" x14ac:dyDescent="0.3">
      <c r="B13" s="3"/>
      <c r="C13" s="1114" t="s">
        <v>1219</v>
      </c>
      <c r="D13" s="291"/>
      <c r="E13" s="291"/>
      <c r="F13" s="291"/>
      <c r="G13" s="291"/>
      <c r="H13" s="94"/>
      <c r="I13" s="291"/>
      <c r="J13" s="291"/>
      <c r="K13" s="291"/>
      <c r="L13" s="291"/>
      <c r="M13" s="291"/>
      <c r="N13" s="291"/>
      <c r="O13" s="291"/>
    </row>
    <row r="14" spans="2:15" hidden="1" x14ac:dyDescent="0.3">
      <c r="B14" s="3"/>
      <c r="C14" s="1115" t="s">
        <v>1220</v>
      </c>
      <c r="D14" s="291"/>
      <c r="E14" s="291"/>
      <c r="F14" s="291"/>
      <c r="G14" s="291"/>
      <c r="H14" s="94"/>
      <c r="I14" s="291"/>
      <c r="J14" s="291"/>
      <c r="K14" s="291"/>
      <c r="L14" s="291"/>
      <c r="M14" s="291"/>
      <c r="N14" s="291"/>
      <c r="O14" s="291"/>
    </row>
    <row r="15" spans="2:15" hidden="1" x14ac:dyDescent="0.3">
      <c r="B15" s="3"/>
      <c r="C15" s="626" t="s">
        <v>2894</v>
      </c>
      <c r="D15" s="291"/>
      <c r="E15" s="291"/>
      <c r="F15" s="291"/>
      <c r="G15" s="291"/>
      <c r="H15" s="94"/>
      <c r="I15" s="291"/>
      <c r="J15" s="291"/>
      <c r="K15" s="291"/>
      <c r="L15" s="291"/>
      <c r="M15" s="291"/>
      <c r="N15" s="291"/>
      <c r="O15" s="291"/>
    </row>
    <row r="16" spans="2:15" hidden="1" x14ac:dyDescent="0.3">
      <c r="B16" s="3"/>
      <c r="C16" s="626" t="s">
        <v>2894</v>
      </c>
      <c r="D16" s="291"/>
      <c r="E16" s="291"/>
      <c r="F16" s="291"/>
      <c r="G16" s="291"/>
      <c r="H16" s="94"/>
      <c r="I16" s="291"/>
      <c r="J16" s="291"/>
      <c r="K16" s="291"/>
      <c r="L16" s="291"/>
      <c r="M16" s="291"/>
      <c r="N16" s="291"/>
      <c r="O16" s="291"/>
    </row>
    <row r="17" spans="2:15" hidden="1" x14ac:dyDescent="0.3">
      <c r="B17" s="3"/>
      <c r="C17" s="1115" t="s">
        <v>1221</v>
      </c>
      <c r="D17" s="291"/>
      <c r="E17" s="291"/>
      <c r="F17" s="291"/>
      <c r="G17" s="291"/>
      <c r="H17" s="94"/>
      <c r="I17" s="291"/>
      <c r="J17" s="291"/>
      <c r="K17" s="291"/>
      <c r="L17" s="291"/>
      <c r="M17" s="291"/>
      <c r="N17" s="291"/>
      <c r="O17" s="291"/>
    </row>
    <row r="18" spans="2:15" hidden="1" x14ac:dyDescent="0.3">
      <c r="B18" s="3"/>
      <c r="C18" s="626" t="s">
        <v>2894</v>
      </c>
      <c r="D18" s="291"/>
      <c r="E18" s="291"/>
      <c r="F18" s="291"/>
      <c r="G18" s="291"/>
      <c r="H18" s="94"/>
      <c r="I18" s="291"/>
      <c r="J18" s="291"/>
      <c r="K18" s="291"/>
      <c r="L18" s="291"/>
      <c r="M18" s="291"/>
      <c r="N18" s="291"/>
      <c r="O18" s="291"/>
    </row>
    <row r="19" spans="2:15" hidden="1" x14ac:dyDescent="0.3">
      <c r="B19" s="3"/>
      <c r="C19" s="626" t="s">
        <v>2894</v>
      </c>
      <c r="D19" s="291"/>
      <c r="E19" s="291"/>
      <c r="F19" s="291"/>
      <c r="G19" s="291"/>
      <c r="H19" s="94"/>
      <c r="I19" s="291"/>
      <c r="J19" s="291"/>
      <c r="K19" s="291"/>
      <c r="L19" s="291"/>
      <c r="M19" s="291"/>
      <c r="N19" s="291"/>
      <c r="O19" s="291"/>
    </row>
    <row r="20" spans="2:15" hidden="1" x14ac:dyDescent="0.3">
      <c r="B20" s="3"/>
      <c r="C20" s="616" t="s">
        <v>1222</v>
      </c>
      <c r="D20" s="291"/>
      <c r="E20" s="291"/>
      <c r="F20" s="291"/>
      <c r="G20" s="291"/>
      <c r="H20" s="94"/>
      <c r="I20" s="291"/>
      <c r="J20" s="291"/>
      <c r="K20" s="291"/>
      <c r="L20" s="291"/>
      <c r="M20" s="291"/>
      <c r="N20" s="291"/>
      <c r="O20" s="291"/>
    </row>
    <row r="21" spans="2:15" hidden="1" x14ac:dyDescent="0.3">
      <c r="B21" s="3"/>
      <c r="C21" s="626" t="s">
        <v>2894</v>
      </c>
      <c r="D21" s="291"/>
      <c r="E21" s="291"/>
      <c r="F21" s="291"/>
      <c r="G21" s="291"/>
      <c r="H21" s="94"/>
      <c r="I21" s="291"/>
      <c r="J21" s="291"/>
      <c r="K21" s="291"/>
      <c r="L21" s="291"/>
      <c r="M21" s="291"/>
      <c r="N21" s="291"/>
      <c r="O21" s="291"/>
    </row>
    <row r="22" spans="2:15" hidden="1" x14ac:dyDescent="0.3">
      <c r="B22" s="3"/>
      <c r="C22" s="626" t="s">
        <v>2894</v>
      </c>
      <c r="D22" s="291"/>
      <c r="E22" s="291"/>
      <c r="F22" s="291"/>
      <c r="G22" s="291"/>
      <c r="H22" s="94"/>
      <c r="I22" s="291"/>
      <c r="J22" s="291"/>
      <c r="K22" s="291"/>
      <c r="L22" s="291"/>
      <c r="M22" s="291"/>
      <c r="N22" s="291"/>
      <c r="O22" s="291"/>
    </row>
    <row r="23" spans="2:15" hidden="1" x14ac:dyDescent="0.3">
      <c r="B23" s="3"/>
      <c r="C23" s="1116"/>
      <c r="D23" s="291"/>
      <c r="E23" s="291"/>
      <c r="F23" s="291"/>
      <c r="G23" s="291"/>
      <c r="H23" s="94"/>
      <c r="I23" s="291"/>
      <c r="J23" s="291"/>
      <c r="K23" s="291"/>
      <c r="L23" s="291"/>
      <c r="M23" s="291"/>
      <c r="N23" s="291"/>
      <c r="O23" s="291"/>
    </row>
    <row r="24" spans="2:15" hidden="1" x14ac:dyDescent="0.3">
      <c r="B24" s="3"/>
      <c r="C24" s="626"/>
      <c r="D24" s="291"/>
      <c r="E24" s="291"/>
      <c r="F24" s="291"/>
      <c r="G24" s="291"/>
      <c r="H24" s="94"/>
      <c r="I24" s="291"/>
      <c r="J24" s="291"/>
      <c r="K24" s="291"/>
      <c r="L24" s="291"/>
      <c r="M24" s="291"/>
      <c r="N24" s="291"/>
      <c r="O24" s="291"/>
    </row>
    <row r="25" spans="2:15" hidden="1" x14ac:dyDescent="0.3">
      <c r="B25" s="3"/>
      <c r="C25" s="1114" t="s">
        <v>849</v>
      </c>
      <c r="D25" s="291"/>
      <c r="E25" s="291"/>
      <c r="F25" s="291"/>
      <c r="G25" s="291"/>
      <c r="H25" s="94"/>
      <c r="I25" s="291"/>
      <c r="J25" s="291"/>
      <c r="K25" s="291"/>
      <c r="L25" s="291"/>
      <c r="M25" s="291"/>
      <c r="N25" s="291"/>
      <c r="O25" s="291"/>
    </row>
    <row r="26" spans="2:15" hidden="1" x14ac:dyDescent="0.3">
      <c r="B26" s="3"/>
      <c r="C26" s="1114" t="s">
        <v>1219</v>
      </c>
      <c r="D26" s="291"/>
      <c r="E26" s="291"/>
      <c r="F26" s="291"/>
      <c r="G26" s="291"/>
      <c r="H26" s="94"/>
      <c r="I26" s="291"/>
      <c r="J26" s="291"/>
      <c r="K26" s="291"/>
      <c r="L26" s="291"/>
      <c r="M26" s="291"/>
      <c r="N26" s="291"/>
      <c r="O26" s="291"/>
    </row>
    <row r="27" spans="2:15" hidden="1" x14ac:dyDescent="0.3">
      <c r="B27" s="3"/>
      <c r="C27" s="1115" t="s">
        <v>1220</v>
      </c>
      <c r="D27" s="291"/>
      <c r="E27" s="291"/>
      <c r="F27" s="291"/>
      <c r="G27" s="291"/>
      <c r="H27" s="94"/>
      <c r="I27" s="291"/>
      <c r="J27" s="291"/>
      <c r="K27" s="291"/>
      <c r="L27" s="291"/>
      <c r="M27" s="291"/>
      <c r="N27" s="291"/>
      <c r="O27" s="291"/>
    </row>
    <row r="28" spans="2:15" hidden="1" x14ac:dyDescent="0.3">
      <c r="B28" s="3"/>
      <c r="C28" s="626" t="s">
        <v>22</v>
      </c>
      <c r="D28" s="291"/>
      <c r="E28" s="291"/>
      <c r="F28" s="291"/>
      <c r="G28" s="291"/>
      <c r="H28" s="94"/>
      <c r="I28" s="291"/>
      <c r="J28" s="291"/>
      <c r="K28" s="291"/>
      <c r="L28" s="291"/>
      <c r="M28" s="291"/>
      <c r="N28" s="291"/>
      <c r="O28" s="291"/>
    </row>
    <row r="29" spans="2:15" hidden="1" x14ac:dyDescent="0.3">
      <c r="B29" s="3"/>
      <c r="C29" s="626" t="s">
        <v>22</v>
      </c>
      <c r="D29" s="291"/>
      <c r="E29" s="291"/>
      <c r="F29" s="291"/>
      <c r="G29" s="291"/>
      <c r="H29" s="94"/>
      <c r="I29" s="291"/>
      <c r="J29" s="291"/>
      <c r="K29" s="291"/>
      <c r="L29" s="291"/>
      <c r="M29" s="291"/>
      <c r="N29" s="291"/>
      <c r="O29" s="291"/>
    </row>
    <row r="30" spans="2:15" hidden="1" x14ac:dyDescent="0.3">
      <c r="B30" s="3"/>
      <c r="C30" s="1115" t="s">
        <v>1221</v>
      </c>
      <c r="D30" s="291"/>
      <c r="E30" s="291"/>
      <c r="F30" s="291"/>
      <c r="G30" s="291"/>
      <c r="H30" s="94"/>
      <c r="I30" s="291"/>
      <c r="J30" s="291"/>
      <c r="K30" s="291"/>
      <c r="L30" s="291"/>
      <c r="M30" s="291"/>
      <c r="N30" s="291"/>
      <c r="O30" s="291"/>
    </row>
    <row r="31" spans="2:15" x14ac:dyDescent="0.3">
      <c r="B31" s="3"/>
      <c r="C31" s="1115"/>
      <c r="D31" s="291"/>
      <c r="E31" s="291"/>
      <c r="F31" s="291"/>
      <c r="G31" s="291"/>
      <c r="H31" s="94"/>
      <c r="I31" s="291"/>
      <c r="J31" s="291"/>
      <c r="K31" s="291"/>
      <c r="L31" s="291"/>
      <c r="M31" s="291"/>
      <c r="N31" s="291"/>
      <c r="O31" s="291"/>
    </row>
    <row r="32" spans="2:15" x14ac:dyDescent="0.3">
      <c r="B32" s="3"/>
      <c r="C32" s="1171" t="s">
        <v>850</v>
      </c>
      <c r="D32" s="223">
        <v>0</v>
      </c>
      <c r="E32" s="223">
        <v>0</v>
      </c>
      <c r="F32" s="223">
        <v>0</v>
      </c>
      <c r="G32" s="223">
        <v>0</v>
      </c>
      <c r="H32" s="1170">
        <v>0</v>
      </c>
      <c r="I32" s="223">
        <v>0</v>
      </c>
      <c r="J32" s="223">
        <v>0</v>
      </c>
      <c r="K32" s="223">
        <v>0</v>
      </c>
      <c r="L32" s="223">
        <v>0</v>
      </c>
      <c r="M32" s="223">
        <v>0</v>
      </c>
      <c r="N32" s="223">
        <v>0</v>
      </c>
      <c r="O32" s="223">
        <v>0</v>
      </c>
    </row>
    <row r="33" spans="2:15" x14ac:dyDescent="0.3">
      <c r="B33" s="3"/>
      <c r="C33" s="1171" t="s">
        <v>1219</v>
      </c>
      <c r="D33" s="223">
        <v>0</v>
      </c>
      <c r="E33" s="223">
        <v>0</v>
      </c>
      <c r="F33" s="223">
        <v>0</v>
      </c>
      <c r="G33" s="223">
        <v>0</v>
      </c>
      <c r="H33" s="1170">
        <v>0</v>
      </c>
      <c r="I33" s="223">
        <v>0</v>
      </c>
      <c r="J33" s="223">
        <v>0</v>
      </c>
      <c r="K33" s="223">
        <v>0</v>
      </c>
      <c r="L33" s="223">
        <v>0</v>
      </c>
      <c r="M33" s="223">
        <v>0</v>
      </c>
      <c r="N33" s="223">
        <v>0</v>
      </c>
      <c r="O33" s="223">
        <v>0</v>
      </c>
    </row>
    <row r="34" spans="2:15" x14ac:dyDescent="0.3">
      <c r="B34" s="3"/>
      <c r="C34" s="1172" t="s">
        <v>1220</v>
      </c>
      <c r="D34" s="223">
        <v>0</v>
      </c>
      <c r="E34" s="223">
        <v>0</v>
      </c>
      <c r="F34" s="223">
        <v>0</v>
      </c>
      <c r="G34" s="223">
        <v>0</v>
      </c>
      <c r="H34" s="1170">
        <v>0</v>
      </c>
      <c r="I34" s="223">
        <v>0</v>
      </c>
      <c r="J34" s="223">
        <v>0</v>
      </c>
      <c r="K34" s="223">
        <v>0</v>
      </c>
      <c r="L34" s="223">
        <v>0</v>
      </c>
      <c r="M34" s="223">
        <v>0</v>
      </c>
      <c r="N34" s="223">
        <v>0</v>
      </c>
      <c r="O34" s="223">
        <v>0</v>
      </c>
    </row>
    <row r="35" spans="2:15" x14ac:dyDescent="0.3">
      <c r="B35" s="3"/>
      <c r="C35" s="1173" t="s">
        <v>22</v>
      </c>
      <c r="D35" s="223">
        <v>0</v>
      </c>
      <c r="E35" s="223">
        <v>0</v>
      </c>
      <c r="F35" s="223">
        <v>0</v>
      </c>
      <c r="G35" s="223">
        <v>0</v>
      </c>
      <c r="H35" s="1170">
        <v>0</v>
      </c>
      <c r="I35" s="223">
        <v>0</v>
      </c>
      <c r="J35" s="223">
        <v>0</v>
      </c>
      <c r="K35" s="223">
        <v>0</v>
      </c>
      <c r="L35" s="223">
        <v>0</v>
      </c>
      <c r="M35" s="223">
        <v>0</v>
      </c>
      <c r="N35" s="223">
        <v>0</v>
      </c>
      <c r="O35" s="223">
        <v>0</v>
      </c>
    </row>
    <row r="36" spans="2:15" x14ac:dyDescent="0.3">
      <c r="B36" s="3"/>
      <c r="C36" s="1173" t="s">
        <v>22</v>
      </c>
      <c r="D36" s="223">
        <v>0</v>
      </c>
      <c r="E36" s="223">
        <v>0</v>
      </c>
      <c r="F36" s="223">
        <v>0</v>
      </c>
      <c r="G36" s="223">
        <v>0</v>
      </c>
      <c r="H36" s="1170">
        <v>0</v>
      </c>
      <c r="I36" s="223">
        <v>0</v>
      </c>
      <c r="J36" s="223">
        <v>0</v>
      </c>
      <c r="K36" s="223">
        <v>0</v>
      </c>
      <c r="L36" s="223">
        <v>0</v>
      </c>
      <c r="M36" s="223">
        <v>0</v>
      </c>
      <c r="N36" s="223">
        <v>0</v>
      </c>
      <c r="O36" s="223">
        <v>0</v>
      </c>
    </row>
    <row r="37" spans="2:15" x14ac:dyDescent="0.3">
      <c r="B37" s="3"/>
      <c r="C37" s="1174" t="s">
        <v>1221</v>
      </c>
      <c r="D37" s="223">
        <v>0</v>
      </c>
      <c r="E37" s="223">
        <v>0</v>
      </c>
      <c r="F37" s="223">
        <v>0</v>
      </c>
      <c r="G37" s="223">
        <v>0</v>
      </c>
      <c r="H37" s="1170">
        <v>0</v>
      </c>
      <c r="I37" s="223">
        <v>0</v>
      </c>
      <c r="J37" s="223">
        <v>0</v>
      </c>
      <c r="K37" s="223">
        <v>0</v>
      </c>
      <c r="L37" s="223">
        <v>0</v>
      </c>
      <c r="M37" s="223">
        <v>0</v>
      </c>
      <c r="N37" s="223">
        <v>0</v>
      </c>
      <c r="O37" s="223">
        <v>0</v>
      </c>
    </row>
    <row r="38" spans="2:15" x14ac:dyDescent="0.3">
      <c r="B38" s="3"/>
      <c r="C38" s="1175" t="s">
        <v>1219</v>
      </c>
      <c r="D38" s="223">
        <v>0</v>
      </c>
      <c r="E38" s="223">
        <v>0</v>
      </c>
      <c r="F38" s="223">
        <v>0</v>
      </c>
      <c r="G38" s="223">
        <v>0</v>
      </c>
      <c r="H38" s="1170">
        <v>0</v>
      </c>
      <c r="I38" s="223">
        <v>0</v>
      </c>
      <c r="J38" s="223">
        <v>0</v>
      </c>
      <c r="K38" s="223">
        <v>0</v>
      </c>
      <c r="L38" s="223">
        <v>0</v>
      </c>
      <c r="M38" s="223">
        <v>0</v>
      </c>
      <c r="N38" s="223">
        <v>0</v>
      </c>
      <c r="O38" s="223">
        <v>0</v>
      </c>
    </row>
    <row r="39" spans="2:15" ht="30" x14ac:dyDescent="0.3">
      <c r="B39" s="3"/>
      <c r="C39" s="1176" t="s">
        <v>3073</v>
      </c>
      <c r="D39" s="223">
        <v>0</v>
      </c>
      <c r="E39" s="223">
        <v>0</v>
      </c>
      <c r="F39" s="223">
        <v>0</v>
      </c>
      <c r="G39" s="223">
        <v>0</v>
      </c>
      <c r="H39" s="1170">
        <v>0</v>
      </c>
      <c r="I39" s="223">
        <v>0</v>
      </c>
      <c r="J39" s="223">
        <v>0</v>
      </c>
      <c r="K39" s="223">
        <v>0</v>
      </c>
      <c r="L39" s="223">
        <v>0</v>
      </c>
      <c r="M39" s="223">
        <v>0</v>
      </c>
      <c r="N39" s="223">
        <v>0</v>
      </c>
      <c r="O39" s="223">
        <v>0</v>
      </c>
    </row>
    <row r="40" spans="2:15" x14ac:dyDescent="0.3">
      <c r="B40" s="3"/>
      <c r="C40" s="332" t="s">
        <v>2895</v>
      </c>
      <c r="D40" s="223">
        <v>0</v>
      </c>
      <c r="E40" s="223">
        <v>0</v>
      </c>
      <c r="F40" s="223">
        <v>0</v>
      </c>
      <c r="G40" s="223">
        <v>0</v>
      </c>
      <c r="H40" s="1170">
        <v>20</v>
      </c>
      <c r="I40" s="223">
        <v>0</v>
      </c>
      <c r="J40" s="223">
        <v>0</v>
      </c>
      <c r="K40" s="223">
        <v>0</v>
      </c>
      <c r="L40" s="223">
        <v>0</v>
      </c>
      <c r="M40" s="223">
        <v>0</v>
      </c>
      <c r="N40" s="223">
        <v>0</v>
      </c>
      <c r="O40" s="223">
        <v>0</v>
      </c>
    </row>
    <row r="41" spans="2:15" ht="28" x14ac:dyDescent="0.3">
      <c r="B41" s="3"/>
      <c r="C41" s="332" t="s">
        <v>2896</v>
      </c>
      <c r="D41" s="223">
        <v>0</v>
      </c>
      <c r="E41" s="223">
        <v>0</v>
      </c>
      <c r="F41" s="223">
        <v>0</v>
      </c>
      <c r="G41" s="223">
        <v>0</v>
      </c>
      <c r="H41" s="1170">
        <v>3</v>
      </c>
      <c r="I41" s="223">
        <v>0</v>
      </c>
      <c r="J41" s="223">
        <v>0</v>
      </c>
      <c r="K41" s="223">
        <v>0</v>
      </c>
      <c r="L41" s="223">
        <v>0</v>
      </c>
      <c r="M41" s="223">
        <v>0</v>
      </c>
      <c r="N41" s="223">
        <v>0</v>
      </c>
      <c r="O41" s="223">
        <v>0</v>
      </c>
    </row>
    <row r="42" spans="2:15" x14ac:dyDescent="0.3">
      <c r="B42" s="3"/>
      <c r="C42" s="332" t="s">
        <v>3074</v>
      </c>
      <c r="D42" s="223">
        <v>0</v>
      </c>
      <c r="E42" s="223">
        <v>0</v>
      </c>
      <c r="F42" s="223">
        <v>0</v>
      </c>
      <c r="G42" s="223">
        <v>0</v>
      </c>
      <c r="H42" s="1170" t="s">
        <v>1483</v>
      </c>
      <c r="I42" s="223">
        <v>0</v>
      </c>
      <c r="J42" s="223">
        <v>0</v>
      </c>
      <c r="K42" s="223">
        <v>0</v>
      </c>
      <c r="L42" s="223">
        <v>0</v>
      </c>
      <c r="M42" s="223">
        <v>0</v>
      </c>
      <c r="N42" s="223">
        <v>0</v>
      </c>
      <c r="O42" s="223">
        <v>0</v>
      </c>
    </row>
    <row r="43" spans="2:15" x14ac:dyDescent="0.3">
      <c r="B43" s="3"/>
      <c r="C43" s="332" t="s">
        <v>2897</v>
      </c>
      <c r="D43" s="223">
        <v>0</v>
      </c>
      <c r="E43" s="223">
        <v>0</v>
      </c>
      <c r="F43" s="223">
        <v>0</v>
      </c>
      <c r="G43" s="223">
        <v>0</v>
      </c>
      <c r="H43" s="1170" t="s">
        <v>1483</v>
      </c>
      <c r="I43" s="223">
        <v>0</v>
      </c>
      <c r="J43" s="223">
        <v>0</v>
      </c>
      <c r="K43" s="223">
        <v>0</v>
      </c>
      <c r="L43" s="223">
        <v>0</v>
      </c>
      <c r="M43" s="223">
        <v>0</v>
      </c>
      <c r="N43" s="223">
        <v>0</v>
      </c>
      <c r="O43" s="223">
        <v>0</v>
      </c>
    </row>
    <row r="44" spans="2:15" x14ac:dyDescent="0.3">
      <c r="B44" s="3"/>
      <c r="C44" s="332" t="s">
        <v>2898</v>
      </c>
      <c r="D44" s="223">
        <v>0</v>
      </c>
      <c r="E44" s="223">
        <v>0</v>
      </c>
      <c r="F44" s="223">
        <v>0</v>
      </c>
      <c r="G44" s="223">
        <v>0</v>
      </c>
      <c r="H44" s="1170" t="s">
        <v>1483</v>
      </c>
      <c r="I44" s="223">
        <v>0</v>
      </c>
      <c r="J44" s="223">
        <v>0</v>
      </c>
      <c r="K44" s="223">
        <v>0</v>
      </c>
      <c r="L44" s="223">
        <v>0</v>
      </c>
      <c r="M44" s="223">
        <v>0</v>
      </c>
      <c r="N44" s="223">
        <v>0</v>
      </c>
      <c r="O44" s="223">
        <v>0</v>
      </c>
    </row>
    <row r="45" spans="2:15" ht="30" x14ac:dyDescent="0.3">
      <c r="B45" s="3"/>
      <c r="C45" s="1176" t="s">
        <v>3075</v>
      </c>
      <c r="D45" s="223">
        <v>0</v>
      </c>
      <c r="E45" s="223">
        <v>0</v>
      </c>
      <c r="F45" s="223">
        <v>0</v>
      </c>
      <c r="G45" s="223">
        <v>0</v>
      </c>
      <c r="H45" s="1170" t="s">
        <v>3076</v>
      </c>
      <c r="I45" s="223">
        <v>0</v>
      </c>
      <c r="J45" s="223">
        <v>0</v>
      </c>
      <c r="K45" s="223">
        <v>0</v>
      </c>
      <c r="L45" s="223">
        <v>0</v>
      </c>
      <c r="M45" s="223">
        <v>0</v>
      </c>
      <c r="N45" s="223">
        <v>0</v>
      </c>
      <c r="O45" s="223">
        <v>0</v>
      </c>
    </row>
    <row r="46" spans="2:15" x14ac:dyDescent="0.3">
      <c r="B46" s="3"/>
      <c r="C46" s="332" t="s">
        <v>2899</v>
      </c>
      <c r="D46" s="223">
        <v>0</v>
      </c>
      <c r="E46" s="223">
        <v>0</v>
      </c>
      <c r="F46" s="223">
        <v>0</v>
      </c>
      <c r="G46" s="223">
        <v>0</v>
      </c>
      <c r="H46" s="1170">
        <v>2</v>
      </c>
      <c r="I46" s="223">
        <v>0</v>
      </c>
      <c r="J46" s="223">
        <v>0</v>
      </c>
      <c r="K46" s="223">
        <v>0</v>
      </c>
      <c r="L46" s="223">
        <v>0</v>
      </c>
      <c r="M46" s="223">
        <v>0</v>
      </c>
      <c r="N46" s="223">
        <v>0</v>
      </c>
      <c r="O46" s="223">
        <v>0</v>
      </c>
    </row>
    <row r="47" spans="2:15" x14ac:dyDescent="0.3">
      <c r="B47" s="3"/>
      <c r="C47" s="332" t="s">
        <v>2900</v>
      </c>
      <c r="D47" s="223">
        <v>0</v>
      </c>
      <c r="E47" s="223">
        <v>0</v>
      </c>
      <c r="F47" s="223">
        <v>0</v>
      </c>
      <c r="G47" s="223">
        <v>0</v>
      </c>
      <c r="H47" s="1170">
        <v>0.7</v>
      </c>
      <c r="I47" s="223">
        <v>0</v>
      </c>
      <c r="J47" s="223">
        <v>0</v>
      </c>
      <c r="K47" s="223">
        <v>0</v>
      </c>
      <c r="L47" s="223">
        <v>0</v>
      </c>
      <c r="M47" s="223">
        <v>0</v>
      </c>
      <c r="N47" s="223">
        <v>0</v>
      </c>
      <c r="O47" s="223">
        <v>0</v>
      </c>
    </row>
    <row r="48" spans="2:15" x14ac:dyDescent="0.3">
      <c r="B48" s="3"/>
      <c r="C48" s="332" t="s">
        <v>2901</v>
      </c>
      <c r="D48" s="223">
        <v>0</v>
      </c>
      <c r="E48" s="223">
        <v>0</v>
      </c>
      <c r="F48" s="223">
        <v>0</v>
      </c>
      <c r="G48" s="223">
        <v>0</v>
      </c>
      <c r="H48" s="1170">
        <v>4</v>
      </c>
      <c r="I48" s="223">
        <v>0</v>
      </c>
      <c r="J48" s="223">
        <v>0</v>
      </c>
      <c r="K48" s="223">
        <v>0</v>
      </c>
      <c r="L48" s="223">
        <v>0</v>
      </c>
      <c r="M48" s="223">
        <v>0</v>
      </c>
      <c r="N48" s="223">
        <v>0</v>
      </c>
      <c r="O48" s="223">
        <v>0</v>
      </c>
    </row>
    <row r="49" spans="2:15" x14ac:dyDescent="0.3">
      <c r="B49" s="3"/>
      <c r="C49" s="332" t="s">
        <v>2902</v>
      </c>
      <c r="D49" s="223">
        <v>0</v>
      </c>
      <c r="E49" s="223">
        <v>0</v>
      </c>
      <c r="F49" s="223">
        <v>0</v>
      </c>
      <c r="G49" s="223">
        <v>0</v>
      </c>
      <c r="H49" s="1170">
        <v>6</v>
      </c>
      <c r="I49" s="223">
        <v>0</v>
      </c>
      <c r="J49" s="223">
        <v>0</v>
      </c>
      <c r="K49" s="223">
        <v>0</v>
      </c>
      <c r="L49" s="223">
        <v>0</v>
      </c>
      <c r="M49" s="223">
        <v>0</v>
      </c>
      <c r="N49" s="223">
        <v>0</v>
      </c>
      <c r="O49" s="223">
        <v>0</v>
      </c>
    </row>
    <row r="50" spans="2:15" x14ac:dyDescent="0.3">
      <c r="B50" s="3"/>
      <c r="C50" s="332" t="s">
        <v>2903</v>
      </c>
      <c r="D50" s="223">
        <v>0</v>
      </c>
      <c r="E50" s="223">
        <v>0</v>
      </c>
      <c r="F50" s="223">
        <v>0</v>
      </c>
      <c r="G50" s="223">
        <v>0</v>
      </c>
      <c r="H50" s="1170">
        <v>1</v>
      </c>
      <c r="I50" s="223">
        <v>0</v>
      </c>
      <c r="J50" s="223">
        <v>0</v>
      </c>
      <c r="K50" s="223">
        <v>0</v>
      </c>
      <c r="L50" s="223">
        <v>0</v>
      </c>
      <c r="M50" s="223">
        <v>0</v>
      </c>
      <c r="N50" s="223">
        <v>0</v>
      </c>
      <c r="O50" s="223">
        <v>0</v>
      </c>
    </row>
    <row r="51" spans="2:15" x14ac:dyDescent="0.3">
      <c r="B51" s="3"/>
      <c r="C51" s="332" t="s">
        <v>2904</v>
      </c>
      <c r="D51" s="223">
        <v>0</v>
      </c>
      <c r="E51" s="223">
        <v>0</v>
      </c>
      <c r="F51" s="223">
        <v>0</v>
      </c>
      <c r="G51" s="223">
        <v>0</v>
      </c>
      <c r="H51" s="1170" t="s">
        <v>1483</v>
      </c>
      <c r="I51" s="223">
        <v>0</v>
      </c>
      <c r="J51" s="223">
        <v>0</v>
      </c>
      <c r="K51" s="223">
        <v>0</v>
      </c>
      <c r="L51" s="223">
        <v>0</v>
      </c>
      <c r="M51" s="223">
        <v>0</v>
      </c>
      <c r="N51" s="223">
        <v>0</v>
      </c>
      <c r="O51" s="223">
        <v>0</v>
      </c>
    </row>
    <row r="52" spans="2:15" x14ac:dyDescent="0.3">
      <c r="B52" s="3"/>
      <c r="C52" s="332" t="s">
        <v>2905</v>
      </c>
      <c r="D52" s="223">
        <v>0</v>
      </c>
      <c r="E52" s="223">
        <v>0</v>
      </c>
      <c r="F52" s="223">
        <v>0</v>
      </c>
      <c r="G52" s="223">
        <v>0</v>
      </c>
      <c r="H52" s="1170" t="s">
        <v>1483</v>
      </c>
      <c r="I52" s="223">
        <v>0</v>
      </c>
      <c r="J52" s="223">
        <v>0</v>
      </c>
      <c r="K52" s="223">
        <v>0</v>
      </c>
      <c r="L52" s="223">
        <v>0</v>
      </c>
      <c r="M52" s="223">
        <v>0</v>
      </c>
      <c r="N52" s="223">
        <v>0</v>
      </c>
      <c r="O52" s="223">
        <v>0</v>
      </c>
    </row>
    <row r="53" spans="2:15" x14ac:dyDescent="0.3">
      <c r="B53" s="3"/>
      <c r="C53" s="332" t="s">
        <v>2906</v>
      </c>
      <c r="D53" s="223">
        <v>0</v>
      </c>
      <c r="E53" s="223">
        <v>0</v>
      </c>
      <c r="F53" s="223">
        <v>0</v>
      </c>
      <c r="G53" s="223">
        <v>0</v>
      </c>
      <c r="H53" s="1170" t="s">
        <v>1483</v>
      </c>
      <c r="I53" s="223">
        <v>0</v>
      </c>
      <c r="J53" s="223">
        <v>0</v>
      </c>
      <c r="K53" s="223">
        <v>0</v>
      </c>
      <c r="L53" s="223">
        <v>0</v>
      </c>
      <c r="M53" s="223">
        <v>0</v>
      </c>
      <c r="N53" s="223">
        <v>0</v>
      </c>
      <c r="O53" s="223">
        <v>0</v>
      </c>
    </row>
    <row r="54" spans="2:15" x14ac:dyDescent="0.3">
      <c r="B54" s="3"/>
      <c r="C54" s="332" t="s">
        <v>2907</v>
      </c>
      <c r="D54" s="223">
        <v>0</v>
      </c>
      <c r="E54" s="223">
        <v>0</v>
      </c>
      <c r="F54" s="223">
        <v>0</v>
      </c>
      <c r="G54" s="223">
        <v>0</v>
      </c>
      <c r="H54" s="1170" t="s">
        <v>1483</v>
      </c>
      <c r="I54" s="223">
        <v>0</v>
      </c>
      <c r="J54" s="223">
        <v>0</v>
      </c>
      <c r="K54" s="223">
        <v>0</v>
      </c>
      <c r="L54" s="223">
        <v>0</v>
      </c>
      <c r="M54" s="223">
        <v>0</v>
      </c>
      <c r="N54" s="223">
        <v>0</v>
      </c>
      <c r="O54" s="223">
        <v>0</v>
      </c>
    </row>
    <row r="55" spans="2:15" x14ac:dyDescent="0.3">
      <c r="B55" s="3"/>
      <c r="C55" s="332" t="s">
        <v>2908</v>
      </c>
      <c r="D55" s="223">
        <v>0</v>
      </c>
      <c r="E55" s="223">
        <v>0</v>
      </c>
      <c r="F55" s="223">
        <v>0</v>
      </c>
      <c r="G55" s="223">
        <v>0</v>
      </c>
      <c r="H55" s="1170" t="s">
        <v>1483</v>
      </c>
      <c r="I55" s="223">
        <v>0</v>
      </c>
      <c r="J55" s="223">
        <v>0</v>
      </c>
      <c r="K55" s="223">
        <v>0</v>
      </c>
      <c r="L55" s="223">
        <v>0</v>
      </c>
      <c r="M55" s="223">
        <v>0</v>
      </c>
      <c r="N55" s="223">
        <v>0</v>
      </c>
      <c r="O55" s="223">
        <v>0</v>
      </c>
    </row>
    <row r="56" spans="2:15" ht="30" x14ac:dyDescent="0.3">
      <c r="B56" s="3"/>
      <c r="C56" s="1176" t="s">
        <v>3077</v>
      </c>
      <c r="D56" s="223">
        <v>0</v>
      </c>
      <c r="E56" s="223">
        <v>0</v>
      </c>
      <c r="F56" s="223">
        <v>0</v>
      </c>
      <c r="G56" s="223">
        <v>0</v>
      </c>
      <c r="H56" s="1170" t="s">
        <v>3076</v>
      </c>
      <c r="I56" s="223">
        <v>0</v>
      </c>
      <c r="J56" s="223">
        <v>0</v>
      </c>
      <c r="K56" s="223">
        <v>0</v>
      </c>
      <c r="L56" s="223">
        <v>0</v>
      </c>
      <c r="M56" s="223">
        <v>0</v>
      </c>
      <c r="N56" s="223">
        <v>0</v>
      </c>
      <c r="O56" s="223">
        <v>0</v>
      </c>
    </row>
    <row r="57" spans="2:15" x14ac:dyDescent="0.3">
      <c r="B57" s="3"/>
      <c r="C57" s="332" t="s">
        <v>2909</v>
      </c>
      <c r="D57" s="223">
        <v>0</v>
      </c>
      <c r="E57" s="223">
        <v>0</v>
      </c>
      <c r="F57" s="223">
        <v>0</v>
      </c>
      <c r="G57" s="223">
        <v>0</v>
      </c>
      <c r="H57" s="1170">
        <v>0.5</v>
      </c>
      <c r="I57" s="223">
        <v>0</v>
      </c>
      <c r="J57" s="223">
        <v>0</v>
      </c>
      <c r="K57" s="223">
        <v>0</v>
      </c>
      <c r="L57" s="223">
        <v>0</v>
      </c>
      <c r="M57" s="223">
        <v>0</v>
      </c>
      <c r="N57" s="223">
        <v>0</v>
      </c>
      <c r="O57" s="223">
        <v>0</v>
      </c>
    </row>
    <row r="58" spans="2:15" ht="28" x14ac:dyDescent="0.3">
      <c r="B58" s="3"/>
      <c r="C58" s="332" t="s">
        <v>2910</v>
      </c>
      <c r="D58" s="223">
        <v>0</v>
      </c>
      <c r="E58" s="223">
        <v>0</v>
      </c>
      <c r="F58" s="223">
        <v>0</v>
      </c>
      <c r="G58" s="223">
        <v>0</v>
      </c>
      <c r="H58" s="1170" t="s">
        <v>1483</v>
      </c>
      <c r="I58" s="223">
        <v>0</v>
      </c>
      <c r="J58" s="223">
        <v>0</v>
      </c>
      <c r="K58" s="223">
        <v>0</v>
      </c>
      <c r="L58" s="223">
        <v>0</v>
      </c>
      <c r="M58" s="223">
        <v>0</v>
      </c>
      <c r="N58" s="223">
        <v>0</v>
      </c>
      <c r="O58" s="223">
        <v>0</v>
      </c>
    </row>
    <row r="59" spans="2:15" x14ac:dyDescent="0.3">
      <c r="B59" s="3"/>
      <c r="C59" s="332" t="s">
        <v>2911</v>
      </c>
      <c r="D59" s="223">
        <v>0</v>
      </c>
      <c r="E59" s="223">
        <v>0</v>
      </c>
      <c r="F59" s="223">
        <v>0</v>
      </c>
      <c r="G59" s="223">
        <v>0</v>
      </c>
      <c r="H59" s="1170" t="s">
        <v>1483</v>
      </c>
      <c r="I59" s="223">
        <v>0</v>
      </c>
      <c r="J59" s="223">
        <v>0</v>
      </c>
      <c r="K59" s="223">
        <v>0</v>
      </c>
      <c r="L59" s="223">
        <v>0</v>
      </c>
      <c r="M59" s="223">
        <v>0</v>
      </c>
      <c r="N59" s="223">
        <v>0</v>
      </c>
      <c r="O59" s="223">
        <v>0</v>
      </c>
    </row>
    <row r="60" spans="2:15" x14ac:dyDescent="0.3">
      <c r="B60" s="3"/>
      <c r="C60" s="332" t="s">
        <v>2912</v>
      </c>
      <c r="D60" s="223">
        <v>0</v>
      </c>
      <c r="E60" s="223">
        <v>0</v>
      </c>
      <c r="F60" s="223">
        <v>0</v>
      </c>
      <c r="G60" s="223">
        <v>0</v>
      </c>
      <c r="H60" s="1170" t="s">
        <v>1483</v>
      </c>
      <c r="I60" s="223">
        <v>0</v>
      </c>
      <c r="J60" s="223">
        <v>0</v>
      </c>
      <c r="K60" s="223">
        <v>0</v>
      </c>
      <c r="L60" s="223">
        <v>0</v>
      </c>
      <c r="M60" s="223">
        <v>0</v>
      </c>
      <c r="N60" s="223">
        <v>0</v>
      </c>
      <c r="O60" s="223">
        <v>0</v>
      </c>
    </row>
    <row r="61" spans="2:15" x14ac:dyDescent="0.3">
      <c r="B61" s="3"/>
      <c r="C61" s="332" t="s">
        <v>2913</v>
      </c>
      <c r="D61" s="223">
        <v>0</v>
      </c>
      <c r="E61" s="223">
        <v>0</v>
      </c>
      <c r="F61" s="223">
        <v>0</v>
      </c>
      <c r="G61" s="223">
        <v>0</v>
      </c>
      <c r="H61" s="1170" t="s">
        <v>1483</v>
      </c>
      <c r="I61" s="223">
        <v>0</v>
      </c>
      <c r="J61" s="223">
        <v>0</v>
      </c>
      <c r="K61" s="223">
        <v>0</v>
      </c>
      <c r="L61" s="223">
        <v>0</v>
      </c>
      <c r="M61" s="223">
        <v>0</v>
      </c>
      <c r="N61" s="223">
        <v>0</v>
      </c>
      <c r="O61" s="223">
        <v>0</v>
      </c>
    </row>
    <row r="62" spans="2:15" x14ac:dyDescent="0.3">
      <c r="B62" s="3"/>
      <c r="C62" s="332" t="s">
        <v>2914</v>
      </c>
      <c r="D62" s="223">
        <v>0</v>
      </c>
      <c r="E62" s="223">
        <v>0</v>
      </c>
      <c r="F62" s="223">
        <v>0</v>
      </c>
      <c r="G62" s="223">
        <v>0</v>
      </c>
      <c r="H62" s="1170" t="s">
        <v>1483</v>
      </c>
      <c r="I62" s="223">
        <v>0</v>
      </c>
      <c r="J62" s="223">
        <v>0</v>
      </c>
      <c r="K62" s="223">
        <v>0</v>
      </c>
      <c r="L62" s="223">
        <v>0</v>
      </c>
      <c r="M62" s="223">
        <v>0</v>
      </c>
      <c r="N62" s="223">
        <v>0</v>
      </c>
      <c r="O62" s="223">
        <v>0</v>
      </c>
    </row>
    <row r="63" spans="2:15" x14ac:dyDescent="0.3">
      <c r="B63" s="3"/>
      <c r="C63" s="332" t="s">
        <v>2915</v>
      </c>
      <c r="D63" s="223">
        <v>0</v>
      </c>
      <c r="E63" s="223">
        <v>0</v>
      </c>
      <c r="F63" s="223">
        <v>0</v>
      </c>
      <c r="G63" s="223">
        <v>0</v>
      </c>
      <c r="H63" s="1170" t="s">
        <v>1483</v>
      </c>
      <c r="I63" s="223">
        <v>0</v>
      </c>
      <c r="J63" s="223">
        <v>0</v>
      </c>
      <c r="K63" s="223">
        <v>0</v>
      </c>
      <c r="L63" s="223">
        <v>0</v>
      </c>
      <c r="M63" s="223">
        <v>0</v>
      </c>
      <c r="N63" s="223">
        <v>0</v>
      </c>
      <c r="O63" s="223">
        <v>0</v>
      </c>
    </row>
    <row r="64" spans="2:15" x14ac:dyDescent="0.3">
      <c r="B64" s="3"/>
      <c r="C64" s="332" t="s">
        <v>2916</v>
      </c>
      <c r="D64" s="223">
        <v>0</v>
      </c>
      <c r="E64" s="223">
        <v>0</v>
      </c>
      <c r="F64" s="223">
        <v>0</v>
      </c>
      <c r="G64" s="223">
        <v>0</v>
      </c>
      <c r="H64" s="1170" t="s">
        <v>1483</v>
      </c>
      <c r="I64" s="223">
        <v>0</v>
      </c>
      <c r="J64" s="223">
        <v>0</v>
      </c>
      <c r="K64" s="223">
        <v>0</v>
      </c>
      <c r="L64" s="223">
        <v>0</v>
      </c>
      <c r="M64" s="223">
        <v>0</v>
      </c>
      <c r="N64" s="223">
        <v>0</v>
      </c>
      <c r="O64" s="223">
        <v>0</v>
      </c>
    </row>
    <row r="65" spans="2:15" x14ac:dyDescent="0.3">
      <c r="B65" s="3"/>
      <c r="C65" s="332" t="s">
        <v>2917</v>
      </c>
      <c r="D65" s="223">
        <v>0</v>
      </c>
      <c r="E65" s="223">
        <v>0</v>
      </c>
      <c r="F65" s="223">
        <v>0</v>
      </c>
      <c r="G65" s="223">
        <v>0</v>
      </c>
      <c r="H65" s="1170" t="s">
        <v>1483</v>
      </c>
      <c r="I65" s="223">
        <v>0</v>
      </c>
      <c r="J65" s="223">
        <v>0</v>
      </c>
      <c r="K65" s="223">
        <v>0</v>
      </c>
      <c r="L65" s="223">
        <v>0</v>
      </c>
      <c r="M65" s="223">
        <v>0</v>
      </c>
      <c r="N65" s="223">
        <v>0</v>
      </c>
      <c r="O65" s="223">
        <v>0</v>
      </c>
    </row>
    <row r="66" spans="2:15" x14ac:dyDescent="0.3">
      <c r="B66" s="3"/>
      <c r="C66" s="332" t="s">
        <v>2918</v>
      </c>
      <c r="D66" s="223">
        <v>0</v>
      </c>
      <c r="E66" s="223">
        <v>0</v>
      </c>
      <c r="F66" s="223">
        <v>0</v>
      </c>
      <c r="G66" s="223">
        <v>0</v>
      </c>
      <c r="H66" s="1170" t="s">
        <v>1483</v>
      </c>
      <c r="I66" s="223">
        <v>0</v>
      </c>
      <c r="J66" s="223">
        <v>0</v>
      </c>
      <c r="K66" s="223">
        <v>0</v>
      </c>
      <c r="L66" s="223">
        <v>0</v>
      </c>
      <c r="M66" s="223">
        <v>0</v>
      </c>
      <c r="N66" s="223">
        <v>0</v>
      </c>
      <c r="O66" s="223">
        <v>0</v>
      </c>
    </row>
    <row r="67" spans="2:15" x14ac:dyDescent="0.3">
      <c r="B67" s="3"/>
      <c r="C67" s="332" t="s">
        <v>2919</v>
      </c>
      <c r="D67" s="223">
        <v>0</v>
      </c>
      <c r="E67" s="223">
        <v>0</v>
      </c>
      <c r="F67" s="223">
        <v>0</v>
      </c>
      <c r="G67" s="223">
        <v>0</v>
      </c>
      <c r="H67" s="1170" t="s">
        <v>1483</v>
      </c>
      <c r="I67" s="223">
        <v>0</v>
      </c>
      <c r="J67" s="223">
        <v>0</v>
      </c>
      <c r="K67" s="223">
        <v>0</v>
      </c>
      <c r="L67" s="223">
        <v>0</v>
      </c>
      <c r="M67" s="223">
        <v>0</v>
      </c>
      <c r="N67" s="223">
        <v>0</v>
      </c>
      <c r="O67" s="223">
        <v>0</v>
      </c>
    </row>
    <row r="68" spans="2:15" x14ac:dyDescent="0.3">
      <c r="B68" s="3"/>
      <c r="C68" s="332" t="s">
        <v>2920</v>
      </c>
      <c r="D68" s="223">
        <v>0</v>
      </c>
      <c r="E68" s="223">
        <v>0</v>
      </c>
      <c r="F68" s="223">
        <v>0</v>
      </c>
      <c r="G68" s="223">
        <v>0</v>
      </c>
      <c r="H68" s="1170" t="s">
        <v>1483</v>
      </c>
      <c r="I68" s="223">
        <v>0</v>
      </c>
      <c r="J68" s="223">
        <v>0</v>
      </c>
      <c r="K68" s="223">
        <v>0</v>
      </c>
      <c r="L68" s="223">
        <v>0</v>
      </c>
      <c r="M68" s="223">
        <v>0</v>
      </c>
      <c r="N68" s="223">
        <v>0</v>
      </c>
      <c r="O68" s="223">
        <v>0</v>
      </c>
    </row>
    <row r="69" spans="2:15" ht="30" x14ac:dyDescent="0.3">
      <c r="B69" s="3"/>
      <c r="C69" s="1176" t="s">
        <v>3078</v>
      </c>
      <c r="D69" s="223">
        <v>0</v>
      </c>
      <c r="E69" s="223">
        <v>0</v>
      </c>
      <c r="F69" s="223">
        <v>0</v>
      </c>
      <c r="G69" s="223">
        <v>0</v>
      </c>
      <c r="H69" s="1170" t="s">
        <v>3076</v>
      </c>
      <c r="I69" s="223">
        <v>0</v>
      </c>
      <c r="J69" s="223">
        <v>0</v>
      </c>
      <c r="K69" s="223">
        <v>0</v>
      </c>
      <c r="L69" s="223">
        <v>0</v>
      </c>
      <c r="M69" s="223">
        <v>0</v>
      </c>
      <c r="N69" s="223">
        <v>0</v>
      </c>
      <c r="O69" s="223">
        <v>0</v>
      </c>
    </row>
    <row r="70" spans="2:15" ht="28" x14ac:dyDescent="0.3">
      <c r="B70" s="3"/>
      <c r="C70" s="332" t="s">
        <v>2921</v>
      </c>
      <c r="D70" s="223">
        <v>0</v>
      </c>
      <c r="E70" s="223">
        <v>0</v>
      </c>
      <c r="F70" s="223">
        <v>0</v>
      </c>
      <c r="G70" s="223">
        <v>0</v>
      </c>
      <c r="H70" s="1170">
        <v>2.25</v>
      </c>
      <c r="I70" s="223">
        <v>0</v>
      </c>
      <c r="J70" s="223">
        <v>0</v>
      </c>
      <c r="K70" s="223">
        <v>0</v>
      </c>
      <c r="L70" s="223">
        <v>0</v>
      </c>
      <c r="M70" s="223">
        <v>0</v>
      </c>
      <c r="N70" s="223">
        <v>0</v>
      </c>
      <c r="O70" s="223">
        <v>0</v>
      </c>
    </row>
    <row r="71" spans="2:15" x14ac:dyDescent="0.3">
      <c r="B71" s="3"/>
      <c r="C71" s="332" t="s">
        <v>2922</v>
      </c>
      <c r="D71" s="223">
        <v>0</v>
      </c>
      <c r="E71" s="223">
        <v>0</v>
      </c>
      <c r="F71" s="223">
        <v>0</v>
      </c>
      <c r="G71" s="223">
        <v>0</v>
      </c>
      <c r="H71" s="1170">
        <v>0.7</v>
      </c>
      <c r="I71" s="223">
        <v>0</v>
      </c>
      <c r="J71" s="223">
        <v>0</v>
      </c>
      <c r="K71" s="223">
        <v>0</v>
      </c>
      <c r="L71" s="223">
        <v>0</v>
      </c>
      <c r="M71" s="223">
        <v>0</v>
      </c>
      <c r="N71" s="223">
        <v>0</v>
      </c>
      <c r="O71" s="223">
        <v>0</v>
      </c>
    </row>
    <row r="72" spans="2:15" x14ac:dyDescent="0.3">
      <c r="B72" s="3"/>
      <c r="C72" s="332" t="s">
        <v>2923</v>
      </c>
      <c r="D72" s="223">
        <v>0</v>
      </c>
      <c r="E72" s="223">
        <v>0</v>
      </c>
      <c r="F72" s="223">
        <v>0</v>
      </c>
      <c r="G72" s="223">
        <v>0</v>
      </c>
      <c r="H72" s="1170">
        <v>3.5</v>
      </c>
      <c r="I72" s="223">
        <v>0</v>
      </c>
      <c r="J72" s="223">
        <v>0</v>
      </c>
      <c r="K72" s="223">
        <v>0</v>
      </c>
      <c r="L72" s="223">
        <v>0</v>
      </c>
      <c r="M72" s="223">
        <v>0</v>
      </c>
      <c r="N72" s="223">
        <v>0</v>
      </c>
      <c r="O72" s="223">
        <v>0</v>
      </c>
    </row>
    <row r="73" spans="2:15" ht="28" x14ac:dyDescent="0.3">
      <c r="B73" s="3"/>
      <c r="C73" s="332" t="s">
        <v>2924</v>
      </c>
      <c r="D73" s="223">
        <v>0</v>
      </c>
      <c r="E73" s="223">
        <v>0</v>
      </c>
      <c r="F73" s="223">
        <v>0</v>
      </c>
      <c r="G73" s="223">
        <v>0</v>
      </c>
      <c r="H73" s="1170">
        <v>0.8</v>
      </c>
      <c r="I73" s="223">
        <v>0</v>
      </c>
      <c r="J73" s="223">
        <v>0</v>
      </c>
      <c r="K73" s="223">
        <v>0</v>
      </c>
      <c r="L73" s="223">
        <v>0</v>
      </c>
      <c r="M73" s="223">
        <v>0</v>
      </c>
      <c r="N73" s="223">
        <v>0</v>
      </c>
      <c r="O73" s="223">
        <v>0</v>
      </c>
    </row>
    <row r="74" spans="2:15" ht="28" x14ac:dyDescent="0.3">
      <c r="B74" s="3"/>
      <c r="C74" s="332" t="s">
        <v>2925</v>
      </c>
      <c r="D74" s="223">
        <v>0</v>
      </c>
      <c r="E74" s="223">
        <v>0</v>
      </c>
      <c r="F74" s="223">
        <v>0</v>
      </c>
      <c r="G74" s="223">
        <v>0</v>
      </c>
      <c r="H74" s="1170">
        <v>0.18</v>
      </c>
      <c r="I74" s="223">
        <v>0</v>
      </c>
      <c r="J74" s="223">
        <v>0</v>
      </c>
      <c r="K74" s="223">
        <v>0</v>
      </c>
      <c r="L74" s="223">
        <v>0</v>
      </c>
      <c r="M74" s="223">
        <v>0</v>
      </c>
      <c r="N74" s="223">
        <v>0</v>
      </c>
      <c r="O74" s="223">
        <v>0</v>
      </c>
    </row>
    <row r="75" spans="2:15" ht="28" x14ac:dyDescent="0.3">
      <c r="B75" s="3"/>
      <c r="C75" s="332" t="s">
        <v>2926</v>
      </c>
      <c r="D75" s="223">
        <v>0</v>
      </c>
      <c r="E75" s="223">
        <v>0</v>
      </c>
      <c r="F75" s="223">
        <v>0</v>
      </c>
      <c r="G75" s="223">
        <v>0</v>
      </c>
      <c r="H75" s="1170" t="s">
        <v>1483</v>
      </c>
      <c r="I75" s="223">
        <v>0</v>
      </c>
      <c r="J75" s="223">
        <v>0</v>
      </c>
      <c r="K75" s="223">
        <v>0</v>
      </c>
      <c r="L75" s="223">
        <v>0</v>
      </c>
      <c r="M75" s="223">
        <v>0</v>
      </c>
      <c r="N75" s="223">
        <v>0</v>
      </c>
      <c r="O75" s="223">
        <v>0</v>
      </c>
    </row>
    <row r="76" spans="2:15" ht="30" x14ac:dyDescent="0.3">
      <c r="B76" s="3"/>
      <c r="C76" s="1176" t="s">
        <v>3079</v>
      </c>
      <c r="D76" s="223">
        <v>0</v>
      </c>
      <c r="E76" s="223">
        <v>0</v>
      </c>
      <c r="F76" s="223">
        <v>0</v>
      </c>
      <c r="G76" s="223">
        <v>0</v>
      </c>
      <c r="H76" s="1170" t="s">
        <v>3076</v>
      </c>
      <c r="I76" s="223">
        <v>0</v>
      </c>
      <c r="J76" s="223">
        <v>0</v>
      </c>
      <c r="K76" s="223">
        <v>0</v>
      </c>
      <c r="L76" s="223">
        <v>0</v>
      </c>
      <c r="M76" s="223">
        <v>0</v>
      </c>
      <c r="N76" s="223">
        <v>0</v>
      </c>
      <c r="O76" s="223">
        <v>0</v>
      </c>
    </row>
    <row r="77" spans="2:15" x14ac:dyDescent="0.3">
      <c r="B77" s="3"/>
      <c r="C77" s="332" t="s">
        <v>2927</v>
      </c>
      <c r="D77" s="223">
        <v>0</v>
      </c>
      <c r="E77" s="223">
        <v>0</v>
      </c>
      <c r="F77" s="223">
        <v>0</v>
      </c>
      <c r="G77" s="223">
        <v>0</v>
      </c>
      <c r="H77" s="1170">
        <v>4</v>
      </c>
      <c r="I77" s="223">
        <v>0</v>
      </c>
      <c r="J77" s="223">
        <v>0</v>
      </c>
      <c r="K77" s="223">
        <v>0</v>
      </c>
      <c r="L77" s="223">
        <v>0</v>
      </c>
      <c r="M77" s="223">
        <v>0</v>
      </c>
      <c r="N77" s="223">
        <v>0</v>
      </c>
      <c r="O77" s="223">
        <v>0</v>
      </c>
    </row>
    <row r="78" spans="2:15" x14ac:dyDescent="0.3">
      <c r="B78" s="3"/>
      <c r="C78" s="332" t="s">
        <v>2928</v>
      </c>
      <c r="D78" s="223">
        <v>0</v>
      </c>
      <c r="E78" s="223">
        <v>0</v>
      </c>
      <c r="F78" s="223">
        <v>0</v>
      </c>
      <c r="G78" s="223">
        <v>0</v>
      </c>
      <c r="H78" s="1170">
        <v>1.5</v>
      </c>
      <c r="I78" s="223">
        <v>0</v>
      </c>
      <c r="J78" s="223">
        <v>0</v>
      </c>
      <c r="K78" s="223">
        <v>0</v>
      </c>
      <c r="L78" s="223">
        <v>0</v>
      </c>
      <c r="M78" s="223">
        <v>0</v>
      </c>
      <c r="N78" s="223">
        <v>0</v>
      </c>
      <c r="O78" s="223">
        <v>0</v>
      </c>
    </row>
    <row r="79" spans="2:15" x14ac:dyDescent="0.3">
      <c r="B79" s="3"/>
      <c r="C79" s="332" t="s">
        <v>2929</v>
      </c>
      <c r="D79" s="223">
        <v>0</v>
      </c>
      <c r="E79" s="223">
        <v>0</v>
      </c>
      <c r="F79" s="223">
        <v>0</v>
      </c>
      <c r="G79" s="223">
        <v>0</v>
      </c>
      <c r="H79" s="1170">
        <v>1</v>
      </c>
      <c r="I79" s="223">
        <v>0</v>
      </c>
      <c r="J79" s="223">
        <v>0</v>
      </c>
      <c r="K79" s="223">
        <v>0</v>
      </c>
      <c r="L79" s="223">
        <v>0</v>
      </c>
      <c r="M79" s="223">
        <v>0</v>
      </c>
      <c r="N79" s="223">
        <v>0</v>
      </c>
      <c r="O79" s="223">
        <v>0</v>
      </c>
    </row>
    <row r="80" spans="2:15" ht="28" x14ac:dyDescent="0.3">
      <c r="B80" s="3"/>
      <c r="C80" s="332" t="s">
        <v>2930</v>
      </c>
      <c r="D80" s="223">
        <v>0</v>
      </c>
      <c r="E80" s="223">
        <v>0</v>
      </c>
      <c r="F80" s="223">
        <v>0</v>
      </c>
      <c r="G80" s="223">
        <v>0</v>
      </c>
      <c r="H80" s="1170">
        <v>3</v>
      </c>
      <c r="I80" s="223">
        <v>0</v>
      </c>
      <c r="J80" s="223">
        <v>0</v>
      </c>
      <c r="K80" s="223">
        <v>0</v>
      </c>
      <c r="L80" s="223">
        <v>0</v>
      </c>
      <c r="M80" s="223">
        <v>0</v>
      </c>
      <c r="N80" s="223">
        <v>0</v>
      </c>
      <c r="O80" s="223">
        <v>0</v>
      </c>
    </row>
    <row r="81" spans="2:15" x14ac:dyDescent="0.3">
      <c r="B81" s="3"/>
      <c r="C81" s="332" t="s">
        <v>2931</v>
      </c>
      <c r="D81" s="223">
        <v>0</v>
      </c>
      <c r="E81" s="223">
        <v>0</v>
      </c>
      <c r="F81" s="223">
        <v>0</v>
      </c>
      <c r="G81" s="223">
        <v>0</v>
      </c>
      <c r="H81" s="1170">
        <v>1</v>
      </c>
      <c r="I81" s="223">
        <v>0</v>
      </c>
      <c r="J81" s="223">
        <v>0</v>
      </c>
      <c r="K81" s="223">
        <v>0</v>
      </c>
      <c r="L81" s="223">
        <v>0</v>
      </c>
      <c r="M81" s="223">
        <v>0</v>
      </c>
      <c r="N81" s="223">
        <v>0</v>
      </c>
      <c r="O81" s="223">
        <v>0</v>
      </c>
    </row>
    <row r="82" spans="2:15" x14ac:dyDescent="0.3">
      <c r="B82" s="3"/>
      <c r="C82" s="332" t="s">
        <v>2932</v>
      </c>
      <c r="D82" s="223">
        <v>0</v>
      </c>
      <c r="E82" s="223">
        <v>0</v>
      </c>
      <c r="F82" s="223">
        <v>0</v>
      </c>
      <c r="G82" s="223">
        <v>0</v>
      </c>
      <c r="H82" s="1170" t="s">
        <v>1483</v>
      </c>
      <c r="I82" s="223">
        <v>0</v>
      </c>
      <c r="J82" s="223">
        <v>0</v>
      </c>
      <c r="K82" s="223">
        <v>0</v>
      </c>
      <c r="L82" s="223">
        <v>0</v>
      </c>
      <c r="M82" s="223">
        <v>0</v>
      </c>
      <c r="N82" s="223">
        <v>0</v>
      </c>
      <c r="O82" s="223">
        <v>0</v>
      </c>
    </row>
    <row r="83" spans="2:15" x14ac:dyDescent="0.3">
      <c r="B83" s="3"/>
      <c r="C83" s="332" t="s">
        <v>2933</v>
      </c>
      <c r="D83" s="223">
        <v>0</v>
      </c>
      <c r="E83" s="223">
        <v>0</v>
      </c>
      <c r="F83" s="223">
        <v>0</v>
      </c>
      <c r="G83" s="223">
        <v>0</v>
      </c>
      <c r="H83" s="1170" t="s">
        <v>1483</v>
      </c>
      <c r="I83" s="223">
        <v>0</v>
      </c>
      <c r="J83" s="223">
        <v>0</v>
      </c>
      <c r="K83" s="223">
        <v>0</v>
      </c>
      <c r="L83" s="223">
        <v>0</v>
      </c>
      <c r="M83" s="223">
        <v>0</v>
      </c>
      <c r="N83" s="223">
        <v>0</v>
      </c>
      <c r="O83" s="223">
        <v>0</v>
      </c>
    </row>
    <row r="84" spans="2:15" x14ac:dyDescent="0.3">
      <c r="B84" s="3"/>
      <c r="C84" s="332" t="s">
        <v>2934</v>
      </c>
      <c r="D84" s="223">
        <v>0</v>
      </c>
      <c r="E84" s="223">
        <v>0</v>
      </c>
      <c r="F84" s="223">
        <v>0</v>
      </c>
      <c r="G84" s="223">
        <v>0</v>
      </c>
      <c r="H84" s="1170" t="s">
        <v>1483</v>
      </c>
      <c r="I84" s="223">
        <v>0</v>
      </c>
      <c r="J84" s="223">
        <v>0</v>
      </c>
      <c r="K84" s="223">
        <v>0</v>
      </c>
      <c r="L84" s="223">
        <v>0</v>
      </c>
      <c r="M84" s="223">
        <v>0</v>
      </c>
      <c r="N84" s="223">
        <v>0</v>
      </c>
      <c r="O84" s="223">
        <v>0</v>
      </c>
    </row>
    <row r="85" spans="2:15" x14ac:dyDescent="0.3">
      <c r="B85" s="3"/>
      <c r="C85" s="332" t="s">
        <v>2935</v>
      </c>
      <c r="D85" s="223">
        <v>0</v>
      </c>
      <c r="E85" s="223">
        <v>0</v>
      </c>
      <c r="F85" s="223">
        <v>0</v>
      </c>
      <c r="G85" s="223">
        <v>0</v>
      </c>
      <c r="H85" s="1170" t="s">
        <v>1483</v>
      </c>
      <c r="I85" s="223">
        <v>0</v>
      </c>
      <c r="J85" s="223">
        <v>0</v>
      </c>
      <c r="K85" s="223">
        <v>0</v>
      </c>
      <c r="L85" s="223">
        <v>0</v>
      </c>
      <c r="M85" s="223">
        <v>0</v>
      </c>
      <c r="N85" s="223">
        <v>0</v>
      </c>
      <c r="O85" s="223">
        <v>0</v>
      </c>
    </row>
    <row r="86" spans="2:15" ht="30" x14ac:dyDescent="0.3">
      <c r="B86" s="3"/>
      <c r="C86" s="1176" t="s">
        <v>3080</v>
      </c>
      <c r="D86" s="223">
        <v>0</v>
      </c>
      <c r="E86" s="223">
        <v>0</v>
      </c>
      <c r="F86" s="223">
        <v>0</v>
      </c>
      <c r="G86" s="223">
        <v>0</v>
      </c>
      <c r="H86" s="1170" t="s">
        <v>3076</v>
      </c>
      <c r="I86" s="223">
        <v>0</v>
      </c>
      <c r="J86" s="223">
        <v>0</v>
      </c>
      <c r="K86" s="223">
        <v>0</v>
      </c>
      <c r="L86" s="223">
        <v>0</v>
      </c>
      <c r="M86" s="223">
        <v>0</v>
      </c>
      <c r="N86" s="223">
        <v>0</v>
      </c>
      <c r="O86" s="223">
        <v>0</v>
      </c>
    </row>
    <row r="87" spans="2:15" x14ac:dyDescent="0.3">
      <c r="B87" s="3"/>
      <c r="C87" s="332" t="s">
        <v>2936</v>
      </c>
      <c r="D87" s="223">
        <v>0</v>
      </c>
      <c r="E87" s="223">
        <v>0</v>
      </c>
      <c r="F87" s="223">
        <v>0</v>
      </c>
      <c r="G87" s="223">
        <v>0</v>
      </c>
      <c r="H87" s="1170">
        <v>0.2</v>
      </c>
      <c r="I87" s="223">
        <v>0</v>
      </c>
      <c r="J87" s="223">
        <v>0</v>
      </c>
      <c r="K87" s="223">
        <v>0</v>
      </c>
      <c r="L87" s="223">
        <v>0</v>
      </c>
      <c r="M87" s="223">
        <v>0</v>
      </c>
      <c r="N87" s="223">
        <v>0</v>
      </c>
      <c r="O87" s="223">
        <v>0</v>
      </c>
    </row>
    <row r="88" spans="2:15" ht="28" x14ac:dyDescent="0.3">
      <c r="B88" s="3"/>
      <c r="C88" s="332" t="s">
        <v>2937</v>
      </c>
      <c r="D88" s="223">
        <v>0</v>
      </c>
      <c r="E88" s="223">
        <v>0</v>
      </c>
      <c r="F88" s="223">
        <v>0</v>
      </c>
      <c r="G88" s="223">
        <v>0</v>
      </c>
      <c r="H88" s="1170">
        <v>65</v>
      </c>
      <c r="I88" s="223">
        <v>0</v>
      </c>
      <c r="J88" s="223">
        <v>0</v>
      </c>
      <c r="K88" s="223">
        <v>0</v>
      </c>
      <c r="L88" s="223">
        <v>0</v>
      </c>
      <c r="M88" s="223">
        <v>0</v>
      </c>
      <c r="N88" s="223">
        <v>0</v>
      </c>
      <c r="O88" s="223">
        <v>0</v>
      </c>
    </row>
    <row r="89" spans="2:15" ht="42" x14ac:dyDescent="0.3">
      <c r="B89" s="3"/>
      <c r="C89" s="332" t="s">
        <v>2938</v>
      </c>
      <c r="D89" s="223">
        <v>0</v>
      </c>
      <c r="E89" s="223">
        <v>0</v>
      </c>
      <c r="F89" s="223">
        <v>0</v>
      </c>
      <c r="G89" s="223">
        <v>0</v>
      </c>
      <c r="H89" s="1170" t="s">
        <v>1483</v>
      </c>
      <c r="I89" s="223">
        <v>0</v>
      </c>
      <c r="J89" s="223">
        <v>0</v>
      </c>
      <c r="K89" s="223">
        <v>0</v>
      </c>
      <c r="L89" s="223">
        <v>0</v>
      </c>
      <c r="M89" s="223">
        <v>0</v>
      </c>
      <c r="N89" s="223">
        <v>0</v>
      </c>
      <c r="O89" s="223">
        <v>0</v>
      </c>
    </row>
    <row r="90" spans="2:15" x14ac:dyDescent="0.3">
      <c r="B90" s="3"/>
      <c r="C90" s="332" t="s">
        <v>2939</v>
      </c>
      <c r="D90" s="223">
        <v>0</v>
      </c>
      <c r="E90" s="223">
        <v>0</v>
      </c>
      <c r="F90" s="223">
        <v>0</v>
      </c>
      <c r="G90" s="223">
        <v>0</v>
      </c>
      <c r="H90" s="1170" t="s">
        <v>1483</v>
      </c>
      <c r="I90" s="223">
        <v>0</v>
      </c>
      <c r="J90" s="223">
        <v>0</v>
      </c>
      <c r="K90" s="223">
        <v>0</v>
      </c>
      <c r="L90" s="223">
        <v>0</v>
      </c>
      <c r="M90" s="223">
        <v>0</v>
      </c>
      <c r="N90" s="223">
        <v>0</v>
      </c>
      <c r="O90" s="223">
        <v>0</v>
      </c>
    </row>
    <row r="91" spans="2:15" x14ac:dyDescent="0.3">
      <c r="B91" s="3"/>
      <c r="C91" s="332" t="s">
        <v>2940</v>
      </c>
      <c r="D91" s="223">
        <v>0</v>
      </c>
      <c r="E91" s="223">
        <v>0</v>
      </c>
      <c r="F91" s="223">
        <v>0</v>
      </c>
      <c r="G91" s="223">
        <v>0</v>
      </c>
      <c r="H91" s="1170" t="s">
        <v>1483</v>
      </c>
      <c r="I91" s="223">
        <v>0</v>
      </c>
      <c r="J91" s="223">
        <v>0</v>
      </c>
      <c r="K91" s="223">
        <v>0</v>
      </c>
      <c r="L91" s="223">
        <v>0</v>
      </c>
      <c r="M91" s="223">
        <v>0</v>
      </c>
      <c r="N91" s="223">
        <v>0</v>
      </c>
      <c r="O91" s="223">
        <v>0</v>
      </c>
    </row>
    <row r="92" spans="2:15" ht="28" x14ac:dyDescent="0.3">
      <c r="B92" s="3"/>
      <c r="C92" s="332" t="s">
        <v>2941</v>
      </c>
      <c r="D92" s="223">
        <v>0</v>
      </c>
      <c r="E92" s="223">
        <v>0</v>
      </c>
      <c r="F92" s="223">
        <v>0</v>
      </c>
      <c r="G92" s="223">
        <v>0</v>
      </c>
      <c r="H92" s="1170" t="s">
        <v>1483</v>
      </c>
      <c r="I92" s="223">
        <v>0</v>
      </c>
      <c r="J92" s="223">
        <v>0</v>
      </c>
      <c r="K92" s="223">
        <v>0</v>
      </c>
      <c r="L92" s="223">
        <v>0</v>
      </c>
      <c r="M92" s="223">
        <v>0</v>
      </c>
      <c r="N92" s="223">
        <v>0</v>
      </c>
      <c r="O92" s="223">
        <v>0</v>
      </c>
    </row>
    <row r="93" spans="2:15" ht="28" x14ac:dyDescent="0.3">
      <c r="B93" s="3"/>
      <c r="C93" s="332" t="s">
        <v>2942</v>
      </c>
      <c r="D93" s="223">
        <v>0</v>
      </c>
      <c r="E93" s="223">
        <v>0</v>
      </c>
      <c r="F93" s="223">
        <v>0</v>
      </c>
      <c r="G93" s="223">
        <v>0</v>
      </c>
      <c r="H93" s="1170" t="s">
        <v>1483</v>
      </c>
      <c r="I93" s="223">
        <v>0</v>
      </c>
      <c r="J93" s="223">
        <v>0</v>
      </c>
      <c r="K93" s="223">
        <v>0</v>
      </c>
      <c r="L93" s="223">
        <v>0</v>
      </c>
      <c r="M93" s="223">
        <v>0</v>
      </c>
      <c r="N93" s="223">
        <v>0</v>
      </c>
      <c r="O93" s="223">
        <v>0</v>
      </c>
    </row>
    <row r="94" spans="2:15" ht="28" x14ac:dyDescent="0.3">
      <c r="B94" s="3"/>
      <c r="C94" s="332" t="s">
        <v>2943</v>
      </c>
      <c r="D94" s="223">
        <v>0</v>
      </c>
      <c r="E94" s="223">
        <v>0</v>
      </c>
      <c r="F94" s="223">
        <v>0</v>
      </c>
      <c r="G94" s="223">
        <v>0</v>
      </c>
      <c r="H94" s="1170" t="s">
        <v>1483</v>
      </c>
      <c r="I94" s="223">
        <v>0</v>
      </c>
      <c r="J94" s="223">
        <v>0</v>
      </c>
      <c r="K94" s="223">
        <v>0</v>
      </c>
      <c r="L94" s="223">
        <v>0</v>
      </c>
      <c r="M94" s="223">
        <v>0</v>
      </c>
      <c r="N94" s="223">
        <v>0</v>
      </c>
      <c r="O94" s="223">
        <v>0</v>
      </c>
    </row>
    <row r="95" spans="2:15" x14ac:dyDescent="0.3">
      <c r="B95" s="3"/>
      <c r="C95" s="332" t="s">
        <v>2944</v>
      </c>
      <c r="D95" s="223">
        <v>0</v>
      </c>
      <c r="E95" s="223">
        <v>0</v>
      </c>
      <c r="F95" s="223">
        <v>0</v>
      </c>
      <c r="G95" s="223">
        <v>0</v>
      </c>
      <c r="H95" s="1170" t="s">
        <v>1483</v>
      </c>
      <c r="I95" s="223">
        <v>0</v>
      </c>
      <c r="J95" s="223">
        <v>0</v>
      </c>
      <c r="K95" s="223">
        <v>0</v>
      </c>
      <c r="L95" s="223">
        <v>0</v>
      </c>
      <c r="M95" s="223">
        <v>0</v>
      </c>
      <c r="N95" s="223">
        <v>0</v>
      </c>
      <c r="O95" s="223">
        <v>0</v>
      </c>
    </row>
    <row r="96" spans="2:15" ht="30" x14ac:dyDescent="0.3">
      <c r="B96" s="3"/>
      <c r="C96" s="1176" t="s">
        <v>3080</v>
      </c>
      <c r="D96" s="223">
        <v>0</v>
      </c>
      <c r="E96" s="223">
        <v>0</v>
      </c>
      <c r="F96" s="223">
        <v>0</v>
      </c>
      <c r="G96" s="223">
        <v>0</v>
      </c>
      <c r="H96" s="1170" t="s">
        <v>3076</v>
      </c>
      <c r="I96" s="223">
        <v>0</v>
      </c>
      <c r="J96" s="223">
        <v>0</v>
      </c>
      <c r="K96" s="223">
        <v>0</v>
      </c>
      <c r="L96" s="223">
        <v>0</v>
      </c>
      <c r="M96" s="223">
        <v>0</v>
      </c>
      <c r="N96" s="223">
        <v>0</v>
      </c>
      <c r="O96" s="223">
        <v>0</v>
      </c>
    </row>
    <row r="97" spans="2:15" x14ac:dyDescent="0.3">
      <c r="B97" s="3"/>
      <c r="C97" s="332" t="s">
        <v>2945</v>
      </c>
      <c r="D97" s="223">
        <v>0</v>
      </c>
      <c r="E97" s="223">
        <v>0</v>
      </c>
      <c r="F97" s="223">
        <v>0</v>
      </c>
      <c r="G97" s="223">
        <v>0</v>
      </c>
      <c r="H97" s="1170">
        <v>1</v>
      </c>
      <c r="I97" s="223">
        <v>0</v>
      </c>
      <c r="J97" s="223">
        <v>0</v>
      </c>
      <c r="K97" s="223">
        <v>0</v>
      </c>
      <c r="L97" s="223">
        <v>0</v>
      </c>
      <c r="M97" s="223">
        <v>0</v>
      </c>
      <c r="N97" s="223">
        <v>0</v>
      </c>
      <c r="O97" s="223">
        <v>0</v>
      </c>
    </row>
    <row r="98" spans="2:15" x14ac:dyDescent="0.3">
      <c r="B98" s="3"/>
      <c r="C98" s="332" t="s">
        <v>2946</v>
      </c>
      <c r="D98" s="223">
        <v>0</v>
      </c>
      <c r="E98" s="223">
        <v>0</v>
      </c>
      <c r="F98" s="223">
        <v>0</v>
      </c>
      <c r="G98" s="223">
        <v>0</v>
      </c>
      <c r="H98" s="1170">
        <v>2.5</v>
      </c>
      <c r="I98" s="223">
        <v>0</v>
      </c>
      <c r="J98" s="223">
        <v>0</v>
      </c>
      <c r="K98" s="223">
        <v>0</v>
      </c>
      <c r="L98" s="223">
        <v>0</v>
      </c>
      <c r="M98" s="223">
        <v>0</v>
      </c>
      <c r="N98" s="223">
        <v>0</v>
      </c>
      <c r="O98" s="223">
        <v>0</v>
      </c>
    </row>
    <row r="99" spans="2:15" x14ac:dyDescent="0.3">
      <c r="B99" s="3"/>
      <c r="C99" s="332" t="s">
        <v>2947</v>
      </c>
      <c r="D99" s="223">
        <v>0</v>
      </c>
      <c r="E99" s="223">
        <v>0</v>
      </c>
      <c r="F99" s="223">
        <v>0</v>
      </c>
      <c r="G99" s="223">
        <v>0</v>
      </c>
      <c r="H99" s="1170">
        <v>2</v>
      </c>
      <c r="I99" s="223">
        <v>0</v>
      </c>
      <c r="J99" s="223">
        <v>0</v>
      </c>
      <c r="K99" s="223">
        <v>0</v>
      </c>
      <c r="L99" s="223">
        <v>0</v>
      </c>
      <c r="M99" s="223">
        <v>0</v>
      </c>
      <c r="N99" s="223">
        <v>0</v>
      </c>
      <c r="O99" s="223">
        <v>0</v>
      </c>
    </row>
    <row r="100" spans="2:15" ht="28" x14ac:dyDescent="0.3">
      <c r="B100" s="3"/>
      <c r="C100" s="332" t="s">
        <v>2948</v>
      </c>
      <c r="D100" s="223">
        <v>0</v>
      </c>
      <c r="E100" s="223">
        <v>0</v>
      </c>
      <c r="F100" s="223">
        <v>0</v>
      </c>
      <c r="G100" s="223">
        <v>0</v>
      </c>
      <c r="H100" s="1170">
        <v>1</v>
      </c>
      <c r="I100" s="223">
        <v>0</v>
      </c>
      <c r="J100" s="223">
        <v>0</v>
      </c>
      <c r="K100" s="223">
        <v>0</v>
      </c>
      <c r="L100" s="223">
        <v>0</v>
      </c>
      <c r="M100" s="223">
        <v>0</v>
      </c>
      <c r="N100" s="223">
        <v>0</v>
      </c>
      <c r="O100" s="223">
        <v>0</v>
      </c>
    </row>
    <row r="101" spans="2:15" x14ac:dyDescent="0.3">
      <c r="B101" s="3"/>
      <c r="C101" s="332" t="s">
        <v>2949</v>
      </c>
      <c r="D101" s="223">
        <v>0</v>
      </c>
      <c r="E101" s="223">
        <v>0</v>
      </c>
      <c r="F101" s="223">
        <v>0</v>
      </c>
      <c r="G101" s="223">
        <v>0</v>
      </c>
      <c r="H101" s="1170" t="s">
        <v>1483</v>
      </c>
      <c r="I101" s="223">
        <v>0</v>
      </c>
      <c r="J101" s="223">
        <v>0</v>
      </c>
      <c r="K101" s="223">
        <v>0</v>
      </c>
      <c r="L101" s="223">
        <v>0</v>
      </c>
      <c r="M101" s="223">
        <v>0</v>
      </c>
      <c r="N101" s="223">
        <v>0</v>
      </c>
      <c r="O101" s="223">
        <v>0</v>
      </c>
    </row>
    <row r="102" spans="2:15" ht="28" x14ac:dyDescent="0.3">
      <c r="B102" s="3"/>
      <c r="C102" s="332" t="s">
        <v>2950</v>
      </c>
      <c r="D102" s="223">
        <v>0</v>
      </c>
      <c r="E102" s="223">
        <v>0</v>
      </c>
      <c r="F102" s="223">
        <v>0</v>
      </c>
      <c r="G102" s="223">
        <v>0</v>
      </c>
      <c r="H102" s="1170" t="s">
        <v>1483</v>
      </c>
      <c r="I102" s="223">
        <v>0</v>
      </c>
      <c r="J102" s="223">
        <v>0</v>
      </c>
      <c r="K102" s="223">
        <v>0</v>
      </c>
      <c r="L102" s="223">
        <v>0</v>
      </c>
      <c r="M102" s="223">
        <v>0</v>
      </c>
      <c r="N102" s="223">
        <v>0</v>
      </c>
      <c r="O102" s="223">
        <v>0</v>
      </c>
    </row>
    <row r="103" spans="2:15" ht="42" x14ac:dyDescent="0.3">
      <c r="B103" s="3"/>
      <c r="C103" s="332" t="s">
        <v>2951</v>
      </c>
      <c r="D103" s="223">
        <v>0</v>
      </c>
      <c r="E103" s="223">
        <v>0</v>
      </c>
      <c r="F103" s="223">
        <v>0</v>
      </c>
      <c r="G103" s="223">
        <v>0</v>
      </c>
      <c r="H103" s="1170" t="s">
        <v>1483</v>
      </c>
      <c r="I103" s="223">
        <v>0</v>
      </c>
      <c r="J103" s="223">
        <v>0</v>
      </c>
      <c r="K103" s="223">
        <v>0</v>
      </c>
      <c r="L103" s="223">
        <v>0</v>
      </c>
      <c r="M103" s="223">
        <v>0</v>
      </c>
      <c r="N103" s="223">
        <v>0</v>
      </c>
      <c r="O103" s="223">
        <v>0</v>
      </c>
    </row>
    <row r="104" spans="2:15" ht="42" x14ac:dyDescent="0.3">
      <c r="B104" s="3"/>
      <c r="C104" s="332" t="s">
        <v>2952</v>
      </c>
      <c r="D104" s="223">
        <v>0</v>
      </c>
      <c r="E104" s="223">
        <v>0</v>
      </c>
      <c r="F104" s="223">
        <v>0</v>
      </c>
      <c r="G104" s="223">
        <v>0</v>
      </c>
      <c r="H104" s="1170" t="s">
        <v>1483</v>
      </c>
      <c r="I104" s="223">
        <v>0</v>
      </c>
      <c r="J104" s="223">
        <v>0</v>
      </c>
      <c r="K104" s="223">
        <v>0</v>
      </c>
      <c r="L104" s="223">
        <v>0</v>
      </c>
      <c r="M104" s="223">
        <v>0</v>
      </c>
      <c r="N104" s="223">
        <v>0</v>
      </c>
      <c r="O104" s="223">
        <v>0</v>
      </c>
    </row>
    <row r="105" spans="2:15" x14ac:dyDescent="0.3">
      <c r="B105" s="3"/>
      <c r="C105" s="1177" t="s">
        <v>851</v>
      </c>
      <c r="D105" s="223">
        <v>0</v>
      </c>
      <c r="E105" s="223">
        <v>0</v>
      </c>
      <c r="F105" s="223">
        <v>0</v>
      </c>
      <c r="G105" s="223">
        <v>0</v>
      </c>
      <c r="H105" s="1170">
        <v>0</v>
      </c>
      <c r="I105" s="223">
        <v>0</v>
      </c>
      <c r="J105" s="223">
        <v>0</v>
      </c>
      <c r="K105" s="223">
        <v>0</v>
      </c>
      <c r="L105" s="223">
        <v>0</v>
      </c>
      <c r="M105" s="223">
        <v>0</v>
      </c>
      <c r="N105" s="223">
        <v>0</v>
      </c>
      <c r="O105" s="223">
        <v>0</v>
      </c>
    </row>
    <row r="106" spans="2:15" x14ac:dyDescent="0.3">
      <c r="B106" s="3"/>
      <c r="C106" s="1178" t="s">
        <v>1220</v>
      </c>
      <c r="D106" s="223">
        <v>0</v>
      </c>
      <c r="E106" s="223">
        <v>0</v>
      </c>
      <c r="F106" s="223">
        <v>0</v>
      </c>
      <c r="G106" s="223">
        <v>0</v>
      </c>
      <c r="H106" s="1170">
        <v>0</v>
      </c>
      <c r="I106" s="223">
        <v>0</v>
      </c>
      <c r="J106" s="223">
        <v>0</v>
      </c>
      <c r="K106" s="223">
        <v>0</v>
      </c>
      <c r="L106" s="223">
        <v>0</v>
      </c>
      <c r="M106" s="223">
        <v>0</v>
      </c>
      <c r="N106" s="223">
        <v>0</v>
      </c>
      <c r="O106" s="223">
        <v>0</v>
      </c>
    </row>
    <row r="107" spans="2:15" x14ac:dyDescent="0.3">
      <c r="B107" s="3"/>
      <c r="C107" s="332" t="s">
        <v>2894</v>
      </c>
      <c r="D107" s="223">
        <v>0</v>
      </c>
      <c r="E107" s="223">
        <v>0</v>
      </c>
      <c r="F107" s="223">
        <v>0</v>
      </c>
      <c r="G107" s="223">
        <v>0</v>
      </c>
      <c r="H107" s="1170">
        <v>0</v>
      </c>
      <c r="I107" s="223">
        <v>0</v>
      </c>
      <c r="J107" s="223">
        <v>0</v>
      </c>
      <c r="K107" s="223">
        <v>0</v>
      </c>
      <c r="L107" s="223">
        <v>0</v>
      </c>
      <c r="M107" s="223">
        <v>0</v>
      </c>
      <c r="N107" s="223">
        <v>0</v>
      </c>
      <c r="O107" s="223">
        <v>0</v>
      </c>
    </row>
    <row r="108" spans="2:15" x14ac:dyDescent="0.3">
      <c r="B108" s="3"/>
      <c r="C108" s="332" t="s">
        <v>2894</v>
      </c>
      <c r="D108" s="223">
        <v>0</v>
      </c>
      <c r="E108" s="223">
        <v>0</v>
      </c>
      <c r="F108" s="223">
        <v>0</v>
      </c>
      <c r="G108" s="223">
        <v>0</v>
      </c>
      <c r="H108" s="1170">
        <v>0</v>
      </c>
      <c r="I108" s="223">
        <v>0</v>
      </c>
      <c r="J108" s="223">
        <v>0</v>
      </c>
      <c r="K108" s="223">
        <v>0</v>
      </c>
      <c r="L108" s="223">
        <v>0</v>
      </c>
      <c r="M108" s="223">
        <v>0</v>
      </c>
      <c r="N108" s="223">
        <v>0</v>
      </c>
      <c r="O108" s="223">
        <v>0</v>
      </c>
    </row>
    <row r="109" spans="2:15" x14ac:dyDescent="0.3">
      <c r="B109" s="3"/>
      <c r="C109" s="1178" t="s">
        <v>1221</v>
      </c>
      <c r="D109" s="223">
        <v>0</v>
      </c>
      <c r="E109" s="223">
        <v>0</v>
      </c>
      <c r="F109" s="223">
        <v>0</v>
      </c>
      <c r="G109" s="223">
        <v>0</v>
      </c>
      <c r="H109" s="1170">
        <v>0</v>
      </c>
      <c r="I109" s="223">
        <v>0</v>
      </c>
      <c r="J109" s="223">
        <v>0</v>
      </c>
      <c r="K109" s="223">
        <v>0</v>
      </c>
      <c r="L109" s="223">
        <v>0</v>
      </c>
      <c r="M109" s="223">
        <v>0</v>
      </c>
      <c r="N109" s="223">
        <v>0</v>
      </c>
      <c r="O109" s="223">
        <v>0</v>
      </c>
    </row>
    <row r="110" spans="2:15" x14ac:dyDescent="0.3">
      <c r="B110" s="3"/>
      <c r="C110" s="1175" t="s">
        <v>1219</v>
      </c>
      <c r="D110" s="223">
        <v>0</v>
      </c>
      <c r="E110" s="223">
        <v>0</v>
      </c>
      <c r="F110" s="223">
        <v>0</v>
      </c>
      <c r="G110" s="223">
        <v>0</v>
      </c>
      <c r="H110" s="1170">
        <v>0</v>
      </c>
      <c r="I110" s="223">
        <v>0</v>
      </c>
      <c r="J110" s="223">
        <v>0</v>
      </c>
      <c r="K110" s="223">
        <v>0</v>
      </c>
      <c r="L110" s="223">
        <v>0</v>
      </c>
      <c r="M110" s="223">
        <v>0</v>
      </c>
      <c r="N110" s="223">
        <v>0</v>
      </c>
      <c r="O110" s="223">
        <v>0</v>
      </c>
    </row>
    <row r="111" spans="2:15" ht="30" x14ac:dyDescent="0.3">
      <c r="B111" s="3"/>
      <c r="C111" s="1176" t="s">
        <v>3073</v>
      </c>
      <c r="D111" s="223">
        <v>0</v>
      </c>
      <c r="E111" s="223">
        <v>0</v>
      </c>
      <c r="F111" s="223">
        <v>0</v>
      </c>
      <c r="G111" s="223">
        <v>0</v>
      </c>
      <c r="H111" s="1170">
        <v>0</v>
      </c>
      <c r="I111" s="223">
        <v>0</v>
      </c>
      <c r="J111" s="223">
        <v>0</v>
      </c>
      <c r="K111" s="223">
        <v>0</v>
      </c>
      <c r="L111" s="223">
        <v>0</v>
      </c>
      <c r="M111" s="223">
        <v>0</v>
      </c>
      <c r="N111" s="223">
        <v>0</v>
      </c>
      <c r="O111" s="223">
        <v>0</v>
      </c>
    </row>
    <row r="112" spans="2:15" x14ac:dyDescent="0.3">
      <c r="B112" s="3"/>
      <c r="C112" s="332" t="s">
        <v>2895</v>
      </c>
      <c r="D112" s="223">
        <v>0</v>
      </c>
      <c r="E112" s="223">
        <v>0</v>
      </c>
      <c r="F112" s="223">
        <v>0</v>
      </c>
      <c r="G112" s="223">
        <v>0</v>
      </c>
      <c r="H112" s="1170" t="s">
        <v>1483</v>
      </c>
      <c r="I112" s="223">
        <v>0</v>
      </c>
      <c r="J112" s="223">
        <v>0</v>
      </c>
      <c r="K112" s="223">
        <v>0</v>
      </c>
      <c r="L112" s="223">
        <v>0</v>
      </c>
      <c r="M112" s="223">
        <v>0</v>
      </c>
      <c r="N112" s="223">
        <v>0</v>
      </c>
      <c r="O112" s="223">
        <v>0</v>
      </c>
    </row>
    <row r="113" spans="2:15" ht="28" x14ac:dyDescent="0.3">
      <c r="B113" s="3"/>
      <c r="C113" s="332" t="s">
        <v>2896</v>
      </c>
      <c r="D113" s="223">
        <v>0</v>
      </c>
      <c r="E113" s="223">
        <v>0</v>
      </c>
      <c r="F113" s="223">
        <v>0</v>
      </c>
      <c r="G113" s="223">
        <v>0</v>
      </c>
      <c r="H113" s="1170" t="s">
        <v>1483</v>
      </c>
      <c r="I113" s="223">
        <v>0</v>
      </c>
      <c r="J113" s="223">
        <v>0</v>
      </c>
      <c r="K113" s="223">
        <v>0</v>
      </c>
      <c r="L113" s="223">
        <v>0</v>
      </c>
      <c r="M113" s="223">
        <v>0</v>
      </c>
      <c r="N113" s="223">
        <v>0</v>
      </c>
      <c r="O113" s="223">
        <v>0</v>
      </c>
    </row>
    <row r="114" spans="2:15" x14ac:dyDescent="0.3">
      <c r="B114" s="3"/>
      <c r="C114" s="332" t="s">
        <v>3074</v>
      </c>
      <c r="D114" s="223">
        <v>0</v>
      </c>
      <c r="E114" s="223">
        <v>0</v>
      </c>
      <c r="F114" s="223">
        <v>0</v>
      </c>
      <c r="G114" s="223">
        <v>0</v>
      </c>
      <c r="H114" s="1170">
        <v>10</v>
      </c>
      <c r="I114" s="223">
        <v>0</v>
      </c>
      <c r="J114" s="223">
        <v>0</v>
      </c>
      <c r="K114" s="223">
        <v>0</v>
      </c>
      <c r="L114" s="223">
        <v>0</v>
      </c>
      <c r="M114" s="223">
        <v>0</v>
      </c>
      <c r="N114" s="223">
        <v>0</v>
      </c>
      <c r="O114" s="223">
        <v>0</v>
      </c>
    </row>
    <row r="115" spans="2:15" x14ac:dyDescent="0.3">
      <c r="B115" s="3"/>
      <c r="C115" s="332" t="s">
        <v>2897</v>
      </c>
      <c r="D115" s="223">
        <v>0</v>
      </c>
      <c r="E115" s="223">
        <v>0</v>
      </c>
      <c r="F115" s="223">
        <v>0</v>
      </c>
      <c r="G115" s="223">
        <v>0</v>
      </c>
      <c r="H115" s="1170">
        <v>20</v>
      </c>
      <c r="I115" s="223">
        <v>0</v>
      </c>
      <c r="J115" s="223">
        <v>0</v>
      </c>
      <c r="K115" s="223">
        <v>0</v>
      </c>
      <c r="L115" s="223">
        <v>0</v>
      </c>
      <c r="M115" s="223">
        <v>0</v>
      </c>
      <c r="N115" s="223">
        <v>0</v>
      </c>
      <c r="O115" s="223">
        <v>0</v>
      </c>
    </row>
    <row r="116" spans="2:15" x14ac:dyDescent="0.3">
      <c r="B116" s="3"/>
      <c r="C116" s="332" t="s">
        <v>2898</v>
      </c>
      <c r="D116" s="223">
        <v>0</v>
      </c>
      <c r="E116" s="223">
        <v>0</v>
      </c>
      <c r="F116" s="223">
        <v>0</v>
      </c>
      <c r="G116" s="223">
        <v>0</v>
      </c>
      <c r="H116" s="1170">
        <v>3.5</v>
      </c>
      <c r="I116" s="223">
        <v>0</v>
      </c>
      <c r="J116" s="223">
        <v>0</v>
      </c>
      <c r="K116" s="223">
        <v>0</v>
      </c>
      <c r="L116" s="223">
        <v>0</v>
      </c>
      <c r="M116" s="223">
        <v>0</v>
      </c>
      <c r="N116" s="223">
        <v>0</v>
      </c>
      <c r="O116" s="223">
        <v>0</v>
      </c>
    </row>
    <row r="117" spans="2:15" ht="30" x14ac:dyDescent="0.3">
      <c r="B117" s="3"/>
      <c r="C117" s="1176" t="s">
        <v>3075</v>
      </c>
      <c r="D117" s="223">
        <v>0</v>
      </c>
      <c r="E117" s="223">
        <v>0</v>
      </c>
      <c r="F117" s="223">
        <v>0</v>
      </c>
      <c r="G117" s="223">
        <v>0</v>
      </c>
      <c r="H117" s="1170" t="s">
        <v>3076</v>
      </c>
      <c r="I117" s="223">
        <v>0</v>
      </c>
      <c r="J117" s="223">
        <v>0</v>
      </c>
      <c r="K117" s="223">
        <v>0</v>
      </c>
      <c r="L117" s="223">
        <v>0</v>
      </c>
      <c r="M117" s="223">
        <v>0</v>
      </c>
      <c r="N117" s="223">
        <v>0</v>
      </c>
      <c r="O117" s="223">
        <v>0</v>
      </c>
    </row>
    <row r="118" spans="2:15" x14ac:dyDescent="0.3">
      <c r="B118" s="3"/>
      <c r="C118" s="332" t="s">
        <v>2899</v>
      </c>
      <c r="D118" s="223">
        <v>0</v>
      </c>
      <c r="E118" s="223">
        <v>0</v>
      </c>
      <c r="F118" s="223">
        <v>0</v>
      </c>
      <c r="G118" s="223">
        <v>0</v>
      </c>
      <c r="H118" s="1170" t="s">
        <v>1483</v>
      </c>
      <c r="I118" s="223">
        <v>0</v>
      </c>
      <c r="J118" s="223">
        <v>0</v>
      </c>
      <c r="K118" s="223">
        <v>0</v>
      </c>
      <c r="L118" s="223">
        <v>0</v>
      </c>
      <c r="M118" s="223">
        <v>0</v>
      </c>
      <c r="N118" s="223">
        <v>0</v>
      </c>
      <c r="O118" s="223">
        <v>0</v>
      </c>
    </row>
    <row r="119" spans="2:15" x14ac:dyDescent="0.3">
      <c r="B119" s="3"/>
      <c r="C119" s="332" t="s">
        <v>2900</v>
      </c>
      <c r="D119" s="223">
        <v>0</v>
      </c>
      <c r="E119" s="223">
        <v>0</v>
      </c>
      <c r="F119" s="223">
        <v>0</v>
      </c>
      <c r="G119" s="223">
        <v>0</v>
      </c>
      <c r="H119" s="1170" t="s">
        <v>1483</v>
      </c>
      <c r="I119" s="223">
        <v>0</v>
      </c>
      <c r="J119" s="223">
        <v>0</v>
      </c>
      <c r="K119" s="223">
        <v>0</v>
      </c>
      <c r="L119" s="223">
        <v>0</v>
      </c>
      <c r="M119" s="223">
        <v>0</v>
      </c>
      <c r="N119" s="223">
        <v>0</v>
      </c>
      <c r="O119" s="223">
        <v>0</v>
      </c>
    </row>
    <row r="120" spans="2:15" x14ac:dyDescent="0.3">
      <c r="B120" s="3"/>
      <c r="C120" s="332" t="s">
        <v>2901</v>
      </c>
      <c r="D120" s="223">
        <v>0</v>
      </c>
      <c r="E120" s="223">
        <v>0</v>
      </c>
      <c r="F120" s="223">
        <v>0</v>
      </c>
      <c r="G120" s="223">
        <v>0</v>
      </c>
      <c r="H120" s="1170" t="s">
        <v>1483</v>
      </c>
      <c r="I120" s="223">
        <v>0</v>
      </c>
      <c r="J120" s="223">
        <v>0</v>
      </c>
      <c r="K120" s="223">
        <v>0</v>
      </c>
      <c r="L120" s="223">
        <v>0</v>
      </c>
      <c r="M120" s="223">
        <v>0</v>
      </c>
      <c r="N120" s="223">
        <v>0</v>
      </c>
      <c r="O120" s="223">
        <v>0</v>
      </c>
    </row>
    <row r="121" spans="2:15" x14ac:dyDescent="0.3">
      <c r="B121" s="3"/>
      <c r="C121" s="332" t="s">
        <v>2902</v>
      </c>
      <c r="D121" s="223">
        <v>0</v>
      </c>
      <c r="E121" s="223">
        <v>0</v>
      </c>
      <c r="F121" s="223">
        <v>0</v>
      </c>
      <c r="G121" s="223">
        <v>0</v>
      </c>
      <c r="H121" s="1170" t="s">
        <v>1483</v>
      </c>
      <c r="I121" s="223">
        <v>0</v>
      </c>
      <c r="J121" s="223">
        <v>0</v>
      </c>
      <c r="K121" s="223">
        <v>0</v>
      </c>
      <c r="L121" s="223">
        <v>0</v>
      </c>
      <c r="M121" s="223">
        <v>0</v>
      </c>
      <c r="N121" s="223">
        <v>0</v>
      </c>
      <c r="O121" s="223">
        <v>0</v>
      </c>
    </row>
    <row r="122" spans="2:15" x14ac:dyDescent="0.3">
      <c r="B122" s="3"/>
      <c r="C122" s="332" t="s">
        <v>2903</v>
      </c>
      <c r="D122" s="223">
        <v>0</v>
      </c>
      <c r="E122" s="223">
        <v>0</v>
      </c>
      <c r="F122" s="223">
        <v>0</v>
      </c>
      <c r="G122" s="223">
        <v>0</v>
      </c>
      <c r="H122" s="1170" t="s">
        <v>1483</v>
      </c>
      <c r="I122" s="223">
        <v>0</v>
      </c>
      <c r="J122" s="223">
        <v>0</v>
      </c>
      <c r="K122" s="223">
        <v>0</v>
      </c>
      <c r="L122" s="223">
        <v>0</v>
      </c>
      <c r="M122" s="223">
        <v>0</v>
      </c>
      <c r="N122" s="223">
        <v>0</v>
      </c>
      <c r="O122" s="223">
        <v>0</v>
      </c>
    </row>
    <row r="123" spans="2:15" x14ac:dyDescent="0.3">
      <c r="B123" s="3"/>
      <c r="C123" s="332" t="s">
        <v>2904</v>
      </c>
      <c r="D123" s="223">
        <v>0</v>
      </c>
      <c r="E123" s="223">
        <v>0</v>
      </c>
      <c r="F123" s="223">
        <v>0</v>
      </c>
      <c r="G123" s="223">
        <v>0</v>
      </c>
      <c r="H123" s="1170">
        <v>4</v>
      </c>
      <c r="I123" s="223">
        <v>0</v>
      </c>
      <c r="J123" s="223">
        <v>0</v>
      </c>
      <c r="K123" s="223">
        <v>0</v>
      </c>
      <c r="L123" s="223">
        <v>0</v>
      </c>
      <c r="M123" s="223">
        <v>0</v>
      </c>
      <c r="N123" s="223">
        <v>0</v>
      </c>
      <c r="O123" s="223">
        <v>0</v>
      </c>
    </row>
    <row r="124" spans="2:15" x14ac:dyDescent="0.3">
      <c r="B124" s="3"/>
      <c r="C124" s="332" t="s">
        <v>2905</v>
      </c>
      <c r="D124" s="223">
        <v>0</v>
      </c>
      <c r="E124" s="223">
        <v>0</v>
      </c>
      <c r="F124" s="223">
        <v>0</v>
      </c>
      <c r="G124" s="223">
        <v>0</v>
      </c>
      <c r="H124" s="1170">
        <v>0.7</v>
      </c>
      <c r="I124" s="223">
        <v>0</v>
      </c>
      <c r="J124" s="223">
        <v>0</v>
      </c>
      <c r="K124" s="223">
        <v>0</v>
      </c>
      <c r="L124" s="223">
        <v>0</v>
      </c>
      <c r="M124" s="223">
        <v>0</v>
      </c>
      <c r="N124" s="223">
        <v>0</v>
      </c>
      <c r="O124" s="223">
        <v>0</v>
      </c>
    </row>
    <row r="125" spans="2:15" x14ac:dyDescent="0.3">
      <c r="B125" s="3"/>
      <c r="C125" s="332" t="s">
        <v>2906</v>
      </c>
      <c r="D125" s="223">
        <v>0</v>
      </c>
      <c r="E125" s="223">
        <v>0</v>
      </c>
      <c r="F125" s="223">
        <v>0</v>
      </c>
      <c r="G125" s="223">
        <v>0</v>
      </c>
      <c r="H125" s="1170">
        <v>1</v>
      </c>
      <c r="I125" s="223">
        <v>0</v>
      </c>
      <c r="J125" s="223">
        <v>0</v>
      </c>
      <c r="K125" s="223">
        <v>0</v>
      </c>
      <c r="L125" s="223">
        <v>0</v>
      </c>
      <c r="M125" s="223">
        <v>0</v>
      </c>
      <c r="N125" s="223">
        <v>0</v>
      </c>
      <c r="O125" s="223">
        <v>0</v>
      </c>
    </row>
    <row r="126" spans="2:15" x14ac:dyDescent="0.3">
      <c r="B126" s="3"/>
      <c r="C126" s="332" t="s">
        <v>2907</v>
      </c>
      <c r="D126" s="223">
        <v>0</v>
      </c>
      <c r="E126" s="223">
        <v>0</v>
      </c>
      <c r="F126" s="223">
        <v>0</v>
      </c>
      <c r="G126" s="223">
        <v>0</v>
      </c>
      <c r="H126" s="1170">
        <v>2</v>
      </c>
      <c r="I126" s="223">
        <v>0</v>
      </c>
      <c r="J126" s="223">
        <v>0</v>
      </c>
      <c r="K126" s="223">
        <v>0</v>
      </c>
      <c r="L126" s="223">
        <v>0</v>
      </c>
      <c r="M126" s="223">
        <v>0</v>
      </c>
      <c r="N126" s="223">
        <v>0</v>
      </c>
      <c r="O126" s="223">
        <v>0</v>
      </c>
    </row>
    <row r="127" spans="2:15" x14ac:dyDescent="0.3">
      <c r="B127" s="3"/>
      <c r="C127" s="332" t="s">
        <v>2908</v>
      </c>
      <c r="D127" s="223">
        <v>0</v>
      </c>
      <c r="E127" s="223">
        <v>0</v>
      </c>
      <c r="F127" s="223">
        <v>0</v>
      </c>
      <c r="G127" s="223">
        <v>0</v>
      </c>
      <c r="H127" s="1170">
        <v>1</v>
      </c>
      <c r="I127" s="223">
        <v>0</v>
      </c>
      <c r="J127" s="223">
        <v>0</v>
      </c>
      <c r="K127" s="223">
        <v>0</v>
      </c>
      <c r="L127" s="223">
        <v>0</v>
      </c>
      <c r="M127" s="223">
        <v>0</v>
      </c>
      <c r="N127" s="223">
        <v>0</v>
      </c>
      <c r="O127" s="223">
        <v>0</v>
      </c>
    </row>
    <row r="128" spans="2:15" ht="30" x14ac:dyDescent="0.3">
      <c r="B128" s="3"/>
      <c r="C128" s="1176" t="s">
        <v>3077</v>
      </c>
      <c r="D128" s="223">
        <v>0</v>
      </c>
      <c r="E128" s="223">
        <v>0</v>
      </c>
      <c r="F128" s="223">
        <v>0</v>
      </c>
      <c r="G128" s="223">
        <v>0</v>
      </c>
      <c r="H128" s="1170" t="s">
        <v>3076</v>
      </c>
      <c r="I128" s="223">
        <v>0</v>
      </c>
      <c r="J128" s="223">
        <v>0</v>
      </c>
      <c r="K128" s="223">
        <v>0</v>
      </c>
      <c r="L128" s="223">
        <v>0</v>
      </c>
      <c r="M128" s="223">
        <v>0</v>
      </c>
      <c r="N128" s="223">
        <v>0</v>
      </c>
      <c r="O128" s="223">
        <v>0</v>
      </c>
    </row>
    <row r="129" spans="2:19" x14ac:dyDescent="0.3">
      <c r="B129" s="3"/>
      <c r="C129" s="332" t="s">
        <v>2909</v>
      </c>
      <c r="D129" s="223">
        <v>0</v>
      </c>
      <c r="E129" s="223">
        <v>0</v>
      </c>
      <c r="F129" s="223">
        <v>0</v>
      </c>
      <c r="G129" s="223">
        <v>0</v>
      </c>
      <c r="H129" s="1170" t="s">
        <v>1483</v>
      </c>
      <c r="I129" s="223">
        <v>0</v>
      </c>
      <c r="J129" s="223">
        <v>0</v>
      </c>
      <c r="K129" s="223">
        <v>0</v>
      </c>
      <c r="L129" s="223">
        <v>0</v>
      </c>
      <c r="M129" s="223">
        <v>0</v>
      </c>
      <c r="N129" s="223">
        <v>0</v>
      </c>
      <c r="O129" s="223">
        <v>0</v>
      </c>
    </row>
    <row r="130" spans="2:19" ht="28" x14ac:dyDescent="0.3">
      <c r="B130" s="3"/>
      <c r="C130" s="332" t="s">
        <v>2910</v>
      </c>
      <c r="D130" s="223">
        <v>0</v>
      </c>
      <c r="E130" s="223">
        <v>0</v>
      </c>
      <c r="F130" s="223">
        <v>0</v>
      </c>
      <c r="G130" s="223">
        <v>0</v>
      </c>
      <c r="H130" s="1170">
        <v>2</v>
      </c>
      <c r="I130" s="223">
        <v>0</v>
      </c>
      <c r="J130" s="223">
        <v>0</v>
      </c>
      <c r="K130" s="223">
        <v>0</v>
      </c>
      <c r="L130" s="223">
        <v>0</v>
      </c>
      <c r="M130" s="223">
        <v>0</v>
      </c>
      <c r="N130" s="223">
        <v>0</v>
      </c>
      <c r="O130" s="223">
        <v>0</v>
      </c>
    </row>
    <row r="131" spans="2:19" x14ac:dyDescent="0.3">
      <c r="B131" s="1117"/>
      <c r="C131" s="332" t="s">
        <v>2911</v>
      </c>
      <c r="D131" s="235">
        <v>0</v>
      </c>
      <c r="E131" s="235">
        <v>0</v>
      </c>
      <c r="F131" s="235">
        <v>0</v>
      </c>
      <c r="G131" s="216">
        <v>0</v>
      </c>
      <c r="H131" s="1170">
        <v>2</v>
      </c>
      <c r="I131" s="216">
        <v>0</v>
      </c>
      <c r="J131" s="216">
        <v>0</v>
      </c>
      <c r="K131" s="235">
        <v>0</v>
      </c>
      <c r="L131" s="235">
        <v>0</v>
      </c>
      <c r="M131" s="235">
        <v>0</v>
      </c>
      <c r="N131" s="235">
        <v>0</v>
      </c>
      <c r="O131" s="235">
        <v>0</v>
      </c>
      <c r="P131" s="2"/>
      <c r="Q131" s="2"/>
      <c r="R131" s="2"/>
      <c r="S131" s="1118"/>
    </row>
    <row r="132" spans="2:19" x14ac:dyDescent="0.3">
      <c r="B132" s="3"/>
      <c r="C132" s="332" t="s">
        <v>2912</v>
      </c>
      <c r="D132" s="223">
        <v>0</v>
      </c>
      <c r="E132" s="223">
        <v>0</v>
      </c>
      <c r="F132" s="223">
        <v>0</v>
      </c>
      <c r="G132" s="223">
        <v>0</v>
      </c>
      <c r="H132" s="1170">
        <v>1.5</v>
      </c>
      <c r="I132" s="223">
        <v>0</v>
      </c>
      <c r="J132" s="223">
        <v>0</v>
      </c>
      <c r="K132" s="223">
        <v>0</v>
      </c>
      <c r="L132" s="223">
        <v>0</v>
      </c>
      <c r="M132" s="223">
        <v>0</v>
      </c>
      <c r="N132" s="223">
        <v>0</v>
      </c>
      <c r="O132" s="223">
        <v>0</v>
      </c>
    </row>
    <row r="133" spans="2:19" x14ac:dyDescent="0.3">
      <c r="B133" s="3"/>
      <c r="C133" s="332" t="s">
        <v>2913</v>
      </c>
      <c r="D133" s="223">
        <v>0</v>
      </c>
      <c r="E133" s="223">
        <v>0</v>
      </c>
      <c r="F133" s="223">
        <v>0</v>
      </c>
      <c r="G133" s="223">
        <v>0</v>
      </c>
      <c r="H133" s="1170">
        <v>4</v>
      </c>
      <c r="I133" s="223">
        <v>0</v>
      </c>
      <c r="J133" s="223">
        <v>0</v>
      </c>
      <c r="K133" s="223">
        <v>0</v>
      </c>
      <c r="L133" s="223">
        <v>0</v>
      </c>
      <c r="M133" s="223">
        <v>0</v>
      </c>
      <c r="N133" s="223">
        <v>0</v>
      </c>
      <c r="O133" s="223">
        <v>0</v>
      </c>
    </row>
    <row r="134" spans="2:19" x14ac:dyDescent="0.3">
      <c r="B134" s="3"/>
      <c r="C134" s="332" t="s">
        <v>2914</v>
      </c>
      <c r="D134" s="223">
        <v>0</v>
      </c>
      <c r="E134" s="223">
        <v>0</v>
      </c>
      <c r="F134" s="223">
        <v>0</v>
      </c>
      <c r="G134" s="223">
        <v>0</v>
      </c>
      <c r="H134" s="1170">
        <v>3</v>
      </c>
      <c r="I134" s="223">
        <v>0</v>
      </c>
      <c r="J134" s="223">
        <v>0</v>
      </c>
      <c r="K134" s="223">
        <v>0</v>
      </c>
      <c r="L134" s="223">
        <v>0</v>
      </c>
      <c r="M134" s="223">
        <v>0</v>
      </c>
      <c r="N134" s="223">
        <v>0</v>
      </c>
      <c r="O134" s="223">
        <v>0</v>
      </c>
    </row>
    <row r="135" spans="2:19" x14ac:dyDescent="0.3">
      <c r="B135" s="3"/>
      <c r="C135" s="332" t="s">
        <v>2915</v>
      </c>
      <c r="D135" s="223">
        <v>0</v>
      </c>
      <c r="E135" s="223">
        <v>0</v>
      </c>
      <c r="F135" s="223">
        <v>0</v>
      </c>
      <c r="G135" s="223">
        <v>0</v>
      </c>
      <c r="H135" s="1170">
        <v>4</v>
      </c>
      <c r="I135" s="223">
        <v>0</v>
      </c>
      <c r="J135" s="223">
        <v>0</v>
      </c>
      <c r="K135" s="223">
        <v>0</v>
      </c>
      <c r="L135" s="223">
        <v>0</v>
      </c>
      <c r="M135" s="223">
        <v>0</v>
      </c>
      <c r="N135" s="223">
        <v>0</v>
      </c>
      <c r="O135" s="223">
        <v>0</v>
      </c>
    </row>
    <row r="136" spans="2:19" x14ac:dyDescent="0.3">
      <c r="B136" s="3"/>
      <c r="C136" s="332" t="s">
        <v>2916</v>
      </c>
      <c r="D136" s="223">
        <v>0</v>
      </c>
      <c r="E136" s="223">
        <v>0</v>
      </c>
      <c r="F136" s="223">
        <v>0</v>
      </c>
      <c r="G136" s="223">
        <v>0</v>
      </c>
      <c r="H136" s="1170">
        <v>1</v>
      </c>
      <c r="I136" s="223">
        <v>0</v>
      </c>
      <c r="J136" s="223">
        <v>0</v>
      </c>
      <c r="K136" s="223">
        <v>0</v>
      </c>
      <c r="L136" s="223">
        <v>0</v>
      </c>
      <c r="M136" s="223">
        <v>0</v>
      </c>
      <c r="N136" s="223">
        <v>0</v>
      </c>
      <c r="O136" s="223">
        <v>0</v>
      </c>
    </row>
    <row r="137" spans="2:19" x14ac:dyDescent="0.3">
      <c r="B137" s="3"/>
      <c r="C137" s="332" t="s">
        <v>2917</v>
      </c>
      <c r="D137" s="223">
        <v>0</v>
      </c>
      <c r="E137" s="223">
        <v>0</v>
      </c>
      <c r="F137" s="223">
        <v>0</v>
      </c>
      <c r="G137" s="223">
        <v>0</v>
      </c>
      <c r="H137" s="1170">
        <v>1</v>
      </c>
      <c r="I137" s="223">
        <v>0</v>
      </c>
      <c r="J137" s="223">
        <v>0</v>
      </c>
      <c r="K137" s="223">
        <v>0</v>
      </c>
      <c r="L137" s="223">
        <v>0</v>
      </c>
      <c r="M137" s="223">
        <v>0</v>
      </c>
      <c r="N137" s="223">
        <v>0</v>
      </c>
      <c r="O137" s="223">
        <v>0</v>
      </c>
    </row>
    <row r="138" spans="2:19" x14ac:dyDescent="0.3">
      <c r="B138" s="3"/>
      <c r="C138" s="332" t="s">
        <v>2918</v>
      </c>
      <c r="D138" s="223">
        <v>0</v>
      </c>
      <c r="E138" s="223">
        <v>0</v>
      </c>
      <c r="F138" s="223">
        <v>0</v>
      </c>
      <c r="G138" s="223">
        <v>0</v>
      </c>
      <c r="H138" s="1170">
        <v>0.5</v>
      </c>
      <c r="I138" s="223">
        <v>0</v>
      </c>
      <c r="J138" s="223">
        <v>0</v>
      </c>
      <c r="K138" s="223">
        <v>0</v>
      </c>
      <c r="L138" s="223">
        <v>0</v>
      </c>
      <c r="M138" s="223">
        <v>0</v>
      </c>
      <c r="N138" s="223">
        <v>0</v>
      </c>
      <c r="O138" s="223">
        <v>0</v>
      </c>
    </row>
    <row r="139" spans="2:19" x14ac:dyDescent="0.3">
      <c r="B139" s="3"/>
      <c r="C139" s="332" t="s">
        <v>2919</v>
      </c>
      <c r="D139" s="223">
        <v>0</v>
      </c>
      <c r="E139" s="223">
        <v>0</v>
      </c>
      <c r="F139" s="223">
        <v>0</v>
      </c>
      <c r="G139" s="223">
        <v>0</v>
      </c>
      <c r="H139" s="1170">
        <v>3</v>
      </c>
      <c r="I139" s="223">
        <v>0</v>
      </c>
      <c r="J139" s="223">
        <v>0</v>
      </c>
      <c r="K139" s="223">
        <v>0</v>
      </c>
      <c r="L139" s="223">
        <v>0</v>
      </c>
      <c r="M139" s="223">
        <v>0</v>
      </c>
      <c r="N139" s="223">
        <v>0</v>
      </c>
      <c r="O139" s="223">
        <v>0</v>
      </c>
    </row>
    <row r="140" spans="2:19" x14ac:dyDescent="0.3">
      <c r="B140" s="3"/>
      <c r="C140" s="332" t="s">
        <v>2920</v>
      </c>
      <c r="D140" s="223">
        <v>0</v>
      </c>
      <c r="E140" s="223">
        <v>0</v>
      </c>
      <c r="F140" s="223">
        <v>0</v>
      </c>
      <c r="G140" s="223">
        <v>0</v>
      </c>
      <c r="H140" s="1170">
        <v>1</v>
      </c>
      <c r="I140" s="223">
        <v>0</v>
      </c>
      <c r="J140" s="223">
        <v>0</v>
      </c>
      <c r="K140" s="223">
        <v>0</v>
      </c>
      <c r="L140" s="223">
        <v>0</v>
      </c>
      <c r="M140" s="223">
        <v>0</v>
      </c>
      <c r="N140" s="223">
        <v>0</v>
      </c>
      <c r="O140" s="223">
        <v>0</v>
      </c>
    </row>
    <row r="141" spans="2:19" ht="30" x14ac:dyDescent="0.3">
      <c r="B141" s="3"/>
      <c r="C141" s="1176" t="s">
        <v>3078</v>
      </c>
      <c r="D141" s="223">
        <v>0</v>
      </c>
      <c r="E141" s="223">
        <v>0</v>
      </c>
      <c r="F141" s="223">
        <v>0</v>
      </c>
      <c r="G141" s="223">
        <v>0</v>
      </c>
      <c r="H141" s="1170" t="s">
        <v>3076</v>
      </c>
      <c r="I141" s="223">
        <v>0</v>
      </c>
      <c r="J141" s="223">
        <v>0</v>
      </c>
      <c r="K141" s="223">
        <v>0</v>
      </c>
      <c r="L141" s="223">
        <v>0</v>
      </c>
      <c r="M141" s="223">
        <v>0</v>
      </c>
      <c r="N141" s="223">
        <v>0</v>
      </c>
      <c r="O141" s="223">
        <v>0</v>
      </c>
    </row>
    <row r="142" spans="2:19" ht="28" x14ac:dyDescent="0.3">
      <c r="B142" s="3"/>
      <c r="C142" s="332" t="s">
        <v>2921</v>
      </c>
      <c r="D142" s="223">
        <v>0</v>
      </c>
      <c r="E142" s="223">
        <v>0</v>
      </c>
      <c r="F142" s="223">
        <v>0</v>
      </c>
      <c r="G142" s="223">
        <v>0</v>
      </c>
      <c r="H142" s="1170" t="s">
        <v>1483</v>
      </c>
      <c r="I142" s="223">
        <v>0</v>
      </c>
      <c r="J142" s="223">
        <v>0</v>
      </c>
      <c r="K142" s="223">
        <v>0</v>
      </c>
      <c r="L142" s="223">
        <v>0</v>
      </c>
      <c r="M142" s="223">
        <v>0</v>
      </c>
      <c r="N142" s="223">
        <v>0</v>
      </c>
      <c r="O142" s="223">
        <v>0</v>
      </c>
    </row>
    <row r="143" spans="2:19" x14ac:dyDescent="0.3">
      <c r="B143" s="3"/>
      <c r="C143" s="332" t="s">
        <v>2922</v>
      </c>
      <c r="D143" s="223">
        <v>0</v>
      </c>
      <c r="E143" s="223">
        <v>0</v>
      </c>
      <c r="F143" s="223">
        <v>0</v>
      </c>
      <c r="G143" s="223">
        <v>0</v>
      </c>
      <c r="H143" s="1170" t="s">
        <v>1483</v>
      </c>
      <c r="I143" s="223">
        <v>0</v>
      </c>
      <c r="J143" s="223">
        <v>0</v>
      </c>
      <c r="K143" s="223">
        <v>0</v>
      </c>
      <c r="L143" s="223">
        <v>0</v>
      </c>
      <c r="M143" s="223">
        <v>0</v>
      </c>
      <c r="N143" s="223">
        <v>0</v>
      </c>
      <c r="O143" s="223">
        <v>0</v>
      </c>
    </row>
    <row r="144" spans="2:19" x14ac:dyDescent="0.3">
      <c r="B144" s="3"/>
      <c r="C144" s="332" t="s">
        <v>2923</v>
      </c>
      <c r="D144" s="223">
        <v>0</v>
      </c>
      <c r="E144" s="223">
        <v>0</v>
      </c>
      <c r="F144" s="223">
        <v>0</v>
      </c>
      <c r="G144" s="223">
        <v>0</v>
      </c>
      <c r="H144" s="1170" t="s">
        <v>1483</v>
      </c>
      <c r="I144" s="223">
        <v>0</v>
      </c>
      <c r="J144" s="223">
        <v>0</v>
      </c>
      <c r="K144" s="223">
        <v>0</v>
      </c>
      <c r="L144" s="223">
        <v>0</v>
      </c>
      <c r="M144" s="223">
        <v>0</v>
      </c>
      <c r="N144" s="223">
        <v>0</v>
      </c>
      <c r="O144" s="223">
        <v>0</v>
      </c>
    </row>
    <row r="145" spans="2:15" ht="28" x14ac:dyDescent="0.3">
      <c r="B145" s="3"/>
      <c r="C145" s="332" t="s">
        <v>2924</v>
      </c>
      <c r="D145" s="223">
        <v>0</v>
      </c>
      <c r="E145" s="223">
        <v>0</v>
      </c>
      <c r="F145" s="223">
        <v>0</v>
      </c>
      <c r="G145" s="223">
        <v>0</v>
      </c>
      <c r="H145" s="1170" t="s">
        <v>1483</v>
      </c>
      <c r="I145" s="223">
        <v>0</v>
      </c>
      <c r="J145" s="223">
        <v>0</v>
      </c>
      <c r="K145" s="223">
        <v>0</v>
      </c>
      <c r="L145" s="223">
        <v>0</v>
      </c>
      <c r="M145" s="223">
        <v>0</v>
      </c>
      <c r="N145" s="223">
        <v>0</v>
      </c>
      <c r="O145" s="223">
        <v>0</v>
      </c>
    </row>
    <row r="146" spans="2:15" ht="28" x14ac:dyDescent="0.3">
      <c r="B146" s="3"/>
      <c r="C146" s="332" t="s">
        <v>2925</v>
      </c>
      <c r="D146" s="223">
        <v>0</v>
      </c>
      <c r="E146" s="223">
        <v>0</v>
      </c>
      <c r="F146" s="223">
        <v>0</v>
      </c>
      <c r="G146" s="223">
        <v>0</v>
      </c>
      <c r="H146" s="1170" t="s">
        <v>1483</v>
      </c>
      <c r="I146" s="223">
        <v>0</v>
      </c>
      <c r="J146" s="223">
        <v>0</v>
      </c>
      <c r="K146" s="223">
        <v>0</v>
      </c>
      <c r="L146" s="223">
        <v>0</v>
      </c>
      <c r="M146" s="223">
        <v>0</v>
      </c>
      <c r="N146" s="223">
        <v>0</v>
      </c>
      <c r="O146" s="223">
        <v>0</v>
      </c>
    </row>
    <row r="147" spans="2:15" ht="28" x14ac:dyDescent="0.3">
      <c r="B147" s="3"/>
      <c r="C147" s="332" t="s">
        <v>2926</v>
      </c>
      <c r="D147" s="223">
        <v>0</v>
      </c>
      <c r="E147" s="223">
        <v>0</v>
      </c>
      <c r="F147" s="223">
        <v>0</v>
      </c>
      <c r="G147" s="223">
        <v>0</v>
      </c>
      <c r="H147" s="1170">
        <v>0.6</v>
      </c>
      <c r="I147" s="223">
        <v>0</v>
      </c>
      <c r="J147" s="223">
        <v>0</v>
      </c>
      <c r="K147" s="223">
        <v>0</v>
      </c>
      <c r="L147" s="223">
        <v>0</v>
      </c>
      <c r="M147" s="223">
        <v>0</v>
      </c>
      <c r="N147" s="223">
        <v>0</v>
      </c>
      <c r="O147" s="223">
        <v>0</v>
      </c>
    </row>
    <row r="148" spans="2:15" ht="30" x14ac:dyDescent="0.3">
      <c r="B148" s="3"/>
      <c r="C148" s="1176" t="s">
        <v>3079</v>
      </c>
      <c r="D148" s="223">
        <v>0</v>
      </c>
      <c r="E148" s="223">
        <v>0</v>
      </c>
      <c r="F148" s="223">
        <v>0</v>
      </c>
      <c r="G148" s="223">
        <v>0</v>
      </c>
      <c r="H148" s="1170" t="s">
        <v>3076</v>
      </c>
      <c r="I148" s="223">
        <v>0</v>
      </c>
      <c r="J148" s="223">
        <v>0</v>
      </c>
      <c r="K148" s="223">
        <v>0</v>
      </c>
      <c r="L148" s="223">
        <v>0</v>
      </c>
      <c r="M148" s="223">
        <v>0</v>
      </c>
      <c r="N148" s="223">
        <v>0</v>
      </c>
      <c r="O148" s="223">
        <v>0</v>
      </c>
    </row>
    <row r="149" spans="2:15" x14ac:dyDescent="0.3">
      <c r="B149" s="3"/>
      <c r="C149" s="332" t="s">
        <v>2927</v>
      </c>
      <c r="D149" s="223">
        <v>0</v>
      </c>
      <c r="E149" s="223">
        <v>0</v>
      </c>
      <c r="F149" s="223">
        <v>0</v>
      </c>
      <c r="G149" s="223">
        <v>0</v>
      </c>
      <c r="H149" s="1170" t="s">
        <v>1483</v>
      </c>
      <c r="I149" s="223">
        <v>0</v>
      </c>
      <c r="J149" s="223">
        <v>0</v>
      </c>
      <c r="K149" s="223">
        <v>0</v>
      </c>
      <c r="L149" s="223">
        <v>0</v>
      </c>
      <c r="M149" s="223">
        <v>0</v>
      </c>
      <c r="N149" s="223">
        <v>0</v>
      </c>
      <c r="O149" s="223">
        <v>0</v>
      </c>
    </row>
    <row r="150" spans="2:15" x14ac:dyDescent="0.3">
      <c r="B150" s="3"/>
      <c r="C150" s="332" t="s">
        <v>2928</v>
      </c>
      <c r="D150" s="223">
        <v>0</v>
      </c>
      <c r="E150" s="223">
        <v>0</v>
      </c>
      <c r="F150" s="223">
        <v>0</v>
      </c>
      <c r="G150" s="223">
        <v>0</v>
      </c>
      <c r="H150" s="1170" t="s">
        <v>1483</v>
      </c>
      <c r="I150" s="223">
        <v>0</v>
      </c>
      <c r="J150" s="223">
        <v>0</v>
      </c>
      <c r="K150" s="223">
        <v>0</v>
      </c>
      <c r="L150" s="223">
        <v>0</v>
      </c>
      <c r="M150" s="223">
        <v>0</v>
      </c>
      <c r="N150" s="223">
        <v>0</v>
      </c>
      <c r="O150" s="223">
        <v>0</v>
      </c>
    </row>
    <row r="151" spans="2:15" x14ac:dyDescent="0.3">
      <c r="B151" s="3"/>
      <c r="C151" s="332" t="s">
        <v>2929</v>
      </c>
      <c r="D151" s="223">
        <v>0</v>
      </c>
      <c r="E151" s="223">
        <v>0</v>
      </c>
      <c r="F151" s="223">
        <v>0</v>
      </c>
      <c r="G151" s="223">
        <v>0</v>
      </c>
      <c r="H151" s="1170" t="s">
        <v>1483</v>
      </c>
      <c r="I151" s="223">
        <v>0</v>
      </c>
      <c r="J151" s="223">
        <v>0</v>
      </c>
      <c r="K151" s="223">
        <v>0</v>
      </c>
      <c r="L151" s="223">
        <v>0</v>
      </c>
      <c r="M151" s="223">
        <v>0</v>
      </c>
      <c r="N151" s="223">
        <v>0</v>
      </c>
      <c r="O151" s="223">
        <v>0</v>
      </c>
    </row>
    <row r="152" spans="2:15" ht="28" x14ac:dyDescent="0.3">
      <c r="B152" s="3"/>
      <c r="C152" s="332" t="s">
        <v>2930</v>
      </c>
      <c r="D152" s="223">
        <v>0</v>
      </c>
      <c r="E152" s="223">
        <v>0</v>
      </c>
      <c r="F152" s="223">
        <v>0</v>
      </c>
      <c r="G152" s="223">
        <v>0</v>
      </c>
      <c r="H152" s="1170" t="s">
        <v>1483</v>
      </c>
      <c r="I152" s="223">
        <v>0</v>
      </c>
      <c r="J152" s="223">
        <v>0</v>
      </c>
      <c r="K152" s="223">
        <v>0</v>
      </c>
      <c r="L152" s="223">
        <v>0</v>
      </c>
      <c r="M152" s="223">
        <v>0</v>
      </c>
      <c r="N152" s="223">
        <v>0</v>
      </c>
      <c r="O152" s="223">
        <v>0</v>
      </c>
    </row>
    <row r="153" spans="2:15" x14ac:dyDescent="0.3">
      <c r="B153" s="3"/>
      <c r="C153" s="332" t="s">
        <v>2931</v>
      </c>
      <c r="D153" s="223">
        <v>0</v>
      </c>
      <c r="E153" s="223">
        <v>0</v>
      </c>
      <c r="F153" s="223">
        <v>0</v>
      </c>
      <c r="G153" s="223">
        <v>0</v>
      </c>
      <c r="H153" s="1170" t="s">
        <v>1483</v>
      </c>
      <c r="I153" s="223">
        <v>0</v>
      </c>
      <c r="J153" s="223">
        <v>0</v>
      </c>
      <c r="K153" s="223">
        <v>0</v>
      </c>
      <c r="L153" s="223">
        <v>0</v>
      </c>
      <c r="M153" s="223">
        <v>0</v>
      </c>
      <c r="N153" s="223">
        <v>0</v>
      </c>
      <c r="O153" s="223">
        <v>0</v>
      </c>
    </row>
    <row r="154" spans="2:15" x14ac:dyDescent="0.3">
      <c r="B154" s="3"/>
      <c r="C154" s="332" t="s">
        <v>2932</v>
      </c>
      <c r="D154" s="223">
        <v>0</v>
      </c>
      <c r="E154" s="223">
        <v>0</v>
      </c>
      <c r="F154" s="223">
        <v>0</v>
      </c>
      <c r="G154" s="223">
        <v>0</v>
      </c>
      <c r="H154" s="1170">
        <v>2</v>
      </c>
      <c r="I154" s="223">
        <v>0</v>
      </c>
      <c r="J154" s="223">
        <v>0</v>
      </c>
      <c r="K154" s="223">
        <v>0</v>
      </c>
      <c r="L154" s="223">
        <v>0</v>
      </c>
      <c r="M154" s="223">
        <v>0</v>
      </c>
      <c r="N154" s="223">
        <v>0</v>
      </c>
      <c r="O154" s="223">
        <v>0</v>
      </c>
    </row>
    <row r="155" spans="2:15" x14ac:dyDescent="0.3">
      <c r="B155" s="3"/>
      <c r="C155" s="332" t="s">
        <v>2933</v>
      </c>
      <c r="D155" s="223">
        <v>0</v>
      </c>
      <c r="E155" s="223">
        <v>0</v>
      </c>
      <c r="F155" s="223">
        <v>0</v>
      </c>
      <c r="G155" s="223">
        <v>0</v>
      </c>
      <c r="H155" s="1170">
        <v>2</v>
      </c>
      <c r="I155" s="223">
        <v>0</v>
      </c>
      <c r="J155" s="223">
        <v>0</v>
      </c>
      <c r="K155" s="223">
        <v>0</v>
      </c>
      <c r="L155" s="223">
        <v>0</v>
      </c>
      <c r="M155" s="223">
        <v>0</v>
      </c>
      <c r="N155" s="223">
        <v>0</v>
      </c>
      <c r="O155" s="223">
        <v>0</v>
      </c>
    </row>
    <row r="156" spans="2:15" x14ac:dyDescent="0.3">
      <c r="B156" s="3"/>
      <c r="C156" s="332" t="s">
        <v>2934</v>
      </c>
      <c r="D156" s="223">
        <v>0</v>
      </c>
      <c r="E156" s="223">
        <v>0</v>
      </c>
      <c r="F156" s="223">
        <v>0</v>
      </c>
      <c r="G156" s="223">
        <v>0</v>
      </c>
      <c r="H156" s="1170">
        <v>2</v>
      </c>
      <c r="I156" s="223">
        <v>0</v>
      </c>
      <c r="J156" s="223">
        <v>0</v>
      </c>
      <c r="K156" s="223">
        <v>0</v>
      </c>
      <c r="L156" s="223">
        <v>0</v>
      </c>
      <c r="M156" s="223">
        <v>0</v>
      </c>
      <c r="N156" s="223">
        <v>0</v>
      </c>
      <c r="O156" s="223">
        <v>0</v>
      </c>
    </row>
    <row r="157" spans="2:15" x14ac:dyDescent="0.3">
      <c r="B157" s="3"/>
      <c r="C157" s="332" t="s">
        <v>2935</v>
      </c>
      <c r="D157" s="223">
        <v>0</v>
      </c>
      <c r="E157" s="223">
        <v>0</v>
      </c>
      <c r="F157" s="223">
        <v>0</v>
      </c>
      <c r="G157" s="223">
        <v>0</v>
      </c>
      <c r="H157" s="1170">
        <v>3</v>
      </c>
      <c r="I157" s="223">
        <v>0</v>
      </c>
      <c r="J157" s="223">
        <v>0</v>
      </c>
      <c r="K157" s="223">
        <v>0</v>
      </c>
      <c r="L157" s="223">
        <v>0</v>
      </c>
      <c r="M157" s="223">
        <v>0</v>
      </c>
      <c r="N157" s="223">
        <v>0</v>
      </c>
      <c r="O157" s="223">
        <v>0</v>
      </c>
    </row>
    <row r="158" spans="2:15" ht="30" x14ac:dyDescent="0.3">
      <c r="B158" s="3"/>
      <c r="C158" s="1176" t="s">
        <v>3080</v>
      </c>
      <c r="D158" s="223">
        <v>0</v>
      </c>
      <c r="E158" s="223">
        <v>0</v>
      </c>
      <c r="F158" s="223">
        <v>0</v>
      </c>
      <c r="G158" s="223">
        <v>0</v>
      </c>
      <c r="H158" s="1170" t="s">
        <v>3076</v>
      </c>
      <c r="I158" s="223">
        <v>0</v>
      </c>
      <c r="J158" s="223">
        <v>0</v>
      </c>
      <c r="K158" s="223">
        <v>0</v>
      </c>
      <c r="L158" s="223">
        <v>0</v>
      </c>
      <c r="M158" s="223">
        <v>0</v>
      </c>
      <c r="N158" s="223">
        <v>0</v>
      </c>
      <c r="O158" s="223">
        <v>0</v>
      </c>
    </row>
    <row r="159" spans="2:15" x14ac:dyDescent="0.3">
      <c r="B159" s="3"/>
      <c r="C159" s="332" t="s">
        <v>2936</v>
      </c>
      <c r="D159" s="223">
        <v>0</v>
      </c>
      <c r="E159" s="223">
        <v>0</v>
      </c>
      <c r="F159" s="223">
        <v>0</v>
      </c>
      <c r="G159" s="223">
        <v>0</v>
      </c>
      <c r="H159" s="1170" t="s">
        <v>1483</v>
      </c>
      <c r="I159" s="223">
        <v>0</v>
      </c>
      <c r="J159" s="223">
        <v>0</v>
      </c>
      <c r="K159" s="223">
        <v>0</v>
      </c>
      <c r="L159" s="223">
        <v>0</v>
      </c>
      <c r="M159" s="223">
        <v>0</v>
      </c>
      <c r="N159" s="223">
        <v>0</v>
      </c>
      <c r="O159" s="223">
        <v>0</v>
      </c>
    </row>
    <row r="160" spans="2:15" ht="28" x14ac:dyDescent="0.3">
      <c r="B160" s="3"/>
      <c r="C160" s="332" t="s">
        <v>2937</v>
      </c>
      <c r="D160" s="223">
        <v>0</v>
      </c>
      <c r="E160" s="223">
        <v>0</v>
      </c>
      <c r="F160" s="223">
        <v>0</v>
      </c>
      <c r="G160" s="223">
        <v>0</v>
      </c>
      <c r="H160" s="1170" t="s">
        <v>1483</v>
      </c>
      <c r="I160" s="223">
        <v>0</v>
      </c>
      <c r="J160" s="223">
        <v>0</v>
      </c>
      <c r="K160" s="223">
        <v>0</v>
      </c>
      <c r="L160" s="223">
        <v>0</v>
      </c>
      <c r="M160" s="223">
        <v>0</v>
      </c>
      <c r="N160" s="223">
        <v>0</v>
      </c>
      <c r="O160" s="223">
        <v>0</v>
      </c>
    </row>
    <row r="161" spans="2:15" ht="42" x14ac:dyDescent="0.3">
      <c r="B161" s="3"/>
      <c r="C161" s="332" t="s">
        <v>2938</v>
      </c>
      <c r="D161" s="223">
        <v>0</v>
      </c>
      <c r="E161" s="223">
        <v>0</v>
      </c>
      <c r="F161" s="223">
        <v>0</v>
      </c>
      <c r="G161" s="223">
        <v>0</v>
      </c>
      <c r="H161" s="1170">
        <v>5</v>
      </c>
      <c r="I161" s="223">
        <v>0</v>
      </c>
      <c r="J161" s="223">
        <v>0</v>
      </c>
      <c r="K161" s="223">
        <v>0</v>
      </c>
      <c r="L161" s="223">
        <v>0</v>
      </c>
      <c r="M161" s="223">
        <v>0</v>
      </c>
      <c r="N161" s="223">
        <v>0</v>
      </c>
      <c r="O161" s="223">
        <v>0</v>
      </c>
    </row>
    <row r="162" spans="2:15" x14ac:dyDescent="0.3">
      <c r="B162" s="3"/>
      <c r="C162" s="332" t="s">
        <v>2939</v>
      </c>
      <c r="D162" s="223">
        <v>0</v>
      </c>
      <c r="E162" s="223">
        <v>0</v>
      </c>
      <c r="F162" s="223">
        <v>0</v>
      </c>
      <c r="G162" s="223">
        <v>0</v>
      </c>
      <c r="H162" s="1170">
        <v>1</v>
      </c>
      <c r="I162" s="223">
        <v>0</v>
      </c>
      <c r="J162" s="223">
        <v>0</v>
      </c>
      <c r="K162" s="223">
        <v>0</v>
      </c>
      <c r="L162" s="223">
        <v>0</v>
      </c>
      <c r="M162" s="223">
        <v>0</v>
      </c>
      <c r="N162" s="223">
        <v>0</v>
      </c>
      <c r="O162" s="223">
        <v>0</v>
      </c>
    </row>
    <row r="163" spans="2:15" x14ac:dyDescent="0.3">
      <c r="B163" s="3"/>
      <c r="C163" s="332" t="s">
        <v>2940</v>
      </c>
      <c r="D163" s="223">
        <v>0</v>
      </c>
      <c r="E163" s="223">
        <v>0</v>
      </c>
      <c r="F163" s="223">
        <v>0</v>
      </c>
      <c r="G163" s="223">
        <v>0</v>
      </c>
      <c r="H163" s="1170">
        <v>5</v>
      </c>
      <c r="I163" s="223">
        <v>0</v>
      </c>
      <c r="J163" s="223">
        <v>0</v>
      </c>
      <c r="K163" s="223">
        <v>0</v>
      </c>
      <c r="L163" s="223">
        <v>0</v>
      </c>
      <c r="M163" s="223">
        <v>0</v>
      </c>
      <c r="N163" s="223">
        <v>0</v>
      </c>
      <c r="O163" s="223">
        <v>0</v>
      </c>
    </row>
    <row r="164" spans="2:15" ht="28" x14ac:dyDescent="0.3">
      <c r="B164" s="3"/>
      <c r="C164" s="332" t="s">
        <v>2941</v>
      </c>
      <c r="D164" s="223">
        <v>0</v>
      </c>
      <c r="E164" s="223">
        <v>0</v>
      </c>
      <c r="F164" s="223">
        <v>0</v>
      </c>
      <c r="G164" s="223">
        <v>0</v>
      </c>
      <c r="H164" s="1170">
        <v>10</v>
      </c>
      <c r="I164" s="223">
        <v>0</v>
      </c>
      <c r="J164" s="223">
        <v>0</v>
      </c>
      <c r="K164" s="223">
        <v>0</v>
      </c>
      <c r="L164" s="223">
        <v>0</v>
      </c>
      <c r="M164" s="223">
        <v>0</v>
      </c>
      <c r="N164" s="223">
        <v>0</v>
      </c>
      <c r="O164" s="223">
        <v>0</v>
      </c>
    </row>
    <row r="165" spans="2:15" ht="28" x14ac:dyDescent="0.3">
      <c r="B165" s="3"/>
      <c r="C165" s="332" t="s">
        <v>2942</v>
      </c>
      <c r="D165" s="223">
        <v>0</v>
      </c>
      <c r="E165" s="223">
        <v>0</v>
      </c>
      <c r="F165" s="223">
        <v>0</v>
      </c>
      <c r="G165" s="223">
        <v>0</v>
      </c>
      <c r="H165" s="1170">
        <v>5</v>
      </c>
      <c r="I165" s="223">
        <v>0</v>
      </c>
      <c r="J165" s="223">
        <v>0</v>
      </c>
      <c r="K165" s="223">
        <v>0</v>
      </c>
      <c r="L165" s="223">
        <v>0</v>
      </c>
      <c r="M165" s="223">
        <v>0</v>
      </c>
      <c r="N165" s="223">
        <v>0</v>
      </c>
      <c r="O165" s="223">
        <v>0</v>
      </c>
    </row>
    <row r="166" spans="2:15" ht="28" x14ac:dyDescent="0.3">
      <c r="B166" s="3"/>
      <c r="C166" s="332" t="s">
        <v>2943</v>
      </c>
      <c r="D166" s="223">
        <v>0</v>
      </c>
      <c r="E166" s="223">
        <v>0</v>
      </c>
      <c r="F166" s="223">
        <v>0</v>
      </c>
      <c r="G166" s="223">
        <v>0</v>
      </c>
      <c r="H166" s="1170">
        <v>0.5</v>
      </c>
      <c r="I166" s="223">
        <v>0</v>
      </c>
      <c r="J166" s="223">
        <v>0</v>
      </c>
      <c r="K166" s="223">
        <v>0</v>
      </c>
      <c r="L166" s="223">
        <v>0</v>
      </c>
      <c r="M166" s="223">
        <v>0</v>
      </c>
      <c r="N166" s="223">
        <v>0</v>
      </c>
      <c r="O166" s="223">
        <v>0</v>
      </c>
    </row>
    <row r="167" spans="2:15" x14ac:dyDescent="0.3">
      <c r="B167" s="3"/>
      <c r="C167" s="332" t="s">
        <v>2944</v>
      </c>
      <c r="D167" s="223">
        <v>0</v>
      </c>
      <c r="E167" s="223">
        <v>0</v>
      </c>
      <c r="F167" s="223">
        <v>0</v>
      </c>
      <c r="G167" s="223">
        <v>0</v>
      </c>
      <c r="H167" s="1170">
        <v>1.65</v>
      </c>
      <c r="I167" s="223">
        <v>0</v>
      </c>
      <c r="J167" s="223">
        <v>0</v>
      </c>
      <c r="K167" s="223">
        <v>0</v>
      </c>
      <c r="L167" s="223">
        <v>0</v>
      </c>
      <c r="M167" s="223">
        <v>0</v>
      </c>
      <c r="N167" s="223">
        <v>0</v>
      </c>
      <c r="O167" s="223">
        <v>0</v>
      </c>
    </row>
    <row r="168" spans="2:15" ht="30" x14ac:dyDescent="0.3">
      <c r="B168" s="3"/>
      <c r="C168" s="1176" t="s">
        <v>3080</v>
      </c>
      <c r="D168" s="223">
        <v>0</v>
      </c>
      <c r="E168" s="223">
        <v>0</v>
      </c>
      <c r="F168" s="223">
        <v>0</v>
      </c>
      <c r="G168" s="223">
        <v>0</v>
      </c>
      <c r="H168" s="1170" t="s">
        <v>3076</v>
      </c>
      <c r="I168" s="223">
        <v>0</v>
      </c>
      <c r="J168" s="223">
        <v>0</v>
      </c>
      <c r="K168" s="223">
        <v>0</v>
      </c>
      <c r="L168" s="223">
        <v>0</v>
      </c>
      <c r="M168" s="223">
        <v>0</v>
      </c>
      <c r="N168" s="223">
        <v>0</v>
      </c>
      <c r="O168" s="223">
        <v>0</v>
      </c>
    </row>
    <row r="169" spans="2:15" x14ac:dyDescent="0.3">
      <c r="B169" s="3"/>
      <c r="C169" s="332" t="s">
        <v>2945</v>
      </c>
      <c r="D169" s="223">
        <v>0</v>
      </c>
      <c r="E169" s="223">
        <v>0</v>
      </c>
      <c r="F169" s="223">
        <v>0</v>
      </c>
      <c r="G169" s="223">
        <v>0</v>
      </c>
      <c r="H169" s="1170" t="s">
        <v>1483</v>
      </c>
      <c r="I169" s="223">
        <v>0</v>
      </c>
      <c r="J169" s="223">
        <v>0</v>
      </c>
      <c r="K169" s="223">
        <v>0</v>
      </c>
      <c r="L169" s="223">
        <v>0</v>
      </c>
      <c r="M169" s="223">
        <v>0</v>
      </c>
      <c r="N169" s="223">
        <v>0</v>
      </c>
      <c r="O169" s="223">
        <v>0</v>
      </c>
    </row>
    <row r="170" spans="2:15" x14ac:dyDescent="0.3">
      <c r="B170" s="3"/>
      <c r="C170" s="332" t="s">
        <v>2946</v>
      </c>
      <c r="D170" s="223">
        <v>0</v>
      </c>
      <c r="E170" s="223">
        <v>0</v>
      </c>
      <c r="F170" s="223">
        <v>0</v>
      </c>
      <c r="G170" s="223">
        <v>0</v>
      </c>
      <c r="H170" s="1170" t="s">
        <v>1483</v>
      </c>
      <c r="I170" s="223">
        <v>0</v>
      </c>
      <c r="J170" s="223">
        <v>0</v>
      </c>
      <c r="K170" s="223">
        <v>0</v>
      </c>
      <c r="L170" s="223">
        <v>0</v>
      </c>
      <c r="M170" s="223">
        <v>0</v>
      </c>
      <c r="N170" s="223">
        <v>0</v>
      </c>
      <c r="O170" s="223">
        <v>0</v>
      </c>
    </row>
    <row r="171" spans="2:15" x14ac:dyDescent="0.3">
      <c r="B171" s="3"/>
      <c r="C171" s="332" t="s">
        <v>2947</v>
      </c>
      <c r="D171" s="223">
        <v>0</v>
      </c>
      <c r="E171" s="223">
        <v>0</v>
      </c>
      <c r="F171" s="223">
        <v>0</v>
      </c>
      <c r="G171" s="223">
        <v>0</v>
      </c>
      <c r="H171" s="1170" t="s">
        <v>1483</v>
      </c>
      <c r="I171" s="223">
        <v>0</v>
      </c>
      <c r="J171" s="223">
        <v>0</v>
      </c>
      <c r="K171" s="223">
        <v>0</v>
      </c>
      <c r="L171" s="223">
        <v>0</v>
      </c>
      <c r="M171" s="223">
        <v>0</v>
      </c>
      <c r="N171" s="223">
        <v>0</v>
      </c>
      <c r="O171" s="223">
        <v>0</v>
      </c>
    </row>
    <row r="172" spans="2:15" ht="28" x14ac:dyDescent="0.3">
      <c r="B172" s="3"/>
      <c r="C172" s="332" t="s">
        <v>2948</v>
      </c>
      <c r="D172" s="223">
        <v>0</v>
      </c>
      <c r="E172" s="223">
        <v>0</v>
      </c>
      <c r="F172" s="223">
        <v>0</v>
      </c>
      <c r="G172" s="223">
        <v>0</v>
      </c>
      <c r="H172" s="1170">
        <v>0</v>
      </c>
      <c r="I172" s="223">
        <v>0</v>
      </c>
      <c r="J172" s="223">
        <v>0</v>
      </c>
      <c r="K172" s="223">
        <v>0</v>
      </c>
      <c r="L172" s="223">
        <v>0</v>
      </c>
      <c r="M172" s="223">
        <v>0</v>
      </c>
      <c r="N172" s="223">
        <v>0</v>
      </c>
      <c r="O172" s="223">
        <v>0</v>
      </c>
    </row>
    <row r="173" spans="2:15" x14ac:dyDescent="0.3">
      <c r="B173" s="3"/>
      <c r="C173" s="332" t="s">
        <v>2949</v>
      </c>
      <c r="D173" s="223">
        <v>0</v>
      </c>
      <c r="E173" s="223">
        <v>0</v>
      </c>
      <c r="F173" s="223">
        <v>0</v>
      </c>
      <c r="G173" s="223">
        <v>0</v>
      </c>
      <c r="H173" s="1170">
        <v>2</v>
      </c>
      <c r="I173" s="223">
        <v>0</v>
      </c>
      <c r="J173" s="223">
        <v>0</v>
      </c>
      <c r="K173" s="223">
        <v>0</v>
      </c>
      <c r="L173" s="223">
        <v>0</v>
      </c>
      <c r="M173" s="223">
        <v>0</v>
      </c>
      <c r="N173" s="223">
        <v>0</v>
      </c>
      <c r="O173" s="223">
        <v>0</v>
      </c>
    </row>
    <row r="174" spans="2:15" ht="28" x14ac:dyDescent="0.3">
      <c r="B174" s="3"/>
      <c r="C174" s="332" t="s">
        <v>2950</v>
      </c>
      <c r="D174" s="223">
        <v>0</v>
      </c>
      <c r="E174" s="223">
        <v>0</v>
      </c>
      <c r="F174" s="223">
        <v>0</v>
      </c>
      <c r="G174" s="223">
        <v>0</v>
      </c>
      <c r="H174" s="1170">
        <v>2</v>
      </c>
      <c r="I174" s="223">
        <v>0</v>
      </c>
      <c r="J174" s="223">
        <v>0</v>
      </c>
      <c r="K174" s="223">
        <v>0</v>
      </c>
      <c r="L174" s="223">
        <v>0</v>
      </c>
      <c r="M174" s="223">
        <v>0</v>
      </c>
      <c r="N174" s="223">
        <v>0</v>
      </c>
      <c r="O174" s="223">
        <v>0</v>
      </c>
    </row>
    <row r="175" spans="2:15" ht="42" x14ac:dyDescent="0.3">
      <c r="B175" s="3"/>
      <c r="C175" s="332" t="s">
        <v>2951</v>
      </c>
      <c r="D175" s="223">
        <v>0</v>
      </c>
      <c r="E175" s="223">
        <v>0</v>
      </c>
      <c r="F175" s="223">
        <v>0</v>
      </c>
      <c r="G175" s="223">
        <v>0</v>
      </c>
      <c r="H175" s="1170">
        <v>0.7</v>
      </c>
      <c r="I175" s="223">
        <v>0</v>
      </c>
      <c r="J175" s="223">
        <v>0</v>
      </c>
      <c r="K175" s="223">
        <v>0</v>
      </c>
      <c r="L175" s="223">
        <v>0</v>
      </c>
      <c r="M175" s="223">
        <v>0</v>
      </c>
      <c r="N175" s="223">
        <v>0</v>
      </c>
      <c r="O175" s="223">
        <v>0</v>
      </c>
    </row>
    <row r="176" spans="2:15" ht="42" x14ac:dyDescent="0.3">
      <c r="B176" s="3"/>
      <c r="C176" s="332" t="s">
        <v>2952</v>
      </c>
      <c r="D176" s="223">
        <v>0</v>
      </c>
      <c r="E176" s="223">
        <v>0</v>
      </c>
      <c r="F176" s="223">
        <v>0</v>
      </c>
      <c r="G176" s="223">
        <v>0</v>
      </c>
      <c r="H176" s="1170">
        <v>1</v>
      </c>
      <c r="I176" s="223">
        <v>0</v>
      </c>
      <c r="J176" s="223">
        <v>0</v>
      </c>
      <c r="K176" s="223">
        <v>0</v>
      </c>
      <c r="L176" s="223">
        <v>0</v>
      </c>
      <c r="M176" s="223">
        <v>0</v>
      </c>
      <c r="N176" s="223">
        <v>0</v>
      </c>
      <c r="O176" s="223">
        <v>0</v>
      </c>
    </row>
    <row r="177" spans="2:15" x14ac:dyDescent="0.3">
      <c r="B177" s="3"/>
      <c r="C177" s="1177" t="s">
        <v>852</v>
      </c>
      <c r="D177" s="223">
        <v>0</v>
      </c>
      <c r="E177" s="223">
        <v>0</v>
      </c>
      <c r="F177" s="223">
        <v>0</v>
      </c>
      <c r="G177" s="223">
        <v>0</v>
      </c>
      <c r="H177" s="1170" t="s">
        <v>3076</v>
      </c>
      <c r="I177" s="223">
        <v>0</v>
      </c>
      <c r="J177" s="223">
        <v>0</v>
      </c>
      <c r="K177" s="223">
        <v>0</v>
      </c>
      <c r="L177" s="223">
        <v>0</v>
      </c>
      <c r="M177" s="223">
        <v>0</v>
      </c>
      <c r="N177" s="223">
        <v>0</v>
      </c>
      <c r="O177" s="223">
        <v>0</v>
      </c>
    </row>
    <row r="178" spans="2:15" x14ac:dyDescent="0.3">
      <c r="B178" s="3"/>
      <c r="C178" s="1178" t="s">
        <v>1220</v>
      </c>
      <c r="D178" s="223">
        <v>0</v>
      </c>
      <c r="E178" s="223">
        <v>0</v>
      </c>
      <c r="F178" s="223">
        <v>0</v>
      </c>
      <c r="G178" s="223">
        <v>0</v>
      </c>
      <c r="H178" s="1170" t="s">
        <v>3076</v>
      </c>
      <c r="I178" s="223">
        <v>0</v>
      </c>
      <c r="J178" s="223">
        <v>0</v>
      </c>
      <c r="K178" s="223">
        <v>0</v>
      </c>
      <c r="L178" s="223">
        <v>0</v>
      </c>
      <c r="M178" s="223">
        <v>0</v>
      </c>
      <c r="N178" s="223">
        <v>0</v>
      </c>
      <c r="O178" s="223">
        <v>0</v>
      </c>
    </row>
    <row r="179" spans="2:15" x14ac:dyDescent="0.3">
      <c r="B179" s="3"/>
      <c r="C179" s="332" t="s">
        <v>2894</v>
      </c>
      <c r="D179" s="223">
        <v>0</v>
      </c>
      <c r="E179" s="223">
        <v>0</v>
      </c>
      <c r="F179" s="223">
        <v>0</v>
      </c>
      <c r="G179" s="223">
        <v>0</v>
      </c>
      <c r="H179" s="1170" t="s">
        <v>3076</v>
      </c>
      <c r="I179" s="223">
        <v>0</v>
      </c>
      <c r="J179" s="223">
        <v>0</v>
      </c>
      <c r="K179" s="223">
        <v>0</v>
      </c>
      <c r="L179" s="223">
        <v>0</v>
      </c>
      <c r="M179" s="223">
        <v>0</v>
      </c>
      <c r="N179" s="223">
        <v>0</v>
      </c>
      <c r="O179" s="223">
        <v>0</v>
      </c>
    </row>
    <row r="180" spans="2:15" x14ac:dyDescent="0.3">
      <c r="B180" s="3"/>
      <c r="C180" s="332" t="s">
        <v>2894</v>
      </c>
      <c r="D180" s="223">
        <v>0</v>
      </c>
      <c r="E180" s="223">
        <v>0</v>
      </c>
      <c r="F180" s="223">
        <v>0</v>
      </c>
      <c r="G180" s="223">
        <v>0</v>
      </c>
      <c r="H180" s="1170" t="s">
        <v>3076</v>
      </c>
      <c r="I180" s="223">
        <v>0</v>
      </c>
      <c r="J180" s="223">
        <v>0</v>
      </c>
      <c r="K180" s="223">
        <v>0</v>
      </c>
      <c r="L180" s="223">
        <v>0</v>
      </c>
      <c r="M180" s="223">
        <v>0</v>
      </c>
      <c r="N180" s="223">
        <v>0</v>
      </c>
      <c r="O180" s="223">
        <v>0</v>
      </c>
    </row>
    <row r="181" spans="2:15" x14ac:dyDescent="0.3">
      <c r="B181" s="3"/>
      <c r="C181" s="1178" t="s">
        <v>1221</v>
      </c>
      <c r="D181" s="223">
        <v>0</v>
      </c>
      <c r="E181" s="223">
        <v>0</v>
      </c>
      <c r="F181" s="223">
        <v>0</v>
      </c>
      <c r="G181" s="223">
        <v>0</v>
      </c>
      <c r="H181" s="1170" t="s">
        <v>3076</v>
      </c>
      <c r="I181" s="223">
        <v>0</v>
      </c>
      <c r="J181" s="223">
        <v>0</v>
      </c>
      <c r="K181" s="223">
        <v>0</v>
      </c>
      <c r="L181" s="223">
        <v>0</v>
      </c>
      <c r="M181" s="223">
        <v>0</v>
      </c>
      <c r="N181" s="223">
        <v>0</v>
      </c>
      <c r="O181" s="223">
        <v>0</v>
      </c>
    </row>
    <row r="182" spans="2:15" x14ac:dyDescent="0.3">
      <c r="B182" s="3"/>
      <c r="C182" s="1175" t="s">
        <v>1219</v>
      </c>
      <c r="D182" s="223">
        <v>0</v>
      </c>
      <c r="E182" s="223">
        <v>0</v>
      </c>
      <c r="F182" s="223">
        <v>0</v>
      </c>
      <c r="G182" s="223">
        <v>0</v>
      </c>
      <c r="H182" s="1170" t="s">
        <v>3076</v>
      </c>
      <c r="I182" s="223">
        <v>0</v>
      </c>
      <c r="J182" s="223">
        <v>0</v>
      </c>
      <c r="K182" s="223">
        <v>0</v>
      </c>
      <c r="L182" s="223">
        <v>0</v>
      </c>
      <c r="M182" s="223">
        <v>0</v>
      </c>
      <c r="N182" s="223">
        <v>0</v>
      </c>
      <c r="O182" s="223">
        <v>0</v>
      </c>
    </row>
    <row r="183" spans="2:15" ht="30" x14ac:dyDescent="0.3">
      <c r="B183" s="3"/>
      <c r="C183" s="1176" t="s">
        <v>3081</v>
      </c>
      <c r="D183" s="223">
        <v>0</v>
      </c>
      <c r="E183" s="223">
        <v>0</v>
      </c>
      <c r="F183" s="223">
        <v>0</v>
      </c>
      <c r="G183" s="223">
        <v>0</v>
      </c>
      <c r="H183" s="1170" t="s">
        <v>3076</v>
      </c>
      <c r="I183" s="223">
        <v>0</v>
      </c>
      <c r="J183" s="223">
        <v>0</v>
      </c>
      <c r="K183" s="223">
        <v>0</v>
      </c>
      <c r="L183" s="223">
        <v>0</v>
      </c>
      <c r="M183" s="223">
        <v>0</v>
      </c>
      <c r="N183" s="223">
        <v>0</v>
      </c>
      <c r="O183" s="223">
        <v>0</v>
      </c>
    </row>
    <row r="184" spans="2:15" x14ac:dyDescent="0.3">
      <c r="B184" s="3"/>
      <c r="C184" s="332" t="s">
        <v>2953</v>
      </c>
      <c r="D184" s="223">
        <v>0</v>
      </c>
      <c r="E184" s="223">
        <v>0</v>
      </c>
      <c r="F184" s="223">
        <v>0</v>
      </c>
      <c r="G184" s="223">
        <v>0</v>
      </c>
      <c r="H184" s="1170">
        <v>1.5</v>
      </c>
      <c r="I184" s="223">
        <v>0</v>
      </c>
      <c r="J184" s="223">
        <v>0</v>
      </c>
      <c r="K184" s="223">
        <v>0</v>
      </c>
      <c r="L184" s="223">
        <v>0</v>
      </c>
      <c r="M184" s="223">
        <v>0</v>
      </c>
      <c r="N184" s="223">
        <v>0</v>
      </c>
      <c r="O184" s="223">
        <v>0</v>
      </c>
    </row>
    <row r="185" spans="2:15" ht="28" x14ac:dyDescent="0.3">
      <c r="B185" s="3"/>
      <c r="C185" s="332" t="s">
        <v>2954</v>
      </c>
      <c r="D185" s="223">
        <v>0</v>
      </c>
      <c r="E185" s="223">
        <v>0</v>
      </c>
      <c r="F185" s="223">
        <v>0</v>
      </c>
      <c r="G185" s="223">
        <v>0</v>
      </c>
      <c r="H185" s="1170">
        <v>12</v>
      </c>
      <c r="I185" s="223">
        <v>0</v>
      </c>
      <c r="J185" s="223">
        <v>0</v>
      </c>
      <c r="K185" s="223">
        <v>0</v>
      </c>
      <c r="L185" s="223">
        <v>0</v>
      </c>
      <c r="M185" s="223">
        <v>0</v>
      </c>
      <c r="N185" s="223">
        <v>0</v>
      </c>
      <c r="O185" s="223">
        <v>0</v>
      </c>
    </row>
    <row r="186" spans="2:15" x14ac:dyDescent="0.3">
      <c r="B186" s="3"/>
      <c r="C186" s="332" t="s">
        <v>2955</v>
      </c>
      <c r="D186" s="223">
        <v>0</v>
      </c>
      <c r="E186" s="223">
        <v>0</v>
      </c>
      <c r="F186" s="223">
        <v>0</v>
      </c>
      <c r="G186" s="223">
        <v>0</v>
      </c>
      <c r="H186" s="1170">
        <v>0.5</v>
      </c>
      <c r="I186" s="223">
        <v>0</v>
      </c>
      <c r="J186" s="223">
        <v>0</v>
      </c>
      <c r="K186" s="223">
        <v>0</v>
      </c>
      <c r="L186" s="223">
        <v>0</v>
      </c>
      <c r="M186" s="223">
        <v>0</v>
      </c>
      <c r="N186" s="223">
        <v>0</v>
      </c>
      <c r="O186" s="223">
        <v>0</v>
      </c>
    </row>
    <row r="187" spans="2:15" ht="28" x14ac:dyDescent="0.3">
      <c r="B187" s="3"/>
      <c r="C187" s="332" t="s">
        <v>2956</v>
      </c>
      <c r="D187" s="223">
        <v>0</v>
      </c>
      <c r="E187" s="223">
        <v>0</v>
      </c>
      <c r="F187" s="223">
        <v>0</v>
      </c>
      <c r="G187" s="223">
        <v>0</v>
      </c>
      <c r="H187" s="1170" t="s">
        <v>1483</v>
      </c>
      <c r="I187" s="223">
        <v>0</v>
      </c>
      <c r="J187" s="223">
        <v>0</v>
      </c>
      <c r="K187" s="223">
        <v>0</v>
      </c>
      <c r="L187" s="223">
        <v>0</v>
      </c>
      <c r="M187" s="223">
        <v>0</v>
      </c>
      <c r="N187" s="223">
        <v>0</v>
      </c>
      <c r="O187" s="223">
        <v>0</v>
      </c>
    </row>
    <row r="188" spans="2:15" x14ac:dyDescent="0.3">
      <c r="B188" s="3"/>
      <c r="C188" s="332" t="s">
        <v>2957</v>
      </c>
      <c r="D188" s="223">
        <v>0</v>
      </c>
      <c r="E188" s="223">
        <v>0</v>
      </c>
      <c r="F188" s="223">
        <v>0</v>
      </c>
      <c r="G188" s="223">
        <v>0</v>
      </c>
      <c r="H188" s="1170" t="s">
        <v>1483</v>
      </c>
      <c r="I188" s="223">
        <v>0</v>
      </c>
      <c r="J188" s="223">
        <v>0</v>
      </c>
      <c r="K188" s="223">
        <v>0</v>
      </c>
      <c r="L188" s="223">
        <v>0</v>
      </c>
      <c r="M188" s="223">
        <v>0</v>
      </c>
      <c r="N188" s="223">
        <v>0</v>
      </c>
      <c r="O188" s="223">
        <v>0</v>
      </c>
    </row>
    <row r="189" spans="2:15" ht="28" x14ac:dyDescent="0.3">
      <c r="B189" s="3"/>
      <c r="C189" s="332" t="s">
        <v>2958</v>
      </c>
      <c r="D189" s="223">
        <v>0</v>
      </c>
      <c r="E189" s="223">
        <v>0</v>
      </c>
      <c r="F189" s="223">
        <v>0</v>
      </c>
      <c r="G189" s="223">
        <v>0</v>
      </c>
      <c r="H189" s="1170" t="s">
        <v>1483</v>
      </c>
      <c r="I189" s="223">
        <v>0</v>
      </c>
      <c r="J189" s="223">
        <v>0</v>
      </c>
      <c r="K189" s="223">
        <v>0</v>
      </c>
      <c r="L189" s="223">
        <v>0</v>
      </c>
      <c r="M189" s="223">
        <v>0</v>
      </c>
      <c r="N189" s="223">
        <v>0</v>
      </c>
      <c r="O189" s="223">
        <v>0</v>
      </c>
    </row>
    <row r="190" spans="2:15" x14ac:dyDescent="0.3">
      <c r="B190" s="3"/>
      <c r="C190" s="1177" t="s">
        <v>853</v>
      </c>
      <c r="D190" s="223">
        <v>0</v>
      </c>
      <c r="E190" s="223">
        <v>0</v>
      </c>
      <c r="F190" s="223">
        <v>0</v>
      </c>
      <c r="G190" s="223">
        <v>0</v>
      </c>
      <c r="H190" s="1170">
        <v>0</v>
      </c>
      <c r="I190" s="223">
        <v>0</v>
      </c>
      <c r="J190" s="223">
        <v>0</v>
      </c>
      <c r="K190" s="223">
        <v>0</v>
      </c>
      <c r="L190" s="223">
        <v>0</v>
      </c>
      <c r="M190" s="223">
        <v>0</v>
      </c>
      <c r="N190" s="223">
        <v>0</v>
      </c>
      <c r="O190" s="223">
        <v>0</v>
      </c>
    </row>
    <row r="191" spans="2:15" x14ac:dyDescent="0.3">
      <c r="B191" s="3"/>
      <c r="C191" s="1178" t="s">
        <v>1220</v>
      </c>
      <c r="D191" s="223">
        <v>0</v>
      </c>
      <c r="E191" s="223">
        <v>0</v>
      </c>
      <c r="F191" s="223">
        <v>0</v>
      </c>
      <c r="G191" s="223">
        <v>0</v>
      </c>
      <c r="H191" s="1170">
        <v>0</v>
      </c>
      <c r="I191" s="223">
        <v>0</v>
      </c>
      <c r="J191" s="223">
        <v>0</v>
      </c>
      <c r="K191" s="223">
        <v>0</v>
      </c>
      <c r="L191" s="223">
        <v>0</v>
      </c>
      <c r="M191" s="223">
        <v>0</v>
      </c>
      <c r="N191" s="223">
        <v>0</v>
      </c>
      <c r="O191" s="223">
        <v>0</v>
      </c>
    </row>
    <row r="192" spans="2:15" x14ac:dyDescent="0.3">
      <c r="B192" s="3"/>
      <c r="C192" s="332" t="s">
        <v>2894</v>
      </c>
      <c r="D192" s="223">
        <v>0</v>
      </c>
      <c r="E192" s="223">
        <v>0</v>
      </c>
      <c r="F192" s="223">
        <v>0</v>
      </c>
      <c r="G192" s="223">
        <v>0</v>
      </c>
      <c r="H192" s="1170">
        <v>0</v>
      </c>
      <c r="I192" s="223">
        <v>0</v>
      </c>
      <c r="J192" s="223">
        <v>0</v>
      </c>
      <c r="K192" s="223">
        <v>0</v>
      </c>
      <c r="L192" s="223">
        <v>0</v>
      </c>
      <c r="M192" s="223">
        <v>0</v>
      </c>
      <c r="N192" s="223">
        <v>0</v>
      </c>
      <c r="O192" s="223">
        <v>0</v>
      </c>
    </row>
    <row r="193" spans="2:19" x14ac:dyDescent="0.3">
      <c r="B193" s="3"/>
      <c r="C193" s="332" t="s">
        <v>2894</v>
      </c>
      <c r="D193" s="223">
        <v>0</v>
      </c>
      <c r="E193" s="223">
        <v>0</v>
      </c>
      <c r="F193" s="223">
        <v>0</v>
      </c>
      <c r="G193" s="223">
        <v>0</v>
      </c>
      <c r="H193" s="1170">
        <v>0</v>
      </c>
      <c r="I193" s="223">
        <v>0</v>
      </c>
      <c r="J193" s="223">
        <v>0</v>
      </c>
      <c r="K193" s="223">
        <v>0</v>
      </c>
      <c r="L193" s="223">
        <v>0</v>
      </c>
      <c r="M193" s="223">
        <v>0</v>
      </c>
      <c r="N193" s="223">
        <v>0</v>
      </c>
      <c r="O193" s="223">
        <v>0</v>
      </c>
    </row>
    <row r="194" spans="2:19" x14ac:dyDescent="0.3">
      <c r="B194" s="3"/>
      <c r="C194" s="1178" t="s">
        <v>1221</v>
      </c>
      <c r="D194" s="223">
        <v>0</v>
      </c>
      <c r="E194" s="223">
        <v>0</v>
      </c>
      <c r="F194" s="223">
        <v>0</v>
      </c>
      <c r="G194" s="223">
        <v>0</v>
      </c>
      <c r="H194" s="1170">
        <v>0</v>
      </c>
      <c r="I194" s="223">
        <v>0</v>
      </c>
      <c r="J194" s="223">
        <v>0</v>
      </c>
      <c r="K194" s="223">
        <v>0</v>
      </c>
      <c r="L194" s="223">
        <v>0</v>
      </c>
      <c r="M194" s="223">
        <v>0</v>
      </c>
      <c r="N194" s="223">
        <v>0</v>
      </c>
      <c r="O194" s="223">
        <v>0</v>
      </c>
    </row>
    <row r="195" spans="2:19" x14ac:dyDescent="0.3">
      <c r="B195" s="3"/>
      <c r="C195" s="1175" t="s">
        <v>1219</v>
      </c>
      <c r="D195" s="223">
        <v>0</v>
      </c>
      <c r="E195" s="223">
        <v>0</v>
      </c>
      <c r="F195" s="223">
        <v>0</v>
      </c>
      <c r="G195" s="223">
        <v>0</v>
      </c>
      <c r="H195" s="1170">
        <v>0</v>
      </c>
      <c r="I195" s="223">
        <v>0</v>
      </c>
      <c r="J195" s="223">
        <v>0</v>
      </c>
      <c r="K195" s="223">
        <v>0</v>
      </c>
      <c r="L195" s="223">
        <v>0</v>
      </c>
      <c r="M195" s="223">
        <v>0</v>
      </c>
      <c r="N195" s="223">
        <v>0</v>
      </c>
      <c r="O195" s="223">
        <v>0</v>
      </c>
    </row>
    <row r="196" spans="2:19" ht="30" x14ac:dyDescent="0.3">
      <c r="B196" s="3"/>
      <c r="C196" s="1176" t="s">
        <v>3081</v>
      </c>
      <c r="D196" s="223">
        <v>0</v>
      </c>
      <c r="E196" s="223">
        <v>0</v>
      </c>
      <c r="F196" s="223">
        <v>0</v>
      </c>
      <c r="G196" s="223">
        <v>0</v>
      </c>
      <c r="H196" s="1170" t="s">
        <v>3076</v>
      </c>
      <c r="I196" s="223">
        <v>0</v>
      </c>
      <c r="J196" s="223">
        <v>0</v>
      </c>
      <c r="K196" s="223">
        <v>0</v>
      </c>
      <c r="L196" s="223">
        <v>0</v>
      </c>
      <c r="M196" s="223">
        <v>0</v>
      </c>
      <c r="N196" s="223">
        <v>0</v>
      </c>
      <c r="O196" s="223">
        <v>0</v>
      </c>
    </row>
    <row r="197" spans="2:19" x14ac:dyDescent="0.3">
      <c r="B197" s="3"/>
      <c r="C197" s="332" t="s">
        <v>2953</v>
      </c>
      <c r="D197" s="223">
        <v>0</v>
      </c>
      <c r="E197" s="223">
        <v>0</v>
      </c>
      <c r="F197" s="223">
        <v>0</v>
      </c>
      <c r="G197" s="223">
        <v>0</v>
      </c>
      <c r="H197" s="1170" t="s">
        <v>1483</v>
      </c>
      <c r="I197" s="223">
        <v>0</v>
      </c>
      <c r="J197" s="223">
        <v>0</v>
      </c>
      <c r="K197" s="223">
        <v>0</v>
      </c>
      <c r="L197" s="223">
        <v>0</v>
      </c>
      <c r="M197" s="223">
        <v>0</v>
      </c>
      <c r="N197" s="223">
        <v>0</v>
      </c>
      <c r="O197" s="223">
        <v>0</v>
      </c>
    </row>
    <row r="198" spans="2:19" ht="28" x14ac:dyDescent="0.3">
      <c r="B198" s="3"/>
      <c r="C198" s="332" t="s">
        <v>2954</v>
      </c>
      <c r="D198" s="223">
        <v>0</v>
      </c>
      <c r="E198" s="223">
        <v>0</v>
      </c>
      <c r="F198" s="223">
        <v>0</v>
      </c>
      <c r="G198" s="223">
        <v>0</v>
      </c>
      <c r="H198" s="1170" t="s">
        <v>1483</v>
      </c>
      <c r="I198" s="223">
        <v>0</v>
      </c>
      <c r="J198" s="223">
        <v>0</v>
      </c>
      <c r="K198" s="223">
        <v>0</v>
      </c>
      <c r="L198" s="223">
        <v>0</v>
      </c>
      <c r="M198" s="223">
        <v>0</v>
      </c>
      <c r="N198" s="223">
        <v>0</v>
      </c>
      <c r="O198" s="223">
        <v>0</v>
      </c>
    </row>
    <row r="199" spans="2:19" x14ac:dyDescent="0.3">
      <c r="B199" s="3"/>
      <c r="C199" s="332" t="s">
        <v>2955</v>
      </c>
      <c r="D199" s="223">
        <v>0</v>
      </c>
      <c r="E199" s="223">
        <v>0</v>
      </c>
      <c r="F199" s="223">
        <v>0</v>
      </c>
      <c r="G199" s="223">
        <v>0</v>
      </c>
      <c r="H199" s="1170" t="s">
        <v>1483</v>
      </c>
      <c r="I199" s="223">
        <v>0</v>
      </c>
      <c r="J199" s="223">
        <v>0</v>
      </c>
      <c r="K199" s="223">
        <v>0</v>
      </c>
      <c r="L199" s="223">
        <v>0</v>
      </c>
      <c r="M199" s="223">
        <v>0</v>
      </c>
      <c r="N199" s="223">
        <v>0</v>
      </c>
      <c r="O199" s="223">
        <v>0</v>
      </c>
    </row>
    <row r="200" spans="2:19" ht="28" x14ac:dyDescent="0.3">
      <c r="B200" s="3"/>
      <c r="C200" s="332" t="s">
        <v>2956</v>
      </c>
      <c r="D200" s="223">
        <v>0</v>
      </c>
      <c r="E200" s="223">
        <v>0</v>
      </c>
      <c r="F200" s="223">
        <v>0</v>
      </c>
      <c r="G200" s="223">
        <v>0</v>
      </c>
      <c r="H200" s="1170">
        <v>3</v>
      </c>
      <c r="I200" s="223">
        <v>0</v>
      </c>
      <c r="J200" s="223">
        <v>0</v>
      </c>
      <c r="K200" s="223">
        <v>0</v>
      </c>
      <c r="L200" s="223">
        <v>0</v>
      </c>
      <c r="M200" s="223">
        <v>0</v>
      </c>
      <c r="N200" s="223">
        <v>0</v>
      </c>
      <c r="O200" s="223">
        <v>0</v>
      </c>
    </row>
    <row r="201" spans="2:19" x14ac:dyDescent="0.3">
      <c r="B201" s="3"/>
      <c r="C201" s="332" t="s">
        <v>2957</v>
      </c>
      <c r="D201" s="223">
        <v>0</v>
      </c>
      <c r="E201" s="223">
        <v>0</v>
      </c>
      <c r="F201" s="223">
        <v>0</v>
      </c>
      <c r="G201" s="223">
        <v>0</v>
      </c>
      <c r="H201" s="1170">
        <v>2</v>
      </c>
      <c r="I201" s="223">
        <v>0</v>
      </c>
      <c r="J201" s="223">
        <v>0</v>
      </c>
      <c r="K201" s="223">
        <v>0</v>
      </c>
      <c r="L201" s="223">
        <v>0</v>
      </c>
      <c r="M201" s="223">
        <v>0</v>
      </c>
      <c r="N201" s="223">
        <v>0</v>
      </c>
      <c r="O201" s="223">
        <v>0</v>
      </c>
    </row>
    <row r="202" spans="2:19" ht="28" x14ac:dyDescent="0.3">
      <c r="B202" s="3"/>
      <c r="C202" s="332" t="s">
        <v>2958</v>
      </c>
      <c r="D202" s="223">
        <v>0</v>
      </c>
      <c r="E202" s="223">
        <v>0</v>
      </c>
      <c r="F202" s="223">
        <v>0</v>
      </c>
      <c r="G202" s="223">
        <v>0</v>
      </c>
      <c r="H202" s="1170">
        <v>0.5</v>
      </c>
      <c r="I202" s="223">
        <v>0</v>
      </c>
      <c r="J202" s="223">
        <v>0</v>
      </c>
      <c r="K202" s="223">
        <v>0</v>
      </c>
      <c r="L202" s="223">
        <v>0</v>
      </c>
      <c r="M202" s="223">
        <v>0</v>
      </c>
      <c r="N202" s="223">
        <v>0</v>
      </c>
      <c r="O202" s="223">
        <v>0</v>
      </c>
    </row>
    <row r="203" spans="2:19" x14ac:dyDescent="0.3">
      <c r="B203" s="1119"/>
      <c r="C203" s="1120" t="s">
        <v>3</v>
      </c>
      <c r="D203" s="1121"/>
      <c r="E203" s="1121"/>
      <c r="F203" s="1121"/>
      <c r="G203" s="1122"/>
      <c r="H203" s="1123">
        <f>SUM(H2:H202)</f>
        <v>254.98</v>
      </c>
      <c r="I203" s="1120"/>
      <c r="J203" s="1122"/>
      <c r="K203" s="1121"/>
      <c r="L203" s="1121"/>
      <c r="M203" s="1121"/>
      <c r="N203" s="1121"/>
      <c r="O203" s="1121"/>
      <c r="P203" s="1121"/>
      <c r="Q203" s="1121"/>
      <c r="R203" s="1121"/>
      <c r="S203" s="1124"/>
    </row>
  </sheetData>
  <mergeCells count="15">
    <mergeCell ref="B2:O2"/>
    <mergeCell ref="B3:O3"/>
    <mergeCell ref="B4:O4"/>
    <mergeCell ref="B5:O5"/>
    <mergeCell ref="B9:B11"/>
    <mergeCell ref="C9:C11"/>
    <mergeCell ref="D9:D11"/>
    <mergeCell ref="E9:E11"/>
    <mergeCell ref="F9:F11"/>
    <mergeCell ref="G9:G11"/>
    <mergeCell ref="H9:H11"/>
    <mergeCell ref="I9:I11"/>
    <mergeCell ref="J9:J11"/>
    <mergeCell ref="K9:N10"/>
    <mergeCell ref="O9:O11"/>
  </mergeCells>
  <conditionalFormatting sqref="C97:C104">
    <cfRule type="duplicateValues" dxfId="2" priority="2"/>
  </conditionalFormatting>
  <conditionalFormatting sqref="C169:C176">
    <cfRule type="duplicateValues" dxfId="1" priority="1"/>
  </conditionalFormatting>
  <printOptions verticalCentered="1"/>
  <pageMargins left="0" right="0" top="0.23622047244094491" bottom="0.23622047244094491" header="0.23622047244094491" footer="0.23622047244094491"/>
  <pageSetup paperSize="9" scale="16" orientation="landscape" r:id="rId1"/>
  <headerFooter alignWithMargins="0">
    <oddHeader>&amp;F</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zoomScale="55" zoomScaleNormal="110" workbookViewId="0">
      <pane xSplit="4" ySplit="8" topLeftCell="E9" activePane="bottomRight" state="frozen"/>
      <selection pane="topRight" activeCell="E1" sqref="E1"/>
      <selection pane="bottomLeft" activeCell="A9" sqref="A9"/>
      <selection pane="bottomRight" activeCell="E35" sqref="E35"/>
    </sheetView>
  </sheetViews>
  <sheetFormatPr defaultColWidth="9.1796875" defaultRowHeight="14" x14ac:dyDescent="0.3"/>
  <cols>
    <col min="1" max="1" width="9.1796875" style="582"/>
    <col min="2" max="2" width="4.81640625" style="582" customWidth="1"/>
    <col min="3" max="3" width="17.453125" style="582" customWidth="1"/>
    <col min="4" max="4" width="31.54296875" style="582" customWidth="1"/>
    <col min="5" max="5" width="21.81640625" style="636" customWidth="1"/>
    <col min="6" max="6" width="19.1796875" style="584" customWidth="1"/>
    <col min="7" max="7" width="19.81640625" style="997" customWidth="1"/>
    <col min="8" max="10" width="20" style="584" customWidth="1"/>
    <col min="11" max="11" width="20.81640625" style="636" customWidth="1"/>
    <col min="12" max="12" width="14.1796875" style="584" customWidth="1"/>
    <col min="13" max="13" width="19.81640625" style="582" customWidth="1"/>
    <col min="14" max="14" width="20.453125" style="582" customWidth="1"/>
    <col min="15" max="15" width="19.81640625" style="582" customWidth="1"/>
    <col min="16" max="16" width="20.453125" style="582" customWidth="1"/>
    <col min="17" max="17" width="9.1796875" style="582"/>
    <col min="18" max="18" width="10.1796875" style="582" bestFit="1" customWidth="1"/>
    <col min="19" max="261" width="9.1796875" style="582"/>
    <col min="262" max="262" width="4.81640625" style="582" customWidth="1"/>
    <col min="263" max="263" width="11.1796875" style="582" customWidth="1"/>
    <col min="264" max="264" width="23.453125" style="582" customWidth="1"/>
    <col min="265" max="265" width="16.81640625" style="582" customWidth="1"/>
    <col min="266" max="266" width="16.1796875" style="582" customWidth="1"/>
    <col min="267" max="267" width="15.1796875" style="582" customWidth="1"/>
    <col min="268" max="268" width="20" style="582" customWidth="1"/>
    <col min="269" max="269" width="16.81640625" style="582" customWidth="1"/>
    <col min="270" max="270" width="12.1796875" style="582" customWidth="1"/>
    <col min="271" max="517" width="9.1796875" style="582"/>
    <col min="518" max="518" width="4.81640625" style="582" customWidth="1"/>
    <col min="519" max="519" width="11.1796875" style="582" customWidth="1"/>
    <col min="520" max="520" width="23.453125" style="582" customWidth="1"/>
    <col min="521" max="521" width="16.81640625" style="582" customWidth="1"/>
    <col min="522" max="522" width="16.1796875" style="582" customWidth="1"/>
    <col min="523" max="523" width="15.1796875" style="582" customWidth="1"/>
    <col min="524" max="524" width="20" style="582" customWidth="1"/>
    <col min="525" max="525" width="16.81640625" style="582" customWidth="1"/>
    <col min="526" max="526" width="12.1796875" style="582" customWidth="1"/>
    <col min="527" max="773" width="9.1796875" style="582"/>
    <col min="774" max="774" width="4.81640625" style="582" customWidth="1"/>
    <col min="775" max="775" width="11.1796875" style="582" customWidth="1"/>
    <col min="776" max="776" width="23.453125" style="582" customWidth="1"/>
    <col min="777" max="777" width="16.81640625" style="582" customWidth="1"/>
    <col min="778" max="778" width="16.1796875" style="582" customWidth="1"/>
    <col min="779" max="779" width="15.1796875" style="582" customWidth="1"/>
    <col min="780" max="780" width="20" style="582" customWidth="1"/>
    <col min="781" max="781" width="16.81640625" style="582" customWidth="1"/>
    <col min="782" max="782" width="12.1796875" style="582" customWidth="1"/>
    <col min="783" max="1029" width="9.1796875" style="582"/>
    <col min="1030" max="1030" width="4.81640625" style="582" customWidth="1"/>
    <col min="1031" max="1031" width="11.1796875" style="582" customWidth="1"/>
    <col min="1032" max="1032" width="23.453125" style="582" customWidth="1"/>
    <col min="1033" max="1033" width="16.81640625" style="582" customWidth="1"/>
    <col min="1034" max="1034" width="16.1796875" style="582" customWidth="1"/>
    <col min="1035" max="1035" width="15.1796875" style="582" customWidth="1"/>
    <col min="1036" max="1036" width="20" style="582" customWidth="1"/>
    <col min="1037" max="1037" width="16.81640625" style="582" customWidth="1"/>
    <col min="1038" max="1038" width="12.1796875" style="582" customWidth="1"/>
    <col min="1039" max="1285" width="9.1796875" style="582"/>
    <col min="1286" max="1286" width="4.81640625" style="582" customWidth="1"/>
    <col min="1287" max="1287" width="11.1796875" style="582" customWidth="1"/>
    <col min="1288" max="1288" width="23.453125" style="582" customWidth="1"/>
    <col min="1289" max="1289" width="16.81640625" style="582" customWidth="1"/>
    <col min="1290" max="1290" width="16.1796875" style="582" customWidth="1"/>
    <col min="1291" max="1291" width="15.1796875" style="582" customWidth="1"/>
    <col min="1292" max="1292" width="20" style="582" customWidth="1"/>
    <col min="1293" max="1293" width="16.81640625" style="582" customWidth="1"/>
    <col min="1294" max="1294" width="12.1796875" style="582" customWidth="1"/>
    <col min="1295" max="1541" width="9.1796875" style="582"/>
    <col min="1542" max="1542" width="4.81640625" style="582" customWidth="1"/>
    <col min="1543" max="1543" width="11.1796875" style="582" customWidth="1"/>
    <col min="1544" max="1544" width="23.453125" style="582" customWidth="1"/>
    <col min="1545" max="1545" width="16.81640625" style="582" customWidth="1"/>
    <col min="1546" max="1546" width="16.1796875" style="582" customWidth="1"/>
    <col min="1547" max="1547" width="15.1796875" style="582" customWidth="1"/>
    <col min="1548" max="1548" width="20" style="582" customWidth="1"/>
    <col min="1549" max="1549" width="16.81640625" style="582" customWidth="1"/>
    <col min="1550" max="1550" width="12.1796875" style="582" customWidth="1"/>
    <col min="1551" max="1797" width="9.1796875" style="582"/>
    <col min="1798" max="1798" width="4.81640625" style="582" customWidth="1"/>
    <col min="1799" max="1799" width="11.1796875" style="582" customWidth="1"/>
    <col min="1800" max="1800" width="23.453125" style="582" customWidth="1"/>
    <col min="1801" max="1801" width="16.81640625" style="582" customWidth="1"/>
    <col min="1802" max="1802" width="16.1796875" style="582" customWidth="1"/>
    <col min="1803" max="1803" width="15.1796875" style="582" customWidth="1"/>
    <col min="1804" max="1804" width="20" style="582" customWidth="1"/>
    <col min="1805" max="1805" width="16.81640625" style="582" customWidth="1"/>
    <col min="1806" max="1806" width="12.1796875" style="582" customWidth="1"/>
    <col min="1807" max="2053" width="9.1796875" style="582"/>
    <col min="2054" max="2054" width="4.81640625" style="582" customWidth="1"/>
    <col min="2055" max="2055" width="11.1796875" style="582" customWidth="1"/>
    <col min="2056" max="2056" width="23.453125" style="582" customWidth="1"/>
    <col min="2057" max="2057" width="16.81640625" style="582" customWidth="1"/>
    <col min="2058" max="2058" width="16.1796875" style="582" customWidth="1"/>
    <col min="2059" max="2059" width="15.1796875" style="582" customWidth="1"/>
    <col min="2060" max="2060" width="20" style="582" customWidth="1"/>
    <col min="2061" max="2061" width="16.81640625" style="582" customWidth="1"/>
    <col min="2062" max="2062" width="12.1796875" style="582" customWidth="1"/>
    <col min="2063" max="2309" width="9.1796875" style="582"/>
    <col min="2310" max="2310" width="4.81640625" style="582" customWidth="1"/>
    <col min="2311" max="2311" width="11.1796875" style="582" customWidth="1"/>
    <col min="2312" max="2312" width="23.453125" style="582" customWidth="1"/>
    <col min="2313" max="2313" width="16.81640625" style="582" customWidth="1"/>
    <col min="2314" max="2314" width="16.1796875" style="582" customWidth="1"/>
    <col min="2315" max="2315" width="15.1796875" style="582" customWidth="1"/>
    <col min="2316" max="2316" width="20" style="582" customWidth="1"/>
    <col min="2317" max="2317" width="16.81640625" style="582" customWidth="1"/>
    <col min="2318" max="2318" width="12.1796875" style="582" customWidth="1"/>
    <col min="2319" max="2565" width="9.1796875" style="582"/>
    <col min="2566" max="2566" width="4.81640625" style="582" customWidth="1"/>
    <col min="2567" max="2567" width="11.1796875" style="582" customWidth="1"/>
    <col min="2568" max="2568" width="23.453125" style="582" customWidth="1"/>
    <col min="2569" max="2569" width="16.81640625" style="582" customWidth="1"/>
    <col min="2570" max="2570" width="16.1796875" style="582" customWidth="1"/>
    <col min="2571" max="2571" width="15.1796875" style="582" customWidth="1"/>
    <col min="2572" max="2572" width="20" style="582" customWidth="1"/>
    <col min="2573" max="2573" width="16.81640625" style="582" customWidth="1"/>
    <col min="2574" max="2574" width="12.1796875" style="582" customWidth="1"/>
    <col min="2575" max="2821" width="9.1796875" style="582"/>
    <col min="2822" max="2822" width="4.81640625" style="582" customWidth="1"/>
    <col min="2823" max="2823" width="11.1796875" style="582" customWidth="1"/>
    <col min="2824" max="2824" width="23.453125" style="582" customWidth="1"/>
    <col min="2825" max="2825" width="16.81640625" style="582" customWidth="1"/>
    <col min="2826" max="2826" width="16.1796875" style="582" customWidth="1"/>
    <col min="2827" max="2827" width="15.1796875" style="582" customWidth="1"/>
    <col min="2828" max="2828" width="20" style="582" customWidth="1"/>
    <col min="2829" max="2829" width="16.81640625" style="582" customWidth="1"/>
    <col min="2830" max="2830" width="12.1796875" style="582" customWidth="1"/>
    <col min="2831" max="3077" width="9.1796875" style="582"/>
    <col min="3078" max="3078" width="4.81640625" style="582" customWidth="1"/>
    <col min="3079" max="3079" width="11.1796875" style="582" customWidth="1"/>
    <col min="3080" max="3080" width="23.453125" style="582" customWidth="1"/>
    <col min="3081" max="3081" width="16.81640625" style="582" customWidth="1"/>
    <col min="3082" max="3082" width="16.1796875" style="582" customWidth="1"/>
    <col min="3083" max="3083" width="15.1796875" style="582" customWidth="1"/>
    <col min="3084" max="3084" width="20" style="582" customWidth="1"/>
    <col min="3085" max="3085" width="16.81640625" style="582" customWidth="1"/>
    <col min="3086" max="3086" width="12.1796875" style="582" customWidth="1"/>
    <col min="3087" max="3333" width="9.1796875" style="582"/>
    <col min="3334" max="3334" width="4.81640625" style="582" customWidth="1"/>
    <col min="3335" max="3335" width="11.1796875" style="582" customWidth="1"/>
    <col min="3336" max="3336" width="23.453125" style="582" customWidth="1"/>
    <col min="3337" max="3337" width="16.81640625" style="582" customWidth="1"/>
    <col min="3338" max="3338" width="16.1796875" style="582" customWidth="1"/>
    <col min="3339" max="3339" width="15.1796875" style="582" customWidth="1"/>
    <col min="3340" max="3340" width="20" style="582" customWidth="1"/>
    <col min="3341" max="3341" width="16.81640625" style="582" customWidth="1"/>
    <col min="3342" max="3342" width="12.1796875" style="582" customWidth="1"/>
    <col min="3343" max="3589" width="9.1796875" style="582"/>
    <col min="3590" max="3590" width="4.81640625" style="582" customWidth="1"/>
    <col min="3591" max="3591" width="11.1796875" style="582" customWidth="1"/>
    <col min="3592" max="3592" width="23.453125" style="582" customWidth="1"/>
    <col min="3593" max="3593" width="16.81640625" style="582" customWidth="1"/>
    <col min="3594" max="3594" width="16.1796875" style="582" customWidth="1"/>
    <col min="3595" max="3595" width="15.1796875" style="582" customWidth="1"/>
    <col min="3596" max="3596" width="20" style="582" customWidth="1"/>
    <col min="3597" max="3597" width="16.81640625" style="582" customWidth="1"/>
    <col min="3598" max="3598" width="12.1796875" style="582" customWidth="1"/>
    <col min="3599" max="3845" width="9.1796875" style="582"/>
    <col min="3846" max="3846" width="4.81640625" style="582" customWidth="1"/>
    <col min="3847" max="3847" width="11.1796875" style="582" customWidth="1"/>
    <col min="3848" max="3848" width="23.453125" style="582" customWidth="1"/>
    <col min="3849" max="3849" width="16.81640625" style="582" customWidth="1"/>
    <col min="3850" max="3850" width="16.1796875" style="582" customWidth="1"/>
    <col min="3851" max="3851" width="15.1796875" style="582" customWidth="1"/>
    <col min="3852" max="3852" width="20" style="582" customWidth="1"/>
    <col min="3853" max="3853" width="16.81640625" style="582" customWidth="1"/>
    <col min="3854" max="3854" width="12.1796875" style="582" customWidth="1"/>
    <col min="3855" max="4101" width="9.1796875" style="582"/>
    <col min="4102" max="4102" width="4.81640625" style="582" customWidth="1"/>
    <col min="4103" max="4103" width="11.1796875" style="582" customWidth="1"/>
    <col min="4104" max="4104" width="23.453125" style="582" customWidth="1"/>
    <col min="4105" max="4105" width="16.81640625" style="582" customWidth="1"/>
    <col min="4106" max="4106" width="16.1796875" style="582" customWidth="1"/>
    <col min="4107" max="4107" width="15.1796875" style="582" customWidth="1"/>
    <col min="4108" max="4108" width="20" style="582" customWidth="1"/>
    <col min="4109" max="4109" width="16.81640625" style="582" customWidth="1"/>
    <col min="4110" max="4110" width="12.1796875" style="582" customWidth="1"/>
    <col min="4111" max="4357" width="9.1796875" style="582"/>
    <col min="4358" max="4358" width="4.81640625" style="582" customWidth="1"/>
    <col min="4359" max="4359" width="11.1796875" style="582" customWidth="1"/>
    <col min="4360" max="4360" width="23.453125" style="582" customWidth="1"/>
    <col min="4361" max="4361" width="16.81640625" style="582" customWidth="1"/>
    <col min="4362" max="4362" width="16.1796875" style="582" customWidth="1"/>
    <col min="4363" max="4363" width="15.1796875" style="582" customWidth="1"/>
    <col min="4364" max="4364" width="20" style="582" customWidth="1"/>
    <col min="4365" max="4365" width="16.81640625" style="582" customWidth="1"/>
    <col min="4366" max="4366" width="12.1796875" style="582" customWidth="1"/>
    <col min="4367" max="4613" width="9.1796875" style="582"/>
    <col min="4614" max="4614" width="4.81640625" style="582" customWidth="1"/>
    <col min="4615" max="4615" width="11.1796875" style="582" customWidth="1"/>
    <col min="4616" max="4616" width="23.453125" style="582" customWidth="1"/>
    <col min="4617" max="4617" width="16.81640625" style="582" customWidth="1"/>
    <col min="4618" max="4618" width="16.1796875" style="582" customWidth="1"/>
    <col min="4619" max="4619" width="15.1796875" style="582" customWidth="1"/>
    <col min="4620" max="4620" width="20" style="582" customWidth="1"/>
    <col min="4621" max="4621" width="16.81640625" style="582" customWidth="1"/>
    <col min="4622" max="4622" width="12.1796875" style="582" customWidth="1"/>
    <col min="4623" max="4869" width="9.1796875" style="582"/>
    <col min="4870" max="4870" width="4.81640625" style="582" customWidth="1"/>
    <col min="4871" max="4871" width="11.1796875" style="582" customWidth="1"/>
    <col min="4872" max="4872" width="23.453125" style="582" customWidth="1"/>
    <col min="4873" max="4873" width="16.81640625" style="582" customWidth="1"/>
    <col min="4874" max="4874" width="16.1796875" style="582" customWidth="1"/>
    <col min="4875" max="4875" width="15.1796875" style="582" customWidth="1"/>
    <col min="4876" max="4876" width="20" style="582" customWidth="1"/>
    <col min="4877" max="4877" width="16.81640625" style="582" customWidth="1"/>
    <col min="4878" max="4878" width="12.1796875" style="582" customWidth="1"/>
    <col min="4879" max="5125" width="9.1796875" style="582"/>
    <col min="5126" max="5126" width="4.81640625" style="582" customWidth="1"/>
    <col min="5127" max="5127" width="11.1796875" style="582" customWidth="1"/>
    <col min="5128" max="5128" width="23.453125" style="582" customWidth="1"/>
    <col min="5129" max="5129" width="16.81640625" style="582" customWidth="1"/>
    <col min="5130" max="5130" width="16.1796875" style="582" customWidth="1"/>
    <col min="5131" max="5131" width="15.1796875" style="582" customWidth="1"/>
    <col min="5132" max="5132" width="20" style="582" customWidth="1"/>
    <col min="5133" max="5133" width="16.81640625" style="582" customWidth="1"/>
    <col min="5134" max="5134" width="12.1796875" style="582" customWidth="1"/>
    <col min="5135" max="5381" width="9.1796875" style="582"/>
    <col min="5382" max="5382" width="4.81640625" style="582" customWidth="1"/>
    <col min="5383" max="5383" width="11.1796875" style="582" customWidth="1"/>
    <col min="5384" max="5384" width="23.453125" style="582" customWidth="1"/>
    <col min="5385" max="5385" width="16.81640625" style="582" customWidth="1"/>
    <col min="5386" max="5386" width="16.1796875" style="582" customWidth="1"/>
    <col min="5387" max="5387" width="15.1796875" style="582" customWidth="1"/>
    <col min="5388" max="5388" width="20" style="582" customWidth="1"/>
    <col min="5389" max="5389" width="16.81640625" style="582" customWidth="1"/>
    <col min="5390" max="5390" width="12.1796875" style="582" customWidth="1"/>
    <col min="5391" max="5637" width="9.1796875" style="582"/>
    <col min="5638" max="5638" width="4.81640625" style="582" customWidth="1"/>
    <col min="5639" max="5639" width="11.1796875" style="582" customWidth="1"/>
    <col min="5640" max="5640" width="23.453125" style="582" customWidth="1"/>
    <col min="5641" max="5641" width="16.81640625" style="582" customWidth="1"/>
    <col min="5642" max="5642" width="16.1796875" style="582" customWidth="1"/>
    <col min="5643" max="5643" width="15.1796875" style="582" customWidth="1"/>
    <col min="5644" max="5644" width="20" style="582" customWidth="1"/>
    <col min="5645" max="5645" width="16.81640625" style="582" customWidth="1"/>
    <col min="5646" max="5646" width="12.1796875" style="582" customWidth="1"/>
    <col min="5647" max="5893" width="9.1796875" style="582"/>
    <col min="5894" max="5894" width="4.81640625" style="582" customWidth="1"/>
    <col min="5895" max="5895" width="11.1796875" style="582" customWidth="1"/>
    <col min="5896" max="5896" width="23.453125" style="582" customWidth="1"/>
    <col min="5897" max="5897" width="16.81640625" style="582" customWidth="1"/>
    <col min="5898" max="5898" width="16.1796875" style="582" customWidth="1"/>
    <col min="5899" max="5899" width="15.1796875" style="582" customWidth="1"/>
    <col min="5900" max="5900" width="20" style="582" customWidth="1"/>
    <col min="5901" max="5901" width="16.81640625" style="582" customWidth="1"/>
    <col min="5902" max="5902" width="12.1796875" style="582" customWidth="1"/>
    <col min="5903" max="6149" width="9.1796875" style="582"/>
    <col min="6150" max="6150" width="4.81640625" style="582" customWidth="1"/>
    <col min="6151" max="6151" width="11.1796875" style="582" customWidth="1"/>
    <col min="6152" max="6152" width="23.453125" style="582" customWidth="1"/>
    <col min="6153" max="6153" width="16.81640625" style="582" customWidth="1"/>
    <col min="6154" max="6154" width="16.1796875" style="582" customWidth="1"/>
    <col min="6155" max="6155" width="15.1796875" style="582" customWidth="1"/>
    <col min="6156" max="6156" width="20" style="582" customWidth="1"/>
    <col min="6157" max="6157" width="16.81640625" style="582" customWidth="1"/>
    <col min="6158" max="6158" width="12.1796875" style="582" customWidth="1"/>
    <col min="6159" max="6405" width="9.1796875" style="582"/>
    <col min="6406" max="6406" width="4.81640625" style="582" customWidth="1"/>
    <col min="6407" max="6407" width="11.1796875" style="582" customWidth="1"/>
    <col min="6408" max="6408" width="23.453125" style="582" customWidth="1"/>
    <col min="6409" max="6409" width="16.81640625" style="582" customWidth="1"/>
    <col min="6410" max="6410" width="16.1796875" style="582" customWidth="1"/>
    <col min="6411" max="6411" width="15.1796875" style="582" customWidth="1"/>
    <col min="6412" max="6412" width="20" style="582" customWidth="1"/>
    <col min="6413" max="6413" width="16.81640625" style="582" customWidth="1"/>
    <col min="6414" max="6414" width="12.1796875" style="582" customWidth="1"/>
    <col min="6415" max="6661" width="9.1796875" style="582"/>
    <col min="6662" max="6662" width="4.81640625" style="582" customWidth="1"/>
    <col min="6663" max="6663" width="11.1796875" style="582" customWidth="1"/>
    <col min="6664" max="6664" width="23.453125" style="582" customWidth="1"/>
    <col min="6665" max="6665" width="16.81640625" style="582" customWidth="1"/>
    <col min="6666" max="6666" width="16.1796875" style="582" customWidth="1"/>
    <col min="6667" max="6667" width="15.1796875" style="582" customWidth="1"/>
    <col min="6668" max="6668" width="20" style="582" customWidth="1"/>
    <col min="6669" max="6669" width="16.81640625" style="582" customWidth="1"/>
    <col min="6670" max="6670" width="12.1796875" style="582" customWidth="1"/>
    <col min="6671" max="6917" width="9.1796875" style="582"/>
    <col min="6918" max="6918" width="4.81640625" style="582" customWidth="1"/>
    <col min="6919" max="6919" width="11.1796875" style="582" customWidth="1"/>
    <col min="6920" max="6920" width="23.453125" style="582" customWidth="1"/>
    <col min="6921" max="6921" width="16.81640625" style="582" customWidth="1"/>
    <col min="6922" max="6922" width="16.1796875" style="582" customWidth="1"/>
    <col min="6923" max="6923" width="15.1796875" style="582" customWidth="1"/>
    <col min="6924" max="6924" width="20" style="582" customWidth="1"/>
    <col min="6925" max="6925" width="16.81640625" style="582" customWidth="1"/>
    <col min="6926" max="6926" width="12.1796875" style="582" customWidth="1"/>
    <col min="6927" max="7173" width="9.1796875" style="582"/>
    <col min="7174" max="7174" width="4.81640625" style="582" customWidth="1"/>
    <col min="7175" max="7175" width="11.1796875" style="582" customWidth="1"/>
    <col min="7176" max="7176" width="23.453125" style="582" customWidth="1"/>
    <col min="7177" max="7177" width="16.81640625" style="582" customWidth="1"/>
    <col min="7178" max="7178" width="16.1796875" style="582" customWidth="1"/>
    <col min="7179" max="7179" width="15.1796875" style="582" customWidth="1"/>
    <col min="7180" max="7180" width="20" style="582" customWidth="1"/>
    <col min="7181" max="7181" width="16.81640625" style="582" customWidth="1"/>
    <col min="7182" max="7182" width="12.1796875" style="582" customWidth="1"/>
    <col min="7183" max="7429" width="9.1796875" style="582"/>
    <col min="7430" max="7430" width="4.81640625" style="582" customWidth="1"/>
    <col min="7431" max="7431" width="11.1796875" style="582" customWidth="1"/>
    <col min="7432" max="7432" width="23.453125" style="582" customWidth="1"/>
    <col min="7433" max="7433" width="16.81640625" style="582" customWidth="1"/>
    <col min="7434" max="7434" width="16.1796875" style="582" customWidth="1"/>
    <col min="7435" max="7435" width="15.1796875" style="582" customWidth="1"/>
    <col min="7436" max="7436" width="20" style="582" customWidth="1"/>
    <col min="7437" max="7437" width="16.81640625" style="582" customWidth="1"/>
    <col min="7438" max="7438" width="12.1796875" style="582" customWidth="1"/>
    <col min="7439" max="7685" width="9.1796875" style="582"/>
    <col min="7686" max="7686" width="4.81640625" style="582" customWidth="1"/>
    <col min="7687" max="7687" width="11.1796875" style="582" customWidth="1"/>
    <col min="7688" max="7688" width="23.453125" style="582" customWidth="1"/>
    <col min="7689" max="7689" width="16.81640625" style="582" customWidth="1"/>
    <col min="7690" max="7690" width="16.1796875" style="582" customWidth="1"/>
    <col min="7691" max="7691" width="15.1796875" style="582" customWidth="1"/>
    <col min="7692" max="7692" width="20" style="582" customWidth="1"/>
    <col min="7693" max="7693" width="16.81640625" style="582" customWidth="1"/>
    <col min="7694" max="7694" width="12.1796875" style="582" customWidth="1"/>
    <col min="7695" max="7941" width="9.1796875" style="582"/>
    <col min="7942" max="7942" width="4.81640625" style="582" customWidth="1"/>
    <col min="7943" max="7943" width="11.1796875" style="582" customWidth="1"/>
    <col min="7944" max="7944" width="23.453125" style="582" customWidth="1"/>
    <col min="7945" max="7945" width="16.81640625" style="582" customWidth="1"/>
    <col min="7946" max="7946" width="16.1796875" style="582" customWidth="1"/>
    <col min="7947" max="7947" width="15.1796875" style="582" customWidth="1"/>
    <col min="7948" max="7948" width="20" style="582" customWidth="1"/>
    <col min="7949" max="7949" width="16.81640625" style="582" customWidth="1"/>
    <col min="7950" max="7950" width="12.1796875" style="582" customWidth="1"/>
    <col min="7951" max="8197" width="9.1796875" style="582"/>
    <col min="8198" max="8198" width="4.81640625" style="582" customWidth="1"/>
    <col min="8199" max="8199" width="11.1796875" style="582" customWidth="1"/>
    <col min="8200" max="8200" width="23.453125" style="582" customWidth="1"/>
    <col min="8201" max="8201" width="16.81640625" style="582" customWidth="1"/>
    <col min="8202" max="8202" width="16.1796875" style="582" customWidth="1"/>
    <col min="8203" max="8203" width="15.1796875" style="582" customWidth="1"/>
    <col min="8204" max="8204" width="20" style="582" customWidth="1"/>
    <col min="8205" max="8205" width="16.81640625" style="582" customWidth="1"/>
    <col min="8206" max="8206" width="12.1796875" style="582" customWidth="1"/>
    <col min="8207" max="8453" width="9.1796875" style="582"/>
    <col min="8454" max="8454" width="4.81640625" style="582" customWidth="1"/>
    <col min="8455" max="8455" width="11.1796875" style="582" customWidth="1"/>
    <col min="8456" max="8456" width="23.453125" style="582" customWidth="1"/>
    <col min="8457" max="8457" width="16.81640625" style="582" customWidth="1"/>
    <col min="8458" max="8458" width="16.1796875" style="582" customWidth="1"/>
    <col min="8459" max="8459" width="15.1796875" style="582" customWidth="1"/>
    <col min="8460" max="8460" width="20" style="582" customWidth="1"/>
    <col min="8461" max="8461" width="16.81640625" style="582" customWidth="1"/>
    <col min="8462" max="8462" width="12.1796875" style="582" customWidth="1"/>
    <col min="8463" max="8709" width="9.1796875" style="582"/>
    <col min="8710" max="8710" width="4.81640625" style="582" customWidth="1"/>
    <col min="8711" max="8711" width="11.1796875" style="582" customWidth="1"/>
    <col min="8712" max="8712" width="23.453125" style="582" customWidth="1"/>
    <col min="8713" max="8713" width="16.81640625" style="582" customWidth="1"/>
    <col min="8714" max="8714" width="16.1796875" style="582" customWidth="1"/>
    <col min="8715" max="8715" width="15.1796875" style="582" customWidth="1"/>
    <col min="8716" max="8716" width="20" style="582" customWidth="1"/>
    <col min="8717" max="8717" width="16.81640625" style="582" customWidth="1"/>
    <col min="8718" max="8718" width="12.1796875" style="582" customWidth="1"/>
    <col min="8719" max="8965" width="9.1796875" style="582"/>
    <col min="8966" max="8966" width="4.81640625" style="582" customWidth="1"/>
    <col min="8967" max="8967" width="11.1796875" style="582" customWidth="1"/>
    <col min="8968" max="8968" width="23.453125" style="582" customWidth="1"/>
    <col min="8969" max="8969" width="16.81640625" style="582" customWidth="1"/>
    <col min="8970" max="8970" width="16.1796875" style="582" customWidth="1"/>
    <col min="8971" max="8971" width="15.1796875" style="582" customWidth="1"/>
    <col min="8972" max="8972" width="20" style="582" customWidth="1"/>
    <col min="8973" max="8973" width="16.81640625" style="582" customWidth="1"/>
    <col min="8974" max="8974" width="12.1796875" style="582" customWidth="1"/>
    <col min="8975" max="9221" width="9.1796875" style="582"/>
    <col min="9222" max="9222" width="4.81640625" style="582" customWidth="1"/>
    <col min="9223" max="9223" width="11.1796875" style="582" customWidth="1"/>
    <col min="9224" max="9224" width="23.453125" style="582" customWidth="1"/>
    <col min="9225" max="9225" width="16.81640625" style="582" customWidth="1"/>
    <col min="9226" max="9226" width="16.1796875" style="582" customWidth="1"/>
    <col min="9227" max="9227" width="15.1796875" style="582" customWidth="1"/>
    <col min="9228" max="9228" width="20" style="582" customWidth="1"/>
    <col min="9229" max="9229" width="16.81640625" style="582" customWidth="1"/>
    <col min="9230" max="9230" width="12.1796875" style="582" customWidth="1"/>
    <col min="9231" max="9477" width="9.1796875" style="582"/>
    <col min="9478" max="9478" width="4.81640625" style="582" customWidth="1"/>
    <col min="9479" max="9479" width="11.1796875" style="582" customWidth="1"/>
    <col min="9480" max="9480" width="23.453125" style="582" customWidth="1"/>
    <col min="9481" max="9481" width="16.81640625" style="582" customWidth="1"/>
    <col min="9482" max="9482" width="16.1796875" style="582" customWidth="1"/>
    <col min="9483" max="9483" width="15.1796875" style="582" customWidth="1"/>
    <col min="9484" max="9484" width="20" style="582" customWidth="1"/>
    <col min="9485" max="9485" width="16.81640625" style="582" customWidth="1"/>
    <col min="9486" max="9486" width="12.1796875" style="582" customWidth="1"/>
    <col min="9487" max="9733" width="9.1796875" style="582"/>
    <col min="9734" max="9734" width="4.81640625" style="582" customWidth="1"/>
    <col min="9735" max="9735" width="11.1796875" style="582" customWidth="1"/>
    <col min="9736" max="9736" width="23.453125" style="582" customWidth="1"/>
    <col min="9737" max="9737" width="16.81640625" style="582" customWidth="1"/>
    <col min="9738" max="9738" width="16.1796875" style="582" customWidth="1"/>
    <col min="9739" max="9739" width="15.1796875" style="582" customWidth="1"/>
    <col min="9740" max="9740" width="20" style="582" customWidth="1"/>
    <col min="9741" max="9741" width="16.81640625" style="582" customWidth="1"/>
    <col min="9742" max="9742" width="12.1796875" style="582" customWidth="1"/>
    <col min="9743" max="9989" width="9.1796875" style="582"/>
    <col min="9990" max="9990" width="4.81640625" style="582" customWidth="1"/>
    <col min="9991" max="9991" width="11.1796875" style="582" customWidth="1"/>
    <col min="9992" max="9992" width="23.453125" style="582" customWidth="1"/>
    <col min="9993" max="9993" width="16.81640625" style="582" customWidth="1"/>
    <col min="9994" max="9994" width="16.1796875" style="582" customWidth="1"/>
    <col min="9995" max="9995" width="15.1796875" style="582" customWidth="1"/>
    <col min="9996" max="9996" width="20" style="582" customWidth="1"/>
    <col min="9997" max="9997" width="16.81640625" style="582" customWidth="1"/>
    <col min="9998" max="9998" width="12.1796875" style="582" customWidth="1"/>
    <col min="9999" max="10245" width="9.1796875" style="582"/>
    <col min="10246" max="10246" width="4.81640625" style="582" customWidth="1"/>
    <col min="10247" max="10247" width="11.1796875" style="582" customWidth="1"/>
    <col min="10248" max="10248" width="23.453125" style="582" customWidth="1"/>
    <col min="10249" max="10249" width="16.81640625" style="582" customWidth="1"/>
    <col min="10250" max="10250" width="16.1796875" style="582" customWidth="1"/>
    <col min="10251" max="10251" width="15.1796875" style="582" customWidth="1"/>
    <col min="10252" max="10252" width="20" style="582" customWidth="1"/>
    <col min="10253" max="10253" width="16.81640625" style="582" customWidth="1"/>
    <col min="10254" max="10254" width="12.1796875" style="582" customWidth="1"/>
    <col min="10255" max="10501" width="9.1796875" style="582"/>
    <col min="10502" max="10502" width="4.81640625" style="582" customWidth="1"/>
    <col min="10503" max="10503" width="11.1796875" style="582" customWidth="1"/>
    <col min="10504" max="10504" width="23.453125" style="582" customWidth="1"/>
    <col min="10505" max="10505" width="16.81640625" style="582" customWidth="1"/>
    <col min="10506" max="10506" width="16.1796875" style="582" customWidth="1"/>
    <col min="10507" max="10507" width="15.1796875" style="582" customWidth="1"/>
    <col min="10508" max="10508" width="20" style="582" customWidth="1"/>
    <col min="10509" max="10509" width="16.81640625" style="582" customWidth="1"/>
    <col min="10510" max="10510" width="12.1796875" style="582" customWidth="1"/>
    <col min="10511" max="10757" width="9.1796875" style="582"/>
    <col min="10758" max="10758" width="4.81640625" style="582" customWidth="1"/>
    <col min="10759" max="10759" width="11.1796875" style="582" customWidth="1"/>
    <col min="10760" max="10760" width="23.453125" style="582" customWidth="1"/>
    <col min="10761" max="10761" width="16.81640625" style="582" customWidth="1"/>
    <col min="10762" max="10762" width="16.1796875" style="582" customWidth="1"/>
    <col min="10763" max="10763" width="15.1796875" style="582" customWidth="1"/>
    <col min="10764" max="10764" width="20" style="582" customWidth="1"/>
    <col min="10765" max="10765" width="16.81640625" style="582" customWidth="1"/>
    <col min="10766" max="10766" width="12.1796875" style="582" customWidth="1"/>
    <col min="10767" max="11013" width="9.1796875" style="582"/>
    <col min="11014" max="11014" width="4.81640625" style="582" customWidth="1"/>
    <col min="11015" max="11015" width="11.1796875" style="582" customWidth="1"/>
    <col min="11016" max="11016" width="23.453125" style="582" customWidth="1"/>
    <col min="11017" max="11017" width="16.81640625" style="582" customWidth="1"/>
    <col min="11018" max="11018" width="16.1796875" style="582" customWidth="1"/>
    <col min="11019" max="11019" width="15.1796875" style="582" customWidth="1"/>
    <col min="11020" max="11020" width="20" style="582" customWidth="1"/>
    <col min="11021" max="11021" width="16.81640625" style="582" customWidth="1"/>
    <col min="11022" max="11022" width="12.1796875" style="582" customWidth="1"/>
    <col min="11023" max="11269" width="9.1796875" style="582"/>
    <col min="11270" max="11270" width="4.81640625" style="582" customWidth="1"/>
    <col min="11271" max="11271" width="11.1796875" style="582" customWidth="1"/>
    <col min="11272" max="11272" width="23.453125" style="582" customWidth="1"/>
    <col min="11273" max="11273" width="16.81640625" style="582" customWidth="1"/>
    <col min="11274" max="11274" width="16.1796875" style="582" customWidth="1"/>
    <col min="11275" max="11275" width="15.1796875" style="582" customWidth="1"/>
    <col min="11276" max="11276" width="20" style="582" customWidth="1"/>
    <col min="11277" max="11277" width="16.81640625" style="582" customWidth="1"/>
    <col min="11278" max="11278" width="12.1796875" style="582" customWidth="1"/>
    <col min="11279" max="11525" width="9.1796875" style="582"/>
    <col min="11526" max="11526" width="4.81640625" style="582" customWidth="1"/>
    <col min="11527" max="11527" width="11.1796875" style="582" customWidth="1"/>
    <col min="11528" max="11528" width="23.453125" style="582" customWidth="1"/>
    <col min="11529" max="11529" width="16.81640625" style="582" customWidth="1"/>
    <col min="11530" max="11530" width="16.1796875" style="582" customWidth="1"/>
    <col min="11531" max="11531" width="15.1796875" style="582" customWidth="1"/>
    <col min="11532" max="11532" width="20" style="582" customWidth="1"/>
    <col min="11533" max="11533" width="16.81640625" style="582" customWidth="1"/>
    <col min="11534" max="11534" width="12.1796875" style="582" customWidth="1"/>
    <col min="11535" max="11781" width="9.1796875" style="582"/>
    <col min="11782" max="11782" width="4.81640625" style="582" customWidth="1"/>
    <col min="11783" max="11783" width="11.1796875" style="582" customWidth="1"/>
    <col min="11784" max="11784" width="23.453125" style="582" customWidth="1"/>
    <col min="11785" max="11785" width="16.81640625" style="582" customWidth="1"/>
    <col min="11786" max="11786" width="16.1796875" style="582" customWidth="1"/>
    <col min="11787" max="11787" width="15.1796875" style="582" customWidth="1"/>
    <col min="11788" max="11788" width="20" style="582" customWidth="1"/>
    <col min="11789" max="11789" width="16.81640625" style="582" customWidth="1"/>
    <col min="11790" max="11790" width="12.1796875" style="582" customWidth="1"/>
    <col min="11791" max="12037" width="9.1796875" style="582"/>
    <col min="12038" max="12038" width="4.81640625" style="582" customWidth="1"/>
    <col min="12039" max="12039" width="11.1796875" style="582" customWidth="1"/>
    <col min="12040" max="12040" width="23.453125" style="582" customWidth="1"/>
    <col min="12041" max="12041" width="16.81640625" style="582" customWidth="1"/>
    <col min="12042" max="12042" width="16.1796875" style="582" customWidth="1"/>
    <col min="12043" max="12043" width="15.1796875" style="582" customWidth="1"/>
    <col min="12044" max="12044" width="20" style="582" customWidth="1"/>
    <col min="12045" max="12045" width="16.81640625" style="582" customWidth="1"/>
    <col min="12046" max="12046" width="12.1796875" style="582" customWidth="1"/>
    <col min="12047" max="12293" width="9.1796875" style="582"/>
    <col min="12294" max="12294" width="4.81640625" style="582" customWidth="1"/>
    <col min="12295" max="12295" width="11.1796875" style="582" customWidth="1"/>
    <col min="12296" max="12296" width="23.453125" style="582" customWidth="1"/>
    <col min="12297" max="12297" width="16.81640625" style="582" customWidth="1"/>
    <col min="12298" max="12298" width="16.1796875" style="582" customWidth="1"/>
    <col min="12299" max="12299" width="15.1796875" style="582" customWidth="1"/>
    <col min="12300" max="12300" width="20" style="582" customWidth="1"/>
    <col min="12301" max="12301" width="16.81640625" style="582" customWidth="1"/>
    <col min="12302" max="12302" width="12.1796875" style="582" customWidth="1"/>
    <col min="12303" max="12549" width="9.1796875" style="582"/>
    <col min="12550" max="12550" width="4.81640625" style="582" customWidth="1"/>
    <col min="12551" max="12551" width="11.1796875" style="582" customWidth="1"/>
    <col min="12552" max="12552" width="23.453125" style="582" customWidth="1"/>
    <col min="12553" max="12553" width="16.81640625" style="582" customWidth="1"/>
    <col min="12554" max="12554" width="16.1796875" style="582" customWidth="1"/>
    <col min="12555" max="12555" width="15.1796875" style="582" customWidth="1"/>
    <col min="12556" max="12556" width="20" style="582" customWidth="1"/>
    <col min="12557" max="12557" width="16.81640625" style="582" customWidth="1"/>
    <col min="12558" max="12558" width="12.1796875" style="582" customWidth="1"/>
    <col min="12559" max="12805" width="9.1796875" style="582"/>
    <col min="12806" max="12806" width="4.81640625" style="582" customWidth="1"/>
    <col min="12807" max="12807" width="11.1796875" style="582" customWidth="1"/>
    <col min="12808" max="12808" width="23.453125" style="582" customWidth="1"/>
    <col min="12809" max="12809" width="16.81640625" style="582" customWidth="1"/>
    <col min="12810" max="12810" width="16.1796875" style="582" customWidth="1"/>
    <col min="12811" max="12811" width="15.1796875" style="582" customWidth="1"/>
    <col min="12812" max="12812" width="20" style="582" customWidth="1"/>
    <col min="12813" max="12813" width="16.81640625" style="582" customWidth="1"/>
    <col min="12814" max="12814" width="12.1796875" style="582" customWidth="1"/>
    <col min="12815" max="13061" width="9.1796875" style="582"/>
    <col min="13062" max="13062" width="4.81640625" style="582" customWidth="1"/>
    <col min="13063" max="13063" width="11.1796875" style="582" customWidth="1"/>
    <col min="13064" max="13064" width="23.453125" style="582" customWidth="1"/>
    <col min="13065" max="13065" width="16.81640625" style="582" customWidth="1"/>
    <col min="13066" max="13066" width="16.1796875" style="582" customWidth="1"/>
    <col min="13067" max="13067" width="15.1796875" style="582" customWidth="1"/>
    <col min="13068" max="13068" width="20" style="582" customWidth="1"/>
    <col min="13069" max="13069" width="16.81640625" style="582" customWidth="1"/>
    <col min="13070" max="13070" width="12.1796875" style="582" customWidth="1"/>
    <col min="13071" max="13317" width="9.1796875" style="582"/>
    <col min="13318" max="13318" width="4.81640625" style="582" customWidth="1"/>
    <col min="13319" max="13319" width="11.1796875" style="582" customWidth="1"/>
    <col min="13320" max="13320" width="23.453125" style="582" customWidth="1"/>
    <col min="13321" max="13321" width="16.81640625" style="582" customWidth="1"/>
    <col min="13322" max="13322" width="16.1796875" style="582" customWidth="1"/>
    <col min="13323" max="13323" width="15.1796875" style="582" customWidth="1"/>
    <col min="13324" max="13324" width="20" style="582" customWidth="1"/>
    <col min="13325" max="13325" width="16.81640625" style="582" customWidth="1"/>
    <col min="13326" max="13326" width="12.1796875" style="582" customWidth="1"/>
    <col min="13327" max="13573" width="9.1796875" style="582"/>
    <col min="13574" max="13574" width="4.81640625" style="582" customWidth="1"/>
    <col min="13575" max="13575" width="11.1796875" style="582" customWidth="1"/>
    <col min="13576" max="13576" width="23.453125" style="582" customWidth="1"/>
    <col min="13577" max="13577" width="16.81640625" style="582" customWidth="1"/>
    <col min="13578" max="13578" width="16.1796875" style="582" customWidth="1"/>
    <col min="13579" max="13579" width="15.1796875" style="582" customWidth="1"/>
    <col min="13580" max="13580" width="20" style="582" customWidth="1"/>
    <col min="13581" max="13581" width="16.81640625" style="582" customWidth="1"/>
    <col min="13582" max="13582" width="12.1796875" style="582" customWidth="1"/>
    <col min="13583" max="13829" width="9.1796875" style="582"/>
    <col min="13830" max="13830" width="4.81640625" style="582" customWidth="1"/>
    <col min="13831" max="13831" width="11.1796875" style="582" customWidth="1"/>
    <col min="13832" max="13832" width="23.453125" style="582" customWidth="1"/>
    <col min="13833" max="13833" width="16.81640625" style="582" customWidth="1"/>
    <col min="13834" max="13834" width="16.1796875" style="582" customWidth="1"/>
    <col min="13835" max="13835" width="15.1796875" style="582" customWidth="1"/>
    <col min="13836" max="13836" width="20" style="582" customWidth="1"/>
    <col min="13837" max="13837" width="16.81640625" style="582" customWidth="1"/>
    <col min="13838" max="13838" width="12.1796875" style="582" customWidth="1"/>
    <col min="13839" max="14085" width="9.1796875" style="582"/>
    <col min="14086" max="14086" width="4.81640625" style="582" customWidth="1"/>
    <col min="14087" max="14087" width="11.1796875" style="582" customWidth="1"/>
    <col min="14088" max="14088" width="23.453125" style="582" customWidth="1"/>
    <col min="14089" max="14089" width="16.81640625" style="582" customWidth="1"/>
    <col min="14090" max="14090" width="16.1796875" style="582" customWidth="1"/>
    <col min="14091" max="14091" width="15.1796875" style="582" customWidth="1"/>
    <col min="14092" max="14092" width="20" style="582" customWidth="1"/>
    <col min="14093" max="14093" width="16.81640625" style="582" customWidth="1"/>
    <col min="14094" max="14094" width="12.1796875" style="582" customWidth="1"/>
    <col min="14095" max="14341" width="9.1796875" style="582"/>
    <col min="14342" max="14342" width="4.81640625" style="582" customWidth="1"/>
    <col min="14343" max="14343" width="11.1796875" style="582" customWidth="1"/>
    <col min="14344" max="14344" width="23.453125" style="582" customWidth="1"/>
    <col min="14345" max="14345" width="16.81640625" style="582" customWidth="1"/>
    <col min="14346" max="14346" width="16.1796875" style="582" customWidth="1"/>
    <col min="14347" max="14347" width="15.1796875" style="582" customWidth="1"/>
    <col min="14348" max="14348" width="20" style="582" customWidth="1"/>
    <col min="14349" max="14349" width="16.81640625" style="582" customWidth="1"/>
    <col min="14350" max="14350" width="12.1796875" style="582" customWidth="1"/>
    <col min="14351" max="14597" width="9.1796875" style="582"/>
    <col min="14598" max="14598" width="4.81640625" style="582" customWidth="1"/>
    <col min="14599" max="14599" width="11.1796875" style="582" customWidth="1"/>
    <col min="14600" max="14600" width="23.453125" style="582" customWidth="1"/>
    <col min="14601" max="14601" width="16.81640625" style="582" customWidth="1"/>
    <col min="14602" max="14602" width="16.1796875" style="582" customWidth="1"/>
    <col min="14603" max="14603" width="15.1796875" style="582" customWidth="1"/>
    <col min="14604" max="14604" width="20" style="582" customWidth="1"/>
    <col min="14605" max="14605" width="16.81640625" style="582" customWidth="1"/>
    <col min="14606" max="14606" width="12.1796875" style="582" customWidth="1"/>
    <col min="14607" max="14853" width="9.1796875" style="582"/>
    <col min="14854" max="14854" width="4.81640625" style="582" customWidth="1"/>
    <col min="14855" max="14855" width="11.1796875" style="582" customWidth="1"/>
    <col min="14856" max="14856" width="23.453125" style="582" customWidth="1"/>
    <col min="14857" max="14857" width="16.81640625" style="582" customWidth="1"/>
    <col min="14858" max="14858" width="16.1796875" style="582" customWidth="1"/>
    <col min="14859" max="14859" width="15.1796875" style="582" customWidth="1"/>
    <col min="14860" max="14860" width="20" style="582" customWidth="1"/>
    <col min="14861" max="14861" width="16.81640625" style="582" customWidth="1"/>
    <col min="14862" max="14862" width="12.1796875" style="582" customWidth="1"/>
    <col min="14863" max="15109" width="9.1796875" style="582"/>
    <col min="15110" max="15110" width="4.81640625" style="582" customWidth="1"/>
    <col min="15111" max="15111" width="11.1796875" style="582" customWidth="1"/>
    <col min="15112" max="15112" width="23.453125" style="582" customWidth="1"/>
    <col min="15113" max="15113" width="16.81640625" style="582" customWidth="1"/>
    <col min="15114" max="15114" width="16.1796875" style="582" customWidth="1"/>
    <col min="15115" max="15115" width="15.1796875" style="582" customWidth="1"/>
    <col min="15116" max="15116" width="20" style="582" customWidth="1"/>
    <col min="15117" max="15117" width="16.81640625" style="582" customWidth="1"/>
    <col min="15118" max="15118" width="12.1796875" style="582" customWidth="1"/>
    <col min="15119" max="15365" width="9.1796875" style="582"/>
    <col min="15366" max="15366" width="4.81640625" style="582" customWidth="1"/>
    <col min="15367" max="15367" width="11.1796875" style="582" customWidth="1"/>
    <col min="15368" max="15368" width="23.453125" style="582" customWidth="1"/>
    <col min="15369" max="15369" width="16.81640625" style="582" customWidth="1"/>
    <col min="15370" max="15370" width="16.1796875" style="582" customWidth="1"/>
    <col min="15371" max="15371" width="15.1796875" style="582" customWidth="1"/>
    <col min="15372" max="15372" width="20" style="582" customWidth="1"/>
    <col min="15373" max="15373" width="16.81640625" style="582" customWidth="1"/>
    <col min="15374" max="15374" width="12.1796875" style="582" customWidth="1"/>
    <col min="15375" max="15621" width="9.1796875" style="582"/>
    <col min="15622" max="15622" width="4.81640625" style="582" customWidth="1"/>
    <col min="15623" max="15623" width="11.1796875" style="582" customWidth="1"/>
    <col min="15624" max="15624" width="23.453125" style="582" customWidth="1"/>
    <col min="15625" max="15625" width="16.81640625" style="582" customWidth="1"/>
    <col min="15626" max="15626" width="16.1796875" style="582" customWidth="1"/>
    <col min="15627" max="15627" width="15.1796875" style="582" customWidth="1"/>
    <col min="15628" max="15628" width="20" style="582" customWidth="1"/>
    <col min="15629" max="15629" width="16.81640625" style="582" customWidth="1"/>
    <col min="15630" max="15630" width="12.1796875" style="582" customWidth="1"/>
    <col min="15631" max="15877" width="9.1796875" style="582"/>
    <col min="15878" max="15878" width="4.81640625" style="582" customWidth="1"/>
    <col min="15879" max="15879" width="11.1796875" style="582" customWidth="1"/>
    <col min="15880" max="15880" width="23.453125" style="582" customWidth="1"/>
    <col min="15881" max="15881" width="16.81640625" style="582" customWidth="1"/>
    <col min="15882" max="15882" width="16.1796875" style="582" customWidth="1"/>
    <col min="15883" max="15883" width="15.1796875" style="582" customWidth="1"/>
    <col min="15884" max="15884" width="20" style="582" customWidth="1"/>
    <col min="15885" max="15885" width="16.81640625" style="582" customWidth="1"/>
    <col min="15886" max="15886" width="12.1796875" style="582" customWidth="1"/>
    <col min="15887" max="16133" width="9.1796875" style="582"/>
    <col min="16134" max="16134" width="4.81640625" style="582" customWidth="1"/>
    <col min="16135" max="16135" width="11.1796875" style="582" customWidth="1"/>
    <col min="16136" max="16136" width="23.453125" style="582" customWidth="1"/>
    <col min="16137" max="16137" width="16.81640625" style="582" customWidth="1"/>
    <col min="16138" max="16138" width="16.1796875" style="582" customWidth="1"/>
    <col min="16139" max="16139" width="15.1796875" style="582" customWidth="1"/>
    <col min="16140" max="16140" width="20" style="582" customWidth="1"/>
    <col min="16141" max="16141" width="16.81640625" style="582" customWidth="1"/>
    <col min="16142" max="16142" width="12.1796875" style="582" customWidth="1"/>
    <col min="16143" max="16384" width="9.1796875" style="582"/>
  </cols>
  <sheetData>
    <row r="1" spans="1:18" x14ac:dyDescent="0.3">
      <c r="B1" s="581"/>
      <c r="C1" s="581"/>
      <c r="E1" s="582"/>
      <c r="F1" s="582"/>
      <c r="G1" s="991"/>
      <c r="H1" s="582"/>
      <c r="I1" s="582"/>
      <c r="J1" s="582"/>
      <c r="K1" s="582"/>
      <c r="L1" s="582"/>
    </row>
    <row r="2" spans="1:18" x14ac:dyDescent="0.3">
      <c r="B2" s="17"/>
      <c r="C2" s="17"/>
      <c r="D2" s="17"/>
      <c r="E2" s="17"/>
      <c r="F2" s="62" t="s">
        <v>1433</v>
      </c>
      <c r="G2" s="992"/>
      <c r="H2" s="17"/>
      <c r="I2" s="17"/>
      <c r="J2" s="17"/>
      <c r="K2" s="17"/>
      <c r="L2" s="17"/>
    </row>
    <row r="3" spans="1:18" x14ac:dyDescent="0.3">
      <c r="C3" s="627"/>
      <c r="D3" s="627"/>
      <c r="E3" s="627"/>
      <c r="F3" s="63" t="s">
        <v>3039</v>
      </c>
      <c r="G3" s="628"/>
      <c r="H3" s="627"/>
      <c r="I3" s="627"/>
      <c r="J3" s="627"/>
      <c r="K3" s="627"/>
      <c r="L3" s="627"/>
    </row>
    <row r="4" spans="1:18" x14ac:dyDescent="0.3">
      <c r="B4" s="17"/>
      <c r="C4" s="17"/>
      <c r="D4" s="17"/>
      <c r="E4" s="17"/>
      <c r="F4" s="628" t="s">
        <v>1055</v>
      </c>
      <c r="G4" s="992"/>
      <c r="H4" s="17"/>
      <c r="I4" s="17"/>
      <c r="J4" s="17"/>
      <c r="K4" s="17"/>
      <c r="L4" s="17"/>
    </row>
    <row r="5" spans="1:18" x14ac:dyDescent="0.3">
      <c r="E5" s="582"/>
      <c r="F5" s="582"/>
      <c r="G5" s="991"/>
      <c r="H5" s="582"/>
      <c r="I5" s="582"/>
      <c r="J5" s="582"/>
      <c r="K5" s="582"/>
      <c r="L5" s="582"/>
    </row>
    <row r="6" spans="1:18" x14ac:dyDescent="0.3">
      <c r="E6" s="582"/>
      <c r="F6" s="582"/>
      <c r="G6" s="991"/>
      <c r="H6" s="582"/>
      <c r="I6" s="582"/>
      <c r="J6" s="582"/>
      <c r="K6" s="582"/>
      <c r="L6" s="582"/>
    </row>
    <row r="7" spans="1:18" s="589" customFormat="1" x14ac:dyDescent="0.3">
      <c r="B7" s="1568" t="s">
        <v>327</v>
      </c>
      <c r="C7" s="1568" t="s">
        <v>398</v>
      </c>
      <c r="D7" s="1568" t="s">
        <v>1056</v>
      </c>
      <c r="E7" s="1566" t="s">
        <v>477</v>
      </c>
      <c r="F7" s="1567"/>
      <c r="G7" s="1566" t="s">
        <v>849</v>
      </c>
      <c r="H7" s="1567"/>
      <c r="I7" s="1566" t="s">
        <v>850</v>
      </c>
      <c r="J7" s="1567"/>
      <c r="K7" s="1566" t="s">
        <v>851</v>
      </c>
      <c r="L7" s="1567"/>
      <c r="M7" s="1566" t="s">
        <v>852</v>
      </c>
      <c r="N7" s="1567"/>
      <c r="O7" s="1566" t="s">
        <v>853</v>
      </c>
      <c r="P7" s="1567"/>
    </row>
    <row r="8" spans="1:18" ht="42" x14ac:dyDescent="0.3">
      <c r="A8" s="582" t="s">
        <v>2823</v>
      </c>
      <c r="B8" s="1569"/>
      <c r="C8" s="1569"/>
      <c r="D8" s="1569"/>
      <c r="E8" s="629" t="s">
        <v>1057</v>
      </c>
      <c r="F8" s="629" t="s">
        <v>1058</v>
      </c>
      <c r="G8" s="629" t="s">
        <v>1057</v>
      </c>
      <c r="H8" s="629" t="s">
        <v>1058</v>
      </c>
      <c r="I8" s="629" t="s">
        <v>1057</v>
      </c>
      <c r="J8" s="629" t="s">
        <v>1058</v>
      </c>
      <c r="K8" s="629" t="s">
        <v>1057</v>
      </c>
      <c r="L8" s="629" t="s">
        <v>1058</v>
      </c>
      <c r="M8" s="629" t="s">
        <v>1057</v>
      </c>
      <c r="N8" s="629" t="s">
        <v>1058</v>
      </c>
      <c r="O8" s="629" t="s">
        <v>1057</v>
      </c>
      <c r="P8" s="629" t="s">
        <v>1058</v>
      </c>
      <c r="R8" s="582" t="s">
        <v>2824</v>
      </c>
    </row>
    <row r="9" spans="1:18" x14ac:dyDescent="0.3">
      <c r="B9" s="630"/>
      <c r="C9" s="630"/>
      <c r="D9" s="630"/>
      <c r="E9" s="630"/>
      <c r="F9" s="630"/>
      <c r="G9" s="964"/>
      <c r="H9" s="630"/>
      <c r="I9" s="630"/>
      <c r="J9" s="630"/>
      <c r="K9" s="630"/>
      <c r="L9" s="630"/>
      <c r="M9" s="630"/>
      <c r="N9" s="630"/>
      <c r="O9" s="630"/>
      <c r="P9" s="630"/>
    </row>
    <row r="10" spans="1:18" x14ac:dyDescent="0.3">
      <c r="B10" s="631" t="s">
        <v>1059</v>
      </c>
      <c r="C10" s="632" t="s">
        <v>1060</v>
      </c>
      <c r="D10" s="630"/>
      <c r="E10" s="1053"/>
      <c r="F10" s="993"/>
      <c r="G10" s="1054"/>
      <c r="H10" s="993"/>
      <c r="I10" s="993"/>
      <c r="J10" s="993"/>
      <c r="K10" s="1053"/>
      <c r="L10" s="993"/>
      <c r="M10" s="993"/>
      <c r="N10" s="993"/>
      <c r="O10" s="993"/>
      <c r="P10" s="993"/>
    </row>
    <row r="11" spans="1:18" x14ac:dyDescent="0.3">
      <c r="B11" s="633"/>
      <c r="C11" s="634"/>
      <c r="D11" s="634" t="s">
        <v>982</v>
      </c>
      <c r="E11" s="1349"/>
      <c r="F11" s="994"/>
      <c r="G11" s="1056"/>
      <c r="H11" s="994"/>
      <c r="I11" s="994"/>
      <c r="J11" s="994"/>
      <c r="K11" s="1055"/>
      <c r="L11" s="993"/>
      <c r="M11" s="993"/>
      <c r="N11" s="993"/>
      <c r="O11" s="993"/>
      <c r="P11" s="993"/>
    </row>
    <row r="12" spans="1:18" ht="28" x14ac:dyDescent="0.3">
      <c r="B12" s="633"/>
      <c r="C12" s="634"/>
      <c r="D12" s="634" t="s">
        <v>983</v>
      </c>
      <c r="E12" s="1348">
        <v>12.155065864000001</v>
      </c>
      <c r="F12" s="1237" t="s">
        <v>3015</v>
      </c>
      <c r="G12" s="1353">
        <v>26.852357610000009</v>
      </c>
      <c r="H12" s="1237" t="s">
        <v>3016</v>
      </c>
      <c r="I12" s="1356">
        <v>25.666701377524792</v>
      </c>
      <c r="J12" s="1237" t="s">
        <v>3016</v>
      </c>
      <c r="K12" s="1353">
        <v>0</v>
      </c>
      <c r="L12" s="1237" t="s">
        <v>3016</v>
      </c>
      <c r="M12" s="1173"/>
      <c r="N12" s="1173"/>
      <c r="O12" s="1173"/>
      <c r="P12" s="1173"/>
    </row>
    <row r="13" spans="1:18" x14ac:dyDescent="0.3">
      <c r="B13" s="633"/>
      <c r="C13" s="634"/>
      <c r="D13" s="634" t="s">
        <v>3064</v>
      </c>
      <c r="E13" s="1348">
        <v>0</v>
      </c>
      <c r="F13" s="1237"/>
      <c r="G13" s="1353">
        <v>0</v>
      </c>
      <c r="H13" s="1237"/>
      <c r="I13" s="1356">
        <v>149.2327162042688</v>
      </c>
      <c r="J13" s="1237"/>
      <c r="K13" s="1353">
        <v>0</v>
      </c>
      <c r="L13" s="1237"/>
      <c r="M13" s="1173"/>
      <c r="N13" s="1173"/>
      <c r="O13" s="1173"/>
      <c r="P13" s="1173"/>
    </row>
    <row r="14" spans="1:18" x14ac:dyDescent="0.3">
      <c r="B14" s="633"/>
      <c r="C14" s="634"/>
      <c r="D14" s="634" t="s">
        <v>3065</v>
      </c>
      <c r="E14" s="1348">
        <v>0</v>
      </c>
      <c r="F14" s="1237"/>
      <c r="G14" s="1353">
        <v>0</v>
      </c>
      <c r="H14" s="1237"/>
      <c r="I14" s="1356">
        <v>40.428791225206773</v>
      </c>
      <c r="J14" s="1237"/>
      <c r="K14" s="1353">
        <v>0</v>
      </c>
      <c r="L14" s="1237"/>
      <c r="M14" s="1173"/>
      <c r="N14" s="1173"/>
      <c r="O14" s="1173"/>
      <c r="P14" s="1173"/>
    </row>
    <row r="15" spans="1:18" x14ac:dyDescent="0.3">
      <c r="B15" s="633"/>
      <c r="C15" s="634"/>
      <c r="D15" s="634" t="s">
        <v>3025</v>
      </c>
      <c r="E15" s="1348">
        <v>1.9455613949999999</v>
      </c>
      <c r="F15" s="1237"/>
      <c r="G15" s="1353">
        <v>55.641144719999907</v>
      </c>
      <c r="H15" s="1237"/>
      <c r="I15" s="1356">
        <v>11.33</v>
      </c>
      <c r="J15" s="1237"/>
      <c r="K15" s="1353">
        <v>4.8600000000000003</v>
      </c>
      <c r="L15" s="1237"/>
      <c r="M15" s="1173"/>
      <c r="N15" s="1173"/>
      <c r="O15" s="1173"/>
      <c r="P15" s="1173"/>
    </row>
    <row r="16" spans="1:18" x14ac:dyDescent="0.3">
      <c r="B16" s="633"/>
      <c r="C16" s="634"/>
      <c r="D16" s="634" t="s">
        <v>3024</v>
      </c>
      <c r="E16" s="1348"/>
      <c r="F16" s="1237"/>
      <c r="G16" s="1353"/>
      <c r="H16" s="1237"/>
      <c r="I16" s="1356"/>
      <c r="J16" s="1237"/>
      <c r="K16" s="1353"/>
      <c r="L16" s="1237"/>
      <c r="M16" s="1173"/>
      <c r="N16" s="1173"/>
      <c r="O16" s="1173"/>
      <c r="P16" s="1173"/>
    </row>
    <row r="17" spans="2:18" x14ac:dyDescent="0.3">
      <c r="B17" s="633"/>
      <c r="C17" s="634"/>
      <c r="D17" s="634" t="s">
        <v>1458</v>
      </c>
      <c r="E17" s="1348">
        <v>0.47631466900000002</v>
      </c>
      <c r="F17" s="1237" t="s">
        <v>3016</v>
      </c>
      <c r="G17" s="1353">
        <v>9.8653953640000065</v>
      </c>
      <c r="H17" s="1237" t="s">
        <v>3016</v>
      </c>
      <c r="I17" s="1356">
        <v>224.830360746</v>
      </c>
      <c r="J17" s="1237" t="s">
        <v>3016</v>
      </c>
      <c r="K17" s="1353">
        <v>39</v>
      </c>
      <c r="L17" s="1237" t="s">
        <v>3016</v>
      </c>
      <c r="M17" s="1173"/>
      <c r="N17" s="1173"/>
      <c r="O17" s="1173"/>
      <c r="P17" s="1173"/>
    </row>
    <row r="18" spans="2:18" x14ac:dyDescent="0.3">
      <c r="B18" s="633"/>
      <c r="C18" s="634"/>
      <c r="D18" s="634" t="s">
        <v>3017</v>
      </c>
      <c r="E18" s="1348">
        <v>0.17601624199999999</v>
      </c>
      <c r="F18" s="1237" t="s">
        <v>3016</v>
      </c>
      <c r="G18" s="1353">
        <v>6.2361444731125539</v>
      </c>
      <c r="H18" s="1237" t="s">
        <v>3016</v>
      </c>
      <c r="I18" s="1356">
        <v>71.167625721992522</v>
      </c>
      <c r="J18" s="1237" t="s">
        <v>3016</v>
      </c>
      <c r="K18" s="1353">
        <v>60</v>
      </c>
      <c r="L18" s="1237" t="s">
        <v>3016</v>
      </c>
      <c r="M18" s="1173"/>
      <c r="N18" s="1173"/>
      <c r="O18" s="1173"/>
      <c r="P18" s="1173"/>
    </row>
    <row r="19" spans="2:18" x14ac:dyDescent="0.3">
      <c r="B19" s="633"/>
      <c r="C19" s="634"/>
      <c r="D19" s="634" t="s">
        <v>3066</v>
      </c>
      <c r="E19" s="1348"/>
      <c r="F19" s="1237"/>
      <c r="G19" s="1353">
        <v>0</v>
      </c>
      <c r="H19" s="1237"/>
      <c r="I19" s="1356">
        <v>4</v>
      </c>
      <c r="J19" s="1237"/>
      <c r="K19" s="1353">
        <v>3.85</v>
      </c>
      <c r="L19" s="1237"/>
      <c r="M19" s="1173"/>
      <c r="N19" s="1173"/>
      <c r="O19" s="1173"/>
      <c r="P19" s="1173"/>
    </row>
    <row r="20" spans="2:18" x14ac:dyDescent="0.3">
      <c r="B20" s="633"/>
      <c r="C20" s="634"/>
      <c r="D20" s="634" t="s">
        <v>1459</v>
      </c>
      <c r="E20" s="1348">
        <v>5.1687249</v>
      </c>
      <c r="F20" s="1237" t="s">
        <v>3018</v>
      </c>
      <c r="G20" s="1353">
        <v>19.7116483</v>
      </c>
      <c r="H20" s="1237" t="s">
        <v>3018</v>
      </c>
      <c r="I20" s="1356">
        <v>37.050212000000002</v>
      </c>
      <c r="J20" s="1237" t="s">
        <v>3018</v>
      </c>
      <c r="K20" s="1353">
        <v>1</v>
      </c>
      <c r="L20" s="1237" t="s">
        <v>3018</v>
      </c>
      <c r="M20" s="1173"/>
      <c r="N20" s="1173"/>
      <c r="O20" s="1173"/>
      <c r="P20" s="1173"/>
    </row>
    <row r="21" spans="2:18" x14ac:dyDescent="0.3">
      <c r="B21" s="633"/>
      <c r="C21" s="634"/>
      <c r="D21" s="634" t="s">
        <v>1460</v>
      </c>
      <c r="E21" s="1348">
        <v>0</v>
      </c>
      <c r="F21" s="1237"/>
      <c r="G21" s="1353">
        <v>3.312837526</v>
      </c>
      <c r="H21" s="1237" t="s">
        <v>3019</v>
      </c>
      <c r="I21" s="1356">
        <v>8.61</v>
      </c>
      <c r="J21" s="1237"/>
      <c r="K21" s="1353">
        <v>0</v>
      </c>
      <c r="L21" s="1237"/>
      <c r="M21" s="1173"/>
      <c r="N21" s="1173"/>
      <c r="O21" s="1173"/>
      <c r="P21" s="1173"/>
    </row>
    <row r="22" spans="2:18" x14ac:dyDescent="0.3">
      <c r="B22" s="633"/>
      <c r="C22" s="634"/>
      <c r="D22" s="634" t="s">
        <v>1461</v>
      </c>
      <c r="E22" s="1348">
        <v>1.068231983</v>
      </c>
      <c r="F22" s="1237"/>
      <c r="G22" s="1353">
        <v>74.055207370651146</v>
      </c>
      <c r="H22" s="1237"/>
      <c r="I22" s="1356">
        <v>15</v>
      </c>
      <c r="J22" s="1237"/>
      <c r="K22" s="1353">
        <v>18</v>
      </c>
      <c r="L22" s="1237"/>
      <c r="M22" s="1173"/>
      <c r="N22" s="1173"/>
      <c r="O22" s="1173"/>
      <c r="P22" s="1173"/>
    </row>
    <row r="23" spans="2:18" ht="42" x14ac:dyDescent="0.3">
      <c r="B23" s="633"/>
      <c r="C23" s="634"/>
      <c r="D23" s="634" t="s">
        <v>399</v>
      </c>
      <c r="E23" s="1348">
        <v>2.69</v>
      </c>
      <c r="F23" s="1237" t="s">
        <v>3020</v>
      </c>
      <c r="G23" s="1353">
        <v>42.342565870322446</v>
      </c>
      <c r="H23" s="1237" t="s">
        <v>3021</v>
      </c>
      <c r="I23" s="1356">
        <v>143.84860798837718</v>
      </c>
      <c r="J23" s="1237" t="s">
        <v>3021</v>
      </c>
      <c r="K23" s="1353">
        <v>10.3</v>
      </c>
      <c r="L23" s="1237" t="s">
        <v>3021</v>
      </c>
      <c r="M23" s="1173"/>
      <c r="N23" s="1173"/>
      <c r="O23" s="1173"/>
      <c r="P23" s="1173"/>
    </row>
    <row r="24" spans="2:18" x14ac:dyDescent="0.3">
      <c r="B24" s="633"/>
      <c r="C24" s="634"/>
      <c r="D24" s="994"/>
      <c r="E24" s="1348"/>
      <c r="F24" s="1238"/>
      <c r="G24" s="1353"/>
      <c r="H24" s="1238"/>
      <c r="I24" s="1353"/>
      <c r="J24" s="1238"/>
      <c r="K24" s="1348"/>
      <c r="L24" s="993"/>
      <c r="M24" s="1173"/>
      <c r="N24" s="1173"/>
      <c r="O24" s="1173"/>
      <c r="P24" s="1173"/>
    </row>
    <row r="25" spans="2:18" x14ac:dyDescent="0.3">
      <c r="B25" s="633"/>
      <c r="C25" s="634"/>
      <c r="D25" s="1239" t="s">
        <v>267</v>
      </c>
      <c r="E25" s="1350">
        <f>SUM(E11:E23)</f>
        <v>23.679915053000002</v>
      </c>
      <c r="F25" s="1057"/>
      <c r="G25" s="1350">
        <f>SUM(G11:G23)</f>
        <v>238.01730123408606</v>
      </c>
      <c r="H25" s="1057"/>
      <c r="I25" s="1350">
        <f>SUM(I11:I23)</f>
        <v>731.16501526337015</v>
      </c>
      <c r="J25" s="1057"/>
      <c r="K25" s="1350">
        <f>SUM(K11:K23)</f>
        <v>137.01</v>
      </c>
      <c r="L25" s="993"/>
      <c r="M25" s="1350">
        <f>SUM(M11:M23)</f>
        <v>0</v>
      </c>
      <c r="N25" s="1173"/>
      <c r="O25" s="1350">
        <f>SUM(O11:O23)</f>
        <v>0</v>
      </c>
      <c r="P25" s="1173"/>
    </row>
    <row r="26" spans="2:18" x14ac:dyDescent="0.3">
      <c r="B26" s="633"/>
      <c r="C26" s="634"/>
      <c r="D26" s="994"/>
      <c r="E26" s="1351"/>
      <c r="F26" s="1057"/>
      <c r="G26" s="1354"/>
      <c r="H26" s="1057"/>
      <c r="I26" s="1357"/>
      <c r="J26" s="1057"/>
      <c r="K26" s="1351"/>
      <c r="L26" s="993"/>
      <c r="M26" s="1173"/>
      <c r="N26" s="1173"/>
      <c r="O26" s="1173"/>
      <c r="P26" s="1173"/>
    </row>
    <row r="27" spans="2:18" x14ac:dyDescent="0.3">
      <c r="B27" s="633"/>
      <c r="C27" s="634"/>
      <c r="D27" s="994"/>
      <c r="E27" s="1351"/>
      <c r="F27" s="994"/>
      <c r="G27" s="1354"/>
      <c r="H27" s="994"/>
      <c r="I27" s="1357"/>
      <c r="J27" s="994"/>
      <c r="K27" s="1351"/>
      <c r="L27" s="993"/>
      <c r="M27" s="1173"/>
      <c r="N27" s="1173"/>
      <c r="O27" s="1173"/>
      <c r="P27" s="1173"/>
    </row>
    <row r="28" spans="2:18" x14ac:dyDescent="0.3">
      <c r="B28" s="633" t="s">
        <v>180</v>
      </c>
      <c r="C28" s="634" t="s">
        <v>1061</v>
      </c>
      <c r="D28" s="994"/>
      <c r="E28" s="1351"/>
      <c r="F28" s="994"/>
      <c r="G28" s="1354"/>
      <c r="H28" s="994"/>
      <c r="I28" s="1357"/>
      <c r="J28" s="994"/>
      <c r="K28" s="1351"/>
      <c r="L28" s="993"/>
      <c r="M28" s="1173"/>
      <c r="N28" s="1173"/>
      <c r="O28" s="1173"/>
      <c r="P28" s="1173"/>
    </row>
    <row r="29" spans="2:18" x14ac:dyDescent="0.3">
      <c r="B29" s="633"/>
      <c r="C29" s="634"/>
      <c r="D29" s="994" t="s">
        <v>3023</v>
      </c>
      <c r="E29" s="1351"/>
      <c r="F29" s="994"/>
      <c r="G29" s="1354"/>
      <c r="H29" s="994"/>
      <c r="I29" s="1357"/>
      <c r="J29" s="994"/>
      <c r="K29" s="1351"/>
      <c r="L29" s="993"/>
      <c r="M29" s="1357">
        <v>18.75</v>
      </c>
      <c r="N29" s="1173"/>
      <c r="O29" s="1173">
        <v>25</v>
      </c>
      <c r="P29" s="1173"/>
    </row>
    <row r="30" spans="2:18" x14ac:dyDescent="0.3">
      <c r="B30" s="633"/>
      <c r="C30" s="634"/>
      <c r="D30" s="1240"/>
      <c r="E30" s="225"/>
      <c r="F30" s="1240"/>
      <c r="G30" s="225"/>
      <c r="H30" s="994"/>
      <c r="I30" s="1357"/>
      <c r="J30" s="994"/>
      <c r="K30" s="1357"/>
      <c r="L30" s="994"/>
      <c r="M30" s="1357"/>
      <c r="N30" s="1357"/>
      <c r="O30" s="1357"/>
      <c r="P30" s="1357"/>
    </row>
    <row r="31" spans="2:18" x14ac:dyDescent="0.3">
      <c r="B31" s="633"/>
      <c r="C31" s="634"/>
      <c r="D31" s="994"/>
      <c r="E31" s="1351"/>
      <c r="F31" s="994"/>
      <c r="G31" s="1354"/>
      <c r="H31" s="994"/>
      <c r="I31" s="1357"/>
      <c r="J31" s="994"/>
      <c r="K31" s="1351"/>
      <c r="L31" s="994"/>
      <c r="M31" s="1357"/>
      <c r="N31" s="1357"/>
      <c r="O31" s="1357"/>
      <c r="P31" s="1357"/>
    </row>
    <row r="32" spans="2:18" s="595" customFormat="1" ht="14.5" thickBot="1" x14ac:dyDescent="0.35">
      <c r="B32" s="635"/>
      <c r="C32" s="1241"/>
      <c r="D32" s="995" t="s">
        <v>267</v>
      </c>
      <c r="E32" s="1352">
        <f>SUM(E25:E31)</f>
        <v>23.679915053000002</v>
      </c>
      <c r="F32" s="1059"/>
      <c r="G32" s="1352">
        <f>SUM(G25:G31)</f>
        <v>238.01730123408606</v>
      </c>
      <c r="H32" s="1058">
        <f t="shared" ref="H32:P32" si="0">SUM(H25:H31)</f>
        <v>0</v>
      </c>
      <c r="I32" s="1352">
        <f t="shared" si="0"/>
        <v>731.16501526337015</v>
      </c>
      <c r="J32" s="1058">
        <f t="shared" si="0"/>
        <v>0</v>
      </c>
      <c r="K32" s="1352">
        <f t="shared" si="0"/>
        <v>137.01</v>
      </c>
      <c r="L32" s="1058">
        <f t="shared" si="0"/>
        <v>0</v>
      </c>
      <c r="M32" s="1352">
        <f t="shared" si="0"/>
        <v>18.75</v>
      </c>
      <c r="N32" s="1352">
        <f t="shared" si="0"/>
        <v>0</v>
      </c>
      <c r="O32" s="1352">
        <f t="shared" si="0"/>
        <v>25</v>
      </c>
      <c r="P32" s="1352">
        <f t="shared" si="0"/>
        <v>0</v>
      </c>
      <c r="R32" s="996">
        <f>G32+I32+K32+M32+O32+E32</f>
        <v>1173.6222315504563</v>
      </c>
    </row>
    <row r="33" spans="5:18" x14ac:dyDescent="0.3">
      <c r="E33" s="636">
        <v>0</v>
      </c>
      <c r="G33" s="1355">
        <v>0</v>
      </c>
      <c r="I33" s="1358"/>
      <c r="K33" s="1359"/>
      <c r="M33" s="1002"/>
      <c r="N33" s="1002"/>
      <c r="O33" s="1002">
        <v>0</v>
      </c>
      <c r="P33" s="1002"/>
      <c r="R33" s="583"/>
    </row>
    <row r="34" spans="5:18" x14ac:dyDescent="0.3">
      <c r="G34" s="1355"/>
      <c r="I34" s="1357"/>
      <c r="K34" s="1351"/>
      <c r="M34" s="1357"/>
      <c r="N34" s="1002"/>
      <c r="O34" s="1002"/>
      <c r="P34" s="1002"/>
      <c r="R34" s="998"/>
    </row>
    <row r="35" spans="5:18" x14ac:dyDescent="0.3">
      <c r="G35" s="1355"/>
      <c r="I35" s="1358"/>
      <c r="M35" s="1002"/>
      <c r="N35" s="1002"/>
      <c r="O35" s="1002"/>
      <c r="P35" s="1002"/>
      <c r="R35" s="999"/>
    </row>
    <row r="36" spans="5:18" x14ac:dyDescent="0.3">
      <c r="G36" s="1355"/>
      <c r="I36" s="1358"/>
    </row>
    <row r="38" spans="5:18" x14ac:dyDescent="0.3">
      <c r="I38" s="1242"/>
    </row>
    <row r="39" spans="5:18" x14ac:dyDescent="0.3">
      <c r="E39" s="582"/>
      <c r="F39" s="582"/>
      <c r="G39" s="582"/>
    </row>
    <row r="40" spans="5:18" x14ac:dyDescent="0.3">
      <c r="E40" s="582"/>
      <c r="F40" s="582"/>
      <c r="G40" s="582"/>
    </row>
    <row r="41" spans="5:18" x14ac:dyDescent="0.3">
      <c r="E41" s="582"/>
      <c r="F41" s="582"/>
      <c r="G41" s="582"/>
    </row>
    <row r="45" spans="5:18" x14ac:dyDescent="0.3">
      <c r="I45" s="1242"/>
    </row>
    <row r="49" spans="1:18" s="584" customFormat="1" x14ac:dyDescent="0.3">
      <c r="A49" s="582"/>
      <c r="B49" s="582"/>
      <c r="C49" s="582"/>
      <c r="D49" s="582"/>
      <c r="E49" s="636"/>
      <c r="G49" s="997">
        <f>G47-G48</f>
        <v>0</v>
      </c>
      <c r="K49" s="636"/>
      <c r="M49" s="582"/>
      <c r="N49" s="582"/>
      <c r="O49" s="582"/>
      <c r="P49" s="582"/>
      <c r="Q49" s="582"/>
      <c r="R49" s="582"/>
    </row>
    <row r="50" spans="1:18" s="584" customFormat="1" ht="28" x14ac:dyDescent="0.3">
      <c r="A50" s="582"/>
      <c r="B50" s="582"/>
      <c r="C50" s="582"/>
      <c r="D50" s="582"/>
      <c r="E50" s="636"/>
      <c r="G50" s="997">
        <v>23.81</v>
      </c>
      <c r="H50" s="584" t="s">
        <v>3022</v>
      </c>
      <c r="K50" s="636"/>
      <c r="M50" s="582"/>
      <c r="N50" s="582"/>
      <c r="O50" s="582"/>
      <c r="P50" s="582"/>
      <c r="Q50" s="582"/>
      <c r="R50" s="582"/>
    </row>
    <row r="51" spans="1:18" s="584" customFormat="1" x14ac:dyDescent="0.3">
      <c r="A51" s="582"/>
      <c r="B51" s="582"/>
      <c r="C51" s="582"/>
      <c r="D51" s="582"/>
      <c r="E51" s="636"/>
      <c r="G51" s="997">
        <f>G49-G50</f>
        <v>-23.81</v>
      </c>
      <c r="I51" s="1243">
        <f>(SUM(G20:G29)-80)/4*9.7/100</f>
        <v>7.2129093373006956</v>
      </c>
      <c r="K51" s="636"/>
      <c r="M51" s="582"/>
      <c r="N51" s="582"/>
      <c r="O51" s="582"/>
      <c r="P51" s="582"/>
      <c r="Q51" s="582"/>
      <c r="R51" s="582"/>
    </row>
    <row r="52" spans="1:18" s="584" customFormat="1" x14ac:dyDescent="0.3">
      <c r="A52" s="582"/>
      <c r="B52" s="582"/>
      <c r="C52" s="582"/>
      <c r="D52" s="582"/>
      <c r="E52" s="636"/>
      <c r="G52" s="997">
        <f>G51/4</f>
        <v>-5.9524999999999997</v>
      </c>
      <c r="K52" s="636"/>
      <c r="M52" s="582"/>
      <c r="N52" s="582"/>
      <c r="O52" s="582"/>
      <c r="P52" s="582"/>
      <c r="Q52" s="582"/>
      <c r="R52" s="582"/>
    </row>
    <row r="53" spans="1:18" s="584" customFormat="1" x14ac:dyDescent="0.3">
      <c r="A53" s="582"/>
      <c r="B53" s="582"/>
      <c r="C53" s="582"/>
      <c r="D53" s="582"/>
      <c r="E53" s="636"/>
      <c r="G53" s="997">
        <f>G52*9.7/100/12*3</f>
        <v>-0.14434812499999997</v>
      </c>
      <c r="K53" s="636"/>
      <c r="M53" s="582"/>
      <c r="N53" s="582"/>
      <c r="O53" s="582"/>
      <c r="P53" s="582"/>
      <c r="Q53" s="582"/>
      <c r="R53" s="582"/>
    </row>
    <row r="54" spans="1:18" s="584" customFormat="1" x14ac:dyDescent="0.3">
      <c r="A54" s="582"/>
      <c r="B54" s="582"/>
      <c r="C54" s="582"/>
      <c r="D54" s="582"/>
      <c r="E54" s="636"/>
      <c r="G54" s="997">
        <f>G53*4</f>
        <v>-0.57739249999999986</v>
      </c>
      <c r="K54" s="636"/>
      <c r="M54" s="582"/>
      <c r="N54" s="582"/>
      <c r="O54" s="582"/>
      <c r="P54" s="582"/>
      <c r="Q54" s="582"/>
      <c r="R54" s="582"/>
    </row>
  </sheetData>
  <mergeCells count="9">
    <mergeCell ref="K7:L7"/>
    <mergeCell ref="M7:N7"/>
    <mergeCell ref="O7:P7"/>
    <mergeCell ref="B7:B8"/>
    <mergeCell ref="C7:C8"/>
    <mergeCell ref="D7:D8"/>
    <mergeCell ref="E7:F7"/>
    <mergeCell ref="G7:H7"/>
    <mergeCell ref="I7:J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G166"/>
  <sheetViews>
    <sheetView showGridLines="0" topLeftCell="F45" zoomScale="51" zoomScaleNormal="70" workbookViewId="0">
      <selection activeCell="O68" sqref="O68:O85"/>
    </sheetView>
  </sheetViews>
  <sheetFormatPr defaultColWidth="9.453125" defaultRowHeight="14" x14ac:dyDescent="0.3"/>
  <cols>
    <col min="1" max="1" width="7.81640625" style="1" customWidth="1"/>
    <col min="2" max="2" width="6.453125" style="1" customWidth="1"/>
    <col min="3" max="3" width="43" style="1" customWidth="1"/>
    <col min="4" max="7" width="18.453125" style="1" customWidth="1"/>
    <col min="8" max="8" width="24.54296875" style="1" bestFit="1" customWidth="1"/>
    <col min="9" max="12" width="18.453125" style="1" customWidth="1"/>
    <col min="13" max="13" width="23.453125" style="1" bestFit="1" customWidth="1"/>
    <col min="14" max="17" width="18.453125" style="1" customWidth="1"/>
    <col min="18" max="18" width="23.453125" style="1" bestFit="1" customWidth="1"/>
    <col min="19" max="22" width="18.54296875" style="1" customWidth="1"/>
    <col min="23" max="23" width="14.54296875" style="1" customWidth="1"/>
    <col min="24" max="33" width="16" style="1" customWidth="1"/>
    <col min="34" max="16384" width="9.453125" style="1"/>
  </cols>
  <sheetData>
    <row r="1" spans="1:18" x14ac:dyDescent="0.3">
      <c r="B1" s="42"/>
    </row>
    <row r="2" spans="1:18" x14ac:dyDescent="0.3">
      <c r="B2" s="42"/>
    </row>
    <row r="3" spans="1:18" x14ac:dyDescent="0.3">
      <c r="B3" s="42"/>
    </row>
    <row r="4" spans="1:18" x14ac:dyDescent="0.3">
      <c r="B4" s="6"/>
      <c r="I4" s="14"/>
      <c r="J4" s="14"/>
      <c r="K4" s="63" t="str">
        <f>Index!B2</f>
        <v xml:space="preserve">      Maharashtra State Power Generation Company Ltd.</v>
      </c>
      <c r="L4" s="63"/>
      <c r="M4" s="14"/>
      <c r="N4" s="14"/>
      <c r="O4" s="14"/>
      <c r="P4" s="14"/>
      <c r="Q4" s="14"/>
      <c r="R4" s="14"/>
    </row>
    <row r="5" spans="1:18" x14ac:dyDescent="0.3">
      <c r="B5" s="6"/>
      <c r="I5" s="51"/>
      <c r="J5" s="51"/>
      <c r="K5" s="63" t="str">
        <f>Index!B3</f>
        <v>MYT Petition Formats for Bhusawal Unit 6</v>
      </c>
      <c r="L5" s="63"/>
      <c r="M5" s="51"/>
      <c r="N5" s="51"/>
      <c r="O5" s="51"/>
      <c r="P5" s="51"/>
      <c r="Q5" s="51"/>
      <c r="R5" s="51"/>
    </row>
    <row r="6" spans="1:18" x14ac:dyDescent="0.3">
      <c r="B6" s="14"/>
      <c r="I6" s="14"/>
      <c r="J6" s="6"/>
      <c r="K6" s="54" t="s">
        <v>1122</v>
      </c>
      <c r="L6" s="54"/>
      <c r="M6" s="6"/>
      <c r="N6" s="6"/>
      <c r="O6" s="14"/>
      <c r="P6" s="14"/>
      <c r="Q6" s="14"/>
      <c r="R6" s="14"/>
    </row>
    <row r="7" spans="1:18" x14ac:dyDescent="0.3">
      <c r="C7" s="6"/>
      <c r="D7" s="6"/>
      <c r="E7" s="6"/>
      <c r="F7" s="6"/>
      <c r="G7" s="6"/>
      <c r="H7" s="6"/>
      <c r="J7" s="4"/>
      <c r="M7" s="4"/>
      <c r="N7" s="4"/>
    </row>
    <row r="8" spans="1:18" x14ac:dyDescent="0.3">
      <c r="A8" s="1" t="s">
        <v>261</v>
      </c>
      <c r="B8" s="42" t="s">
        <v>262</v>
      </c>
      <c r="C8" s="42"/>
      <c r="D8" s="42"/>
      <c r="E8" s="42"/>
      <c r="F8" s="42"/>
      <c r="G8" s="42"/>
      <c r="H8" s="42"/>
      <c r="J8" s="4"/>
      <c r="M8" s="4"/>
      <c r="N8" s="4"/>
      <c r="R8" s="175"/>
    </row>
    <row r="9" spans="1:18" x14ac:dyDescent="0.3">
      <c r="B9" s="178"/>
      <c r="C9" s="6"/>
      <c r="D9" s="6"/>
      <c r="E9" s="6"/>
      <c r="F9" s="6"/>
      <c r="G9" s="6"/>
      <c r="H9" s="6"/>
      <c r="J9" s="4"/>
      <c r="M9" s="50" t="s">
        <v>10</v>
      </c>
      <c r="N9" s="4"/>
    </row>
    <row r="10" spans="1:18" ht="15.75" customHeight="1" x14ac:dyDescent="0.3">
      <c r="B10" s="1481" t="s">
        <v>327</v>
      </c>
      <c r="C10" s="1481" t="s">
        <v>35</v>
      </c>
      <c r="D10" s="1573" t="s">
        <v>477</v>
      </c>
      <c r="E10" s="1573"/>
      <c r="F10" s="1573"/>
      <c r="G10" s="1573"/>
      <c r="H10" s="1573"/>
      <c r="I10" s="1570" t="s">
        <v>849</v>
      </c>
      <c r="J10" s="1570"/>
      <c r="K10" s="1570"/>
      <c r="L10" s="1570"/>
      <c r="M10" s="1570"/>
    </row>
    <row r="11" spans="1:18" ht="15.75" customHeight="1" x14ac:dyDescent="0.3">
      <c r="B11" s="1481"/>
      <c r="C11" s="1481"/>
      <c r="D11" s="1571" t="s">
        <v>7</v>
      </c>
      <c r="E11" s="1572"/>
      <c r="F11" s="1572"/>
      <c r="G11" s="1572"/>
      <c r="H11" s="1572"/>
      <c r="I11" s="1573" t="s">
        <v>20</v>
      </c>
      <c r="J11" s="1574"/>
      <c r="K11" s="1574"/>
      <c r="L11" s="1574"/>
      <c r="M11" s="1574"/>
    </row>
    <row r="12" spans="1:18" ht="42" x14ac:dyDescent="0.3">
      <c r="B12" s="1481"/>
      <c r="C12" s="1481"/>
      <c r="D12" s="64" t="s">
        <v>263</v>
      </c>
      <c r="E12" s="64" t="s">
        <v>264</v>
      </c>
      <c r="F12" s="64" t="s">
        <v>265</v>
      </c>
      <c r="G12" s="64" t="s">
        <v>548</v>
      </c>
      <c r="H12" s="64" t="s">
        <v>266</v>
      </c>
      <c r="I12" s="250" t="s">
        <v>263</v>
      </c>
      <c r="J12" s="250" t="s">
        <v>264</v>
      </c>
      <c r="K12" s="250" t="s">
        <v>265</v>
      </c>
      <c r="L12" s="64" t="s">
        <v>548</v>
      </c>
      <c r="M12" s="250" t="s">
        <v>266</v>
      </c>
    </row>
    <row r="13" spans="1:18" s="29" customFormat="1" x14ac:dyDescent="0.25">
      <c r="B13" s="179"/>
      <c r="C13" s="179"/>
      <c r="D13" s="179" t="s">
        <v>78</v>
      </c>
      <c r="E13" s="179" t="s">
        <v>79</v>
      </c>
      <c r="F13" s="179" t="s">
        <v>435</v>
      </c>
      <c r="G13" s="179" t="s">
        <v>378</v>
      </c>
      <c r="H13" s="179" t="s">
        <v>549</v>
      </c>
      <c r="I13" s="179" t="s">
        <v>553</v>
      </c>
      <c r="J13" s="179" t="s">
        <v>554</v>
      </c>
      <c r="K13" s="179" t="s">
        <v>948</v>
      </c>
      <c r="L13" s="179" t="s">
        <v>949</v>
      </c>
      <c r="M13" s="179" t="s">
        <v>950</v>
      </c>
    </row>
    <row r="14" spans="1:18" s="4" customFormat="1" x14ac:dyDescent="0.3">
      <c r="B14" s="70">
        <v>1</v>
      </c>
      <c r="C14" s="304" t="s">
        <v>755</v>
      </c>
      <c r="D14" s="557">
        <f>'F5'!D16</f>
        <v>0</v>
      </c>
      <c r="E14" s="557">
        <f>'F5'!E16</f>
        <v>31.731225228927713</v>
      </c>
      <c r="F14" s="557">
        <f>'F5'!F16</f>
        <v>0</v>
      </c>
      <c r="G14" s="557">
        <f>'F5'!G16</f>
        <v>0</v>
      </c>
      <c r="H14" s="557">
        <f>D14+E14-F14-G14</f>
        <v>31.731225228927713</v>
      </c>
      <c r="I14" s="524">
        <f>'F5'!I16+'F5.1 (N)'!D16</f>
        <v>31.731225228927713</v>
      </c>
      <c r="J14" s="557">
        <f>'F5'!J16+'F5.1 (N)'!E16</f>
        <v>0</v>
      </c>
      <c r="K14" s="557">
        <f>'F5'!K16+'F5.1 (N)'!F16</f>
        <v>0</v>
      </c>
      <c r="L14" s="557">
        <f>'F5'!L16+'F5.1 (N)'!G16</f>
        <v>0</v>
      </c>
      <c r="M14" s="524">
        <f>I14+J14-K14-L14</f>
        <v>31.731225228927713</v>
      </c>
    </row>
    <row r="15" spans="1:18" s="4" customFormat="1" x14ac:dyDescent="0.3">
      <c r="B15" s="70">
        <f>B14+1</f>
        <v>2</v>
      </c>
      <c r="C15" s="304" t="s">
        <v>756</v>
      </c>
      <c r="D15" s="557">
        <f>'F5'!D17</f>
        <v>0</v>
      </c>
      <c r="E15" s="557">
        <f>'F5'!E17</f>
        <v>188.54627358788375</v>
      </c>
      <c r="F15" s="557">
        <f>'F5'!F17</f>
        <v>0</v>
      </c>
      <c r="G15" s="557">
        <f>'F5'!G17</f>
        <v>0</v>
      </c>
      <c r="H15" s="557">
        <f t="shared" ref="H15:H30" si="0">D15+E15-F15-G15</f>
        <v>188.54627358788375</v>
      </c>
      <c r="I15" s="524">
        <f>'F5'!I17+'F5.1 (N)'!D17</f>
        <v>188.54627358788375</v>
      </c>
      <c r="J15" s="557">
        <f>'F5'!J17+'F5.1 (N)'!E17</f>
        <v>0</v>
      </c>
      <c r="K15" s="557">
        <f>'F5'!K17+'F5.1 (N)'!F17</f>
        <v>0</v>
      </c>
      <c r="L15" s="557">
        <f>'F5'!L17+'F5.1 (N)'!G17</f>
        <v>0</v>
      </c>
      <c r="M15" s="524">
        <f t="shared" ref="M15:M30" si="1">I15+J15-K15-L15</f>
        <v>188.54627358788375</v>
      </c>
    </row>
    <row r="16" spans="1:18" s="4" customFormat="1" x14ac:dyDescent="0.3">
      <c r="B16" s="70">
        <f t="shared" ref="B16:B30" si="2">B15+1</f>
        <v>3</v>
      </c>
      <c r="C16" s="304" t="s">
        <v>757</v>
      </c>
      <c r="D16" s="557">
        <f>'F5'!D18</f>
        <v>0</v>
      </c>
      <c r="E16" s="557">
        <f>'F5'!E18</f>
        <v>0</v>
      </c>
      <c r="F16" s="557">
        <f>'F5'!F18</f>
        <v>0</v>
      </c>
      <c r="G16" s="557">
        <f>'F5'!G18</f>
        <v>0</v>
      </c>
      <c r="H16" s="557">
        <f t="shared" si="0"/>
        <v>0</v>
      </c>
      <c r="I16" s="524">
        <f>'F5'!I18+'F5.1 (N)'!D18</f>
        <v>0</v>
      </c>
      <c r="J16" s="557">
        <f>'F5'!J18+'F5.1 (N)'!E18</f>
        <v>0</v>
      </c>
      <c r="K16" s="557">
        <f>'F5'!K18+'F5.1 (N)'!F18</f>
        <v>0</v>
      </c>
      <c r="L16" s="557">
        <f>'F5'!L18+'F5.1 (N)'!G18</f>
        <v>0</v>
      </c>
      <c r="M16" s="524">
        <f t="shared" si="1"/>
        <v>0</v>
      </c>
    </row>
    <row r="17" spans="2:14" s="4" customFormat="1" x14ac:dyDescent="0.3">
      <c r="B17" s="70">
        <f t="shared" si="2"/>
        <v>4</v>
      </c>
      <c r="C17" s="304" t="s">
        <v>758</v>
      </c>
      <c r="D17" s="557">
        <f>'F5'!D19</f>
        <v>0</v>
      </c>
      <c r="E17" s="557">
        <f>'F5'!E19</f>
        <v>0</v>
      </c>
      <c r="F17" s="557">
        <f>'F5'!F19</f>
        <v>0</v>
      </c>
      <c r="G17" s="557">
        <f>'F5'!G19</f>
        <v>0</v>
      </c>
      <c r="H17" s="557">
        <f t="shared" si="0"/>
        <v>0</v>
      </c>
      <c r="I17" s="524">
        <f>'F5'!I19+'F5.1 (N)'!D19</f>
        <v>0</v>
      </c>
      <c r="J17" s="557">
        <f>'F5'!J19+'F5.1 (N)'!E19</f>
        <v>0</v>
      </c>
      <c r="K17" s="557">
        <f>'F5'!K19+'F5.1 (N)'!F19</f>
        <v>0</v>
      </c>
      <c r="L17" s="557">
        <f>'F5'!L19+'F5.1 (N)'!G19</f>
        <v>0</v>
      </c>
      <c r="M17" s="524">
        <f t="shared" si="1"/>
        <v>0</v>
      </c>
    </row>
    <row r="18" spans="2:14" s="4" customFormat="1" x14ac:dyDescent="0.3">
      <c r="B18" s="70">
        <f t="shared" si="2"/>
        <v>5</v>
      </c>
      <c r="C18" s="304" t="s">
        <v>759</v>
      </c>
      <c r="D18" s="557">
        <f>'F5'!D20</f>
        <v>0</v>
      </c>
      <c r="E18" s="557">
        <f>'F5'!E20</f>
        <v>173.87986323491808</v>
      </c>
      <c r="F18" s="557">
        <f>'F5'!F20</f>
        <v>0</v>
      </c>
      <c r="G18" s="557">
        <f>'F5'!G20</f>
        <v>0</v>
      </c>
      <c r="H18" s="557">
        <f t="shared" si="0"/>
        <v>173.87986323491808</v>
      </c>
      <c r="I18" s="524">
        <f>'F5'!I20+'F5.1 (N)'!D20</f>
        <v>173.87986323491808</v>
      </c>
      <c r="J18" s="557">
        <f>'F5'!J20+'F5.1 (N)'!E20</f>
        <v>0</v>
      </c>
      <c r="K18" s="557">
        <f>'F5'!K20+'F5.1 (N)'!F20</f>
        <v>0</v>
      </c>
      <c r="L18" s="557">
        <f>'F5'!L20+'F5.1 (N)'!G20</f>
        <v>0</v>
      </c>
      <c r="M18" s="524">
        <f t="shared" si="1"/>
        <v>173.87986323491808</v>
      </c>
    </row>
    <row r="19" spans="2:14" x14ac:dyDescent="0.3">
      <c r="B19" s="70">
        <f t="shared" si="2"/>
        <v>6</v>
      </c>
      <c r="C19" s="304" t="s">
        <v>251</v>
      </c>
      <c r="D19" s="557">
        <f>'F5'!D21</f>
        <v>0</v>
      </c>
      <c r="E19" s="557">
        <f>'F5'!E21</f>
        <v>5424.9950601549072</v>
      </c>
      <c r="F19" s="557">
        <f>'F5'!F21</f>
        <v>0</v>
      </c>
      <c r="G19" s="557">
        <f>'F5'!G21</f>
        <v>0</v>
      </c>
      <c r="H19" s="557">
        <f t="shared" si="0"/>
        <v>5424.9950601549072</v>
      </c>
      <c r="I19" s="524">
        <f>'F5'!I21+'F5.1 (N)'!D21</f>
        <v>5424.9950601549072</v>
      </c>
      <c r="J19" s="557">
        <f>'F5'!J21+'F5.1 (N)'!E21</f>
        <v>238.01730123408606</v>
      </c>
      <c r="K19" s="557">
        <f>'F5'!K21+'F5.1 (N)'!F21</f>
        <v>0</v>
      </c>
      <c r="L19" s="557">
        <f>'F5'!L21+'F5.1 (N)'!G21</f>
        <v>0</v>
      </c>
      <c r="M19" s="524">
        <f t="shared" si="1"/>
        <v>5663.0123613889937</v>
      </c>
    </row>
    <row r="20" spans="2:14" x14ac:dyDescent="0.3">
      <c r="B20" s="70">
        <f t="shared" si="2"/>
        <v>7</v>
      </c>
      <c r="C20" s="304" t="s">
        <v>760</v>
      </c>
      <c r="D20" s="557">
        <f>'F5'!D22</f>
        <v>0</v>
      </c>
      <c r="E20" s="557">
        <f>'F5'!E22</f>
        <v>6.0966184199835345</v>
      </c>
      <c r="F20" s="557">
        <f>'F5'!F22</f>
        <v>0</v>
      </c>
      <c r="G20" s="557">
        <f>'F5'!G22</f>
        <v>0</v>
      </c>
      <c r="H20" s="557">
        <f t="shared" si="0"/>
        <v>6.0966184199835345</v>
      </c>
      <c r="I20" s="524">
        <f>'F5'!I22+'F5.1 (N)'!D22</f>
        <v>6.0966184199835345</v>
      </c>
      <c r="J20" s="557">
        <f>'F5'!J22+'F5.1 (N)'!E22</f>
        <v>0</v>
      </c>
      <c r="K20" s="557">
        <f>'F5'!K22+'F5.1 (N)'!F22</f>
        <v>0</v>
      </c>
      <c r="L20" s="557">
        <f>'F5'!L22+'F5.1 (N)'!G22</f>
        <v>0</v>
      </c>
      <c r="M20" s="524">
        <f t="shared" si="1"/>
        <v>6.0966184199835345</v>
      </c>
    </row>
    <row r="21" spans="2:14" x14ac:dyDescent="0.3">
      <c r="B21" s="70">
        <f t="shared" si="2"/>
        <v>8</v>
      </c>
      <c r="C21" s="304" t="s">
        <v>761</v>
      </c>
      <c r="D21" s="557">
        <f>'F5'!D23</f>
        <v>0</v>
      </c>
      <c r="E21" s="557">
        <f>'F5'!E23</f>
        <v>0</v>
      </c>
      <c r="F21" s="557">
        <f>'F5'!F23</f>
        <v>0</v>
      </c>
      <c r="G21" s="557">
        <f>'F5'!G23</f>
        <v>0</v>
      </c>
      <c r="H21" s="557">
        <f t="shared" si="0"/>
        <v>0</v>
      </c>
      <c r="I21" s="524">
        <f>'F5'!I23+'F5.1 (N)'!D23</f>
        <v>0</v>
      </c>
      <c r="J21" s="557">
        <f>'F5'!J23+'F5.1 (N)'!E23</f>
        <v>0</v>
      </c>
      <c r="K21" s="557">
        <f>'F5'!K23+'F5.1 (N)'!F23</f>
        <v>0</v>
      </c>
      <c r="L21" s="557">
        <f>'F5'!L23+'F5.1 (N)'!G23</f>
        <v>0</v>
      </c>
      <c r="M21" s="524">
        <f t="shared" si="1"/>
        <v>0</v>
      </c>
    </row>
    <row r="22" spans="2:14" x14ac:dyDescent="0.3">
      <c r="B22" s="70">
        <f t="shared" si="2"/>
        <v>9</v>
      </c>
      <c r="C22" s="304" t="s">
        <v>762</v>
      </c>
      <c r="D22" s="557">
        <f>'F5'!D24</f>
        <v>0</v>
      </c>
      <c r="E22" s="557">
        <f>'F5'!E24</f>
        <v>0</v>
      </c>
      <c r="F22" s="557">
        <f>'F5'!F24</f>
        <v>0</v>
      </c>
      <c r="G22" s="557">
        <f>'F5'!G24</f>
        <v>0</v>
      </c>
      <c r="H22" s="557">
        <f t="shared" si="0"/>
        <v>0</v>
      </c>
      <c r="I22" s="524">
        <f>'F5'!I24+'F5.1 (N)'!D24</f>
        <v>0</v>
      </c>
      <c r="J22" s="557">
        <f>'F5'!J24+'F5.1 (N)'!E24</f>
        <v>0</v>
      </c>
      <c r="K22" s="557">
        <f>'F5'!K24+'F5.1 (N)'!F24</f>
        <v>0</v>
      </c>
      <c r="L22" s="557">
        <f>'F5'!L24+'F5.1 (N)'!G24</f>
        <v>0</v>
      </c>
      <c r="M22" s="524">
        <f t="shared" si="1"/>
        <v>0</v>
      </c>
    </row>
    <row r="23" spans="2:14" x14ac:dyDescent="0.3">
      <c r="B23" s="70">
        <f t="shared" si="2"/>
        <v>10</v>
      </c>
      <c r="C23" s="304" t="s">
        <v>254</v>
      </c>
      <c r="D23" s="557">
        <f>'F5'!D25</f>
        <v>0</v>
      </c>
      <c r="E23" s="557">
        <f>'F5'!E25</f>
        <v>0</v>
      </c>
      <c r="F23" s="557">
        <f>'F5'!F25</f>
        <v>0</v>
      </c>
      <c r="G23" s="557">
        <f>'F5'!G25</f>
        <v>0</v>
      </c>
      <c r="H23" s="557">
        <f t="shared" si="0"/>
        <v>0</v>
      </c>
      <c r="I23" s="524">
        <f>'F5'!I25+'F5.1 (N)'!D25</f>
        <v>0</v>
      </c>
      <c r="J23" s="557">
        <f>'F5'!J25+'F5.1 (N)'!E25</f>
        <v>0</v>
      </c>
      <c r="K23" s="557">
        <f>'F5'!K25+'F5.1 (N)'!F25</f>
        <v>0</v>
      </c>
      <c r="L23" s="557">
        <f>'F5'!L25+'F5.1 (N)'!G25</f>
        <v>0</v>
      </c>
      <c r="M23" s="524">
        <f t="shared" si="1"/>
        <v>0</v>
      </c>
    </row>
    <row r="24" spans="2:14" x14ac:dyDescent="0.3">
      <c r="B24" s="70">
        <f t="shared" si="2"/>
        <v>11</v>
      </c>
      <c r="C24" s="304" t="s">
        <v>255</v>
      </c>
      <c r="D24" s="557">
        <f>'F5'!D26</f>
        <v>0</v>
      </c>
      <c r="E24" s="557">
        <f>'F5'!E26</f>
        <v>0</v>
      </c>
      <c r="F24" s="557">
        <f>'F5'!F26</f>
        <v>0</v>
      </c>
      <c r="G24" s="557">
        <f>'F5'!G26</f>
        <v>0</v>
      </c>
      <c r="H24" s="557">
        <f t="shared" si="0"/>
        <v>0</v>
      </c>
      <c r="I24" s="524">
        <f>'F5'!I26+'F5.1 (N)'!D26</f>
        <v>0</v>
      </c>
      <c r="J24" s="557">
        <f>'F5'!J26+'F5.1 (N)'!E26</f>
        <v>0</v>
      </c>
      <c r="K24" s="557">
        <f>'F5'!K26+'F5.1 (N)'!F26</f>
        <v>0</v>
      </c>
      <c r="L24" s="557">
        <f>'F5'!L26+'F5.1 (N)'!G26</f>
        <v>0</v>
      </c>
      <c r="M24" s="524">
        <f t="shared" si="1"/>
        <v>0</v>
      </c>
    </row>
    <row r="25" spans="2:14" x14ac:dyDescent="0.3">
      <c r="B25" s="70">
        <f t="shared" si="2"/>
        <v>12</v>
      </c>
      <c r="C25" s="304" t="s">
        <v>256</v>
      </c>
      <c r="D25" s="557">
        <f>'F5'!D27</f>
        <v>0</v>
      </c>
      <c r="E25" s="557">
        <f>'F5'!E27</f>
        <v>0</v>
      </c>
      <c r="F25" s="557">
        <f>'F5'!F27</f>
        <v>0</v>
      </c>
      <c r="G25" s="557">
        <f>'F5'!G27</f>
        <v>0</v>
      </c>
      <c r="H25" s="557">
        <f t="shared" si="0"/>
        <v>0</v>
      </c>
      <c r="I25" s="524">
        <f>'F5'!I27+'F5.1 (N)'!D27</f>
        <v>0</v>
      </c>
      <c r="J25" s="557">
        <f>'F5'!J27+'F5.1 (N)'!E27</f>
        <v>0</v>
      </c>
      <c r="K25" s="557">
        <f>'F5'!K27+'F5.1 (N)'!F27</f>
        <v>0</v>
      </c>
      <c r="L25" s="557">
        <f>'F5'!L27+'F5.1 (N)'!G27</f>
        <v>0</v>
      </c>
      <c r="M25" s="524">
        <f t="shared" si="1"/>
        <v>0</v>
      </c>
    </row>
    <row r="26" spans="2:14" x14ac:dyDescent="0.3">
      <c r="B26" s="70">
        <f t="shared" si="2"/>
        <v>13</v>
      </c>
      <c r="C26" s="304" t="s">
        <v>810</v>
      </c>
      <c r="D26" s="557">
        <f>'F5'!D28</f>
        <v>0</v>
      </c>
      <c r="E26" s="557">
        <f>'F5'!E28</f>
        <v>0</v>
      </c>
      <c r="F26" s="557">
        <f>'F5'!F28</f>
        <v>0</v>
      </c>
      <c r="G26" s="557">
        <f>'F5'!G28</f>
        <v>0</v>
      </c>
      <c r="H26" s="557">
        <f t="shared" si="0"/>
        <v>0</v>
      </c>
      <c r="I26" s="524">
        <f>'F5'!I28+'F5.1 (N)'!D28</f>
        <v>0</v>
      </c>
      <c r="J26" s="557">
        <f>'F5'!J28+'F5.1 (N)'!E28</f>
        <v>0</v>
      </c>
      <c r="K26" s="557">
        <f>'F5'!K28+'F5.1 (N)'!F28</f>
        <v>0</v>
      </c>
      <c r="L26" s="557">
        <f>'F5'!L28+'F5.1 (N)'!G28</f>
        <v>0</v>
      </c>
      <c r="M26" s="524">
        <f t="shared" si="1"/>
        <v>0</v>
      </c>
    </row>
    <row r="27" spans="2:14" x14ac:dyDescent="0.3">
      <c r="B27" s="70">
        <f t="shared" si="2"/>
        <v>14</v>
      </c>
      <c r="C27" s="304" t="s">
        <v>811</v>
      </c>
      <c r="D27" s="557">
        <f>'F5'!D29</f>
        <v>0</v>
      </c>
      <c r="E27" s="557">
        <f>'F5'!E29</f>
        <v>10.811796064461756</v>
      </c>
      <c r="F27" s="557">
        <f>'F5'!F29</f>
        <v>0</v>
      </c>
      <c r="G27" s="557">
        <f>'F5'!G29</f>
        <v>0</v>
      </c>
      <c r="H27" s="557">
        <f t="shared" si="0"/>
        <v>10.811796064461756</v>
      </c>
      <c r="I27" s="524">
        <f>'F5'!I29+'F5.1 (N)'!D29</f>
        <v>10.811796064461756</v>
      </c>
      <c r="J27" s="557">
        <f>'F5'!J29+'F5.1 (N)'!E29</f>
        <v>0</v>
      </c>
      <c r="K27" s="557">
        <f>'F5'!K29+'F5.1 (N)'!F29</f>
        <v>0</v>
      </c>
      <c r="L27" s="557">
        <f>'F5'!L29+'F5.1 (N)'!G29</f>
        <v>0</v>
      </c>
      <c r="M27" s="524">
        <f t="shared" si="1"/>
        <v>10.811796064461756</v>
      </c>
    </row>
    <row r="28" spans="2:14" x14ac:dyDescent="0.3">
      <c r="B28" s="70">
        <f t="shared" si="2"/>
        <v>15</v>
      </c>
      <c r="C28" s="304" t="s">
        <v>812</v>
      </c>
      <c r="D28" s="557">
        <f>'F5'!D30</f>
        <v>0</v>
      </c>
      <c r="E28" s="557">
        <f>'F5'!E30</f>
        <v>0</v>
      </c>
      <c r="F28" s="557">
        <f>'F5'!F30</f>
        <v>0</v>
      </c>
      <c r="G28" s="557">
        <f>'F5'!G30</f>
        <v>0</v>
      </c>
      <c r="H28" s="557">
        <f t="shared" si="0"/>
        <v>0</v>
      </c>
      <c r="I28" s="524">
        <f>'F5'!I30+'F5.1 (N)'!D30</f>
        <v>0</v>
      </c>
      <c r="J28" s="557">
        <f>'F5'!J30+'F5.1 (N)'!E30</f>
        <v>0</v>
      </c>
      <c r="K28" s="557">
        <f>'F5'!K30+'F5.1 (N)'!F30</f>
        <v>0</v>
      </c>
      <c r="L28" s="557">
        <f>'F5'!L30+'F5.1 (N)'!G30</f>
        <v>0</v>
      </c>
      <c r="M28" s="524">
        <f t="shared" si="1"/>
        <v>0</v>
      </c>
    </row>
    <row r="29" spans="2:14" x14ac:dyDescent="0.3">
      <c r="B29" s="70">
        <f t="shared" si="2"/>
        <v>16</v>
      </c>
      <c r="C29" s="304" t="s">
        <v>763</v>
      </c>
      <c r="D29" s="557">
        <f>'F5'!D31</f>
        <v>0</v>
      </c>
      <c r="E29" s="557">
        <f>'F5'!E31</f>
        <v>0</v>
      </c>
      <c r="F29" s="557">
        <f>'F5'!F31</f>
        <v>0</v>
      </c>
      <c r="G29" s="557">
        <f>'F5'!G31</f>
        <v>0</v>
      </c>
      <c r="H29" s="557">
        <f t="shared" si="0"/>
        <v>0</v>
      </c>
      <c r="I29" s="524">
        <f>'F5'!I31+'F5.1 (N)'!D31</f>
        <v>0</v>
      </c>
      <c r="J29" s="557">
        <f>'F5'!J31+'F5.1 (N)'!E31</f>
        <v>0</v>
      </c>
      <c r="K29" s="557">
        <f>'F5'!K31+'F5.1 (N)'!F31</f>
        <v>0</v>
      </c>
      <c r="L29" s="557">
        <f>'F5'!L31+'F5.1 (N)'!G31</f>
        <v>0</v>
      </c>
      <c r="M29" s="524">
        <f t="shared" si="1"/>
        <v>0</v>
      </c>
    </row>
    <row r="30" spans="2:14" x14ac:dyDescent="0.3">
      <c r="B30" s="70">
        <f t="shared" si="2"/>
        <v>17</v>
      </c>
      <c r="C30" s="304" t="s">
        <v>813</v>
      </c>
      <c r="D30" s="557">
        <f>'F5'!D32</f>
        <v>0</v>
      </c>
      <c r="E30" s="557">
        <f>'F5'!E32</f>
        <v>0</v>
      </c>
      <c r="F30" s="557">
        <f>'F5'!F32</f>
        <v>0</v>
      </c>
      <c r="G30" s="557">
        <f>'F5'!G32</f>
        <v>0</v>
      </c>
      <c r="H30" s="557">
        <f t="shared" si="0"/>
        <v>0</v>
      </c>
      <c r="I30" s="524">
        <f>'F5'!I32+'F5.1 (N)'!D32</f>
        <v>0</v>
      </c>
      <c r="J30" s="557">
        <f>'F5'!J32+'F5.1 (N)'!E32</f>
        <v>0</v>
      </c>
      <c r="K30" s="557">
        <f>'F5'!K32+'F5.1 (N)'!F32</f>
        <v>0</v>
      </c>
      <c r="L30" s="557">
        <f>'F5'!L32+'F5.1 (N)'!G32</f>
        <v>0</v>
      </c>
      <c r="M30" s="524">
        <f t="shared" si="1"/>
        <v>0</v>
      </c>
    </row>
    <row r="31" spans="2:14" ht="16" x14ac:dyDescent="0.3">
      <c r="B31" s="61"/>
      <c r="C31" s="71" t="s">
        <v>267</v>
      </c>
      <c r="D31" s="561">
        <f>SUM(D14:D30)</f>
        <v>0</v>
      </c>
      <c r="E31" s="561">
        <f>SUM(E14:E30)</f>
        <v>5836.060836691081</v>
      </c>
      <c r="F31" s="561">
        <f t="shared" ref="F31:M31" si="3">SUM(F14:F30)</f>
        <v>0</v>
      </c>
      <c r="G31" s="561">
        <f t="shared" si="3"/>
        <v>0</v>
      </c>
      <c r="H31" s="561">
        <f t="shared" si="3"/>
        <v>5836.060836691081</v>
      </c>
      <c r="I31" s="561">
        <f t="shared" si="3"/>
        <v>5836.060836691081</v>
      </c>
      <c r="J31" s="561">
        <f t="shared" si="3"/>
        <v>238.01730123408606</v>
      </c>
      <c r="K31" s="561">
        <f t="shared" si="3"/>
        <v>0</v>
      </c>
      <c r="L31" s="561">
        <f t="shared" si="3"/>
        <v>0</v>
      </c>
      <c r="M31" s="561">
        <f t="shared" si="3"/>
        <v>6074.0781379251675</v>
      </c>
    </row>
    <row r="32" spans="2:14" x14ac:dyDescent="0.3">
      <c r="B32" s="42"/>
      <c r="C32" s="54"/>
      <c r="D32" s="1050">
        <f>'F5'!D33-D31</f>
        <v>0</v>
      </c>
      <c r="E32" s="1050">
        <f>'F5'!E33-E31</f>
        <v>0</v>
      </c>
      <c r="F32" s="1050">
        <f>'F5'!F33-F31</f>
        <v>0</v>
      </c>
      <c r="G32" s="1050">
        <f>'F5'!G33-G31</f>
        <v>0</v>
      </c>
      <c r="H32" s="1050">
        <f>'F5'!H33-H31</f>
        <v>0</v>
      </c>
      <c r="I32" s="1050">
        <f>'F5'!I33+'F5.1 (N)'!D33-I31</f>
        <v>0</v>
      </c>
      <c r="J32" s="1050">
        <f>'F5'!J33+'F5.1 (N)'!E33-J31</f>
        <v>0</v>
      </c>
      <c r="K32" s="1050">
        <f>'F5'!K33+'F5.1 (N)'!F33-K31</f>
        <v>0</v>
      </c>
      <c r="L32" s="1050">
        <f>'F5'!L33+'F5.1 (N)'!G33-L31</f>
        <v>0</v>
      </c>
      <c r="M32" s="1050">
        <f>'F5'!M33+'F5.1 (N)'!H33-M31</f>
        <v>0</v>
      </c>
      <c r="N32" s="4"/>
    </row>
    <row r="33" spans="1:33" x14ac:dyDescent="0.3">
      <c r="B33" s="1575" t="s">
        <v>558</v>
      </c>
      <c r="C33" s="1575"/>
      <c r="D33" s="1575"/>
      <c r="E33" s="1575"/>
      <c r="F33" s="1575"/>
      <c r="G33" s="1575"/>
      <c r="H33" s="6"/>
      <c r="J33" s="4"/>
      <c r="M33" s="4"/>
      <c r="N33" s="4"/>
    </row>
    <row r="34" spans="1:33" x14ac:dyDescent="0.3">
      <c r="B34" s="42"/>
      <c r="C34" s="6"/>
      <c r="D34" s="6"/>
      <c r="E34" s="1035">
        <f>F14.3!J24</f>
        <v>5812.3801882380867</v>
      </c>
      <c r="F34" s="42"/>
      <c r="G34" s="1035"/>
      <c r="H34" s="6"/>
      <c r="J34" s="4"/>
      <c r="M34" s="4"/>
      <c r="N34" s="4"/>
    </row>
    <row r="35" spans="1:33" ht="15.75" customHeight="1" x14ac:dyDescent="0.3">
      <c r="B35" s="42"/>
      <c r="C35" s="6"/>
      <c r="D35" s="6"/>
      <c r="E35" s="6"/>
      <c r="F35" s="6"/>
      <c r="G35" s="6"/>
      <c r="H35" s="6"/>
      <c r="J35" s="4"/>
      <c r="M35" s="4"/>
      <c r="N35" s="4"/>
      <c r="AG35" s="50" t="s">
        <v>10</v>
      </c>
    </row>
    <row r="36" spans="1:33" ht="15.75" customHeight="1" x14ac:dyDescent="0.3">
      <c r="B36" s="1481" t="s">
        <v>327</v>
      </c>
      <c r="C36" s="1481" t="s">
        <v>35</v>
      </c>
      <c r="D36" s="1576" t="s">
        <v>850</v>
      </c>
      <c r="E36" s="1577"/>
      <c r="F36" s="1577"/>
      <c r="G36" s="1577"/>
      <c r="H36" s="1578"/>
      <c r="I36" s="1576" t="s">
        <v>851</v>
      </c>
      <c r="J36" s="1577"/>
      <c r="K36" s="1577"/>
      <c r="L36" s="1577"/>
      <c r="M36" s="1578"/>
      <c r="N36" s="1570" t="s">
        <v>852</v>
      </c>
      <c r="O36" s="1570"/>
      <c r="P36" s="1570"/>
      <c r="Q36" s="1570"/>
      <c r="R36" s="1570"/>
      <c r="S36" s="1570" t="s">
        <v>853</v>
      </c>
      <c r="T36" s="1570"/>
      <c r="U36" s="1570"/>
      <c r="V36" s="1570"/>
      <c r="W36" s="1570"/>
    </row>
    <row r="37" spans="1:33" x14ac:dyDescent="0.3">
      <c r="B37" s="1481"/>
      <c r="C37" s="1481"/>
      <c r="D37" s="1579" t="s">
        <v>20</v>
      </c>
      <c r="E37" s="1580"/>
      <c r="F37" s="1580"/>
      <c r="G37" s="1580"/>
      <c r="H37" s="1581"/>
      <c r="I37" s="1579" t="s">
        <v>20</v>
      </c>
      <c r="J37" s="1580"/>
      <c r="K37" s="1580"/>
      <c r="L37" s="1580"/>
      <c r="M37" s="1581"/>
      <c r="N37" s="1573" t="s">
        <v>20</v>
      </c>
      <c r="O37" s="1574"/>
      <c r="P37" s="1574"/>
      <c r="Q37" s="1574"/>
      <c r="R37" s="1574"/>
      <c r="S37" s="1573" t="s">
        <v>20</v>
      </c>
      <c r="T37" s="1574"/>
      <c r="U37" s="1574"/>
      <c r="V37" s="1574"/>
      <c r="W37" s="1574"/>
    </row>
    <row r="38" spans="1:33" s="29" customFormat="1" ht="42" x14ac:dyDescent="0.25">
      <c r="B38" s="1481"/>
      <c r="C38" s="1481"/>
      <c r="D38" s="250" t="s">
        <v>263</v>
      </c>
      <c r="E38" s="250" t="s">
        <v>264</v>
      </c>
      <c r="F38" s="250" t="s">
        <v>265</v>
      </c>
      <c r="G38" s="64" t="s">
        <v>548</v>
      </c>
      <c r="H38" s="250" t="s">
        <v>266</v>
      </c>
      <c r="I38" s="250" t="s">
        <v>263</v>
      </c>
      <c r="J38" s="250" t="s">
        <v>264</v>
      </c>
      <c r="K38" s="250" t="s">
        <v>265</v>
      </c>
      <c r="L38" s="64" t="s">
        <v>548</v>
      </c>
      <c r="M38" s="250" t="s">
        <v>266</v>
      </c>
      <c r="N38" s="250" t="s">
        <v>263</v>
      </c>
      <c r="O38" s="250" t="s">
        <v>264</v>
      </c>
      <c r="P38" s="250" t="s">
        <v>265</v>
      </c>
      <c r="Q38" s="64" t="s">
        <v>548</v>
      </c>
      <c r="R38" s="250" t="s">
        <v>266</v>
      </c>
      <c r="S38" s="250" t="s">
        <v>263</v>
      </c>
      <c r="T38" s="250" t="s">
        <v>264</v>
      </c>
      <c r="U38" s="250" t="s">
        <v>265</v>
      </c>
      <c r="V38" s="64" t="s">
        <v>548</v>
      </c>
      <c r="W38" s="250" t="s">
        <v>266</v>
      </c>
    </row>
    <row r="39" spans="1:33" s="4" customFormat="1" ht="28" x14ac:dyDescent="0.3">
      <c r="B39" s="179"/>
      <c r="C39" s="179"/>
      <c r="D39" s="179" t="s">
        <v>555</v>
      </c>
      <c r="E39" s="179" t="s">
        <v>556</v>
      </c>
      <c r="F39" s="179" t="s">
        <v>557</v>
      </c>
      <c r="G39" s="179" t="s">
        <v>608</v>
      </c>
      <c r="H39" s="179" t="s">
        <v>609</v>
      </c>
      <c r="I39" s="179" t="s">
        <v>610</v>
      </c>
      <c r="J39" s="179" t="s">
        <v>611</v>
      </c>
      <c r="K39" s="179" t="s">
        <v>612</v>
      </c>
      <c r="L39" s="179" t="s">
        <v>613</v>
      </c>
      <c r="M39" s="179" t="s">
        <v>614</v>
      </c>
      <c r="N39" s="179" t="s">
        <v>615</v>
      </c>
      <c r="O39" s="179" t="s">
        <v>616</v>
      </c>
      <c r="P39" s="179" t="s">
        <v>617</v>
      </c>
      <c r="Q39" s="179" t="s">
        <v>618</v>
      </c>
      <c r="R39" s="179" t="s">
        <v>619</v>
      </c>
      <c r="S39" s="179" t="s">
        <v>1123</v>
      </c>
      <c r="T39" s="179" t="s">
        <v>1124</v>
      </c>
      <c r="U39" s="179" t="s">
        <v>1125</v>
      </c>
      <c r="V39" s="179" t="s">
        <v>1126</v>
      </c>
      <c r="W39" s="179" t="s">
        <v>1127</v>
      </c>
    </row>
    <row r="40" spans="1:33" s="4" customFormat="1" x14ac:dyDescent="0.3">
      <c r="B40" s="70">
        <v>1</v>
      </c>
      <c r="C40" s="304" t="s">
        <v>755</v>
      </c>
      <c r="D40" s="524">
        <f t="shared" ref="D40:D56" si="4">M14</f>
        <v>31.731225228927713</v>
      </c>
      <c r="E40" s="557">
        <f>'F5'!E42+'F5.1 (N)'!J16</f>
        <v>0</v>
      </c>
      <c r="F40" s="557">
        <f>'F5'!F42+'F5.1 (N)'!K16</f>
        <v>0</v>
      </c>
      <c r="G40" s="557">
        <f>'F5'!G42+'F5.1 (N)'!L16</f>
        <v>0</v>
      </c>
      <c r="H40" s="524">
        <f>D40+E40-F40-G40</f>
        <v>31.731225228927713</v>
      </c>
      <c r="I40" s="524">
        <f>H40</f>
        <v>31.731225228927713</v>
      </c>
      <c r="J40" s="557">
        <f>'F5'!J42+'F5.1 (N)'!O16</f>
        <v>0</v>
      </c>
      <c r="K40" s="557">
        <f>'F5'!K42+'F5.1 (N)'!P16</f>
        <v>0</v>
      </c>
      <c r="L40" s="557">
        <f>'F5'!L42+'F5.1 (N)'!Q16</f>
        <v>0</v>
      </c>
      <c r="M40" s="524">
        <f>I40+J40-K40-L40</f>
        <v>31.731225228927713</v>
      </c>
      <c r="N40" s="524">
        <f>M40</f>
        <v>31.731225228927713</v>
      </c>
      <c r="O40" s="557">
        <f>'F5'!O42+'F5.1 (N)'!T16</f>
        <v>0</v>
      </c>
      <c r="P40" s="557">
        <f>'F5'!P42+'F5.1 (N)'!U16</f>
        <v>0</v>
      </c>
      <c r="Q40" s="557">
        <f>'F5'!Q42+'F5.1 (N)'!V16</f>
        <v>0</v>
      </c>
      <c r="R40" s="524">
        <f>N40+O40-P40-Q40</f>
        <v>31.731225228927713</v>
      </c>
      <c r="S40" s="524">
        <f>R40</f>
        <v>31.731225228927713</v>
      </c>
      <c r="T40" s="557">
        <f>'F5'!T42+'F5.1 (N)'!Y16</f>
        <v>0</v>
      </c>
      <c r="U40" s="557">
        <f>'F5'!U42+'F5.1 (N)'!Z16</f>
        <v>0</v>
      </c>
      <c r="V40" s="557">
        <f>'F5'!V42+'F5.1 (N)'!AA16</f>
        <v>0</v>
      </c>
      <c r="W40" s="524">
        <f>S40+T40-U40-V40</f>
        <v>31.731225228927713</v>
      </c>
    </row>
    <row r="41" spans="1:33" s="4" customFormat="1" x14ac:dyDescent="0.3">
      <c r="B41" s="70">
        <f>B40+1</f>
        <v>2</v>
      </c>
      <c r="C41" s="304" t="s">
        <v>756</v>
      </c>
      <c r="D41" s="524">
        <f t="shared" si="4"/>
        <v>188.54627358788375</v>
      </c>
      <c r="E41" s="557">
        <f>'F5'!E43+'F5.1 (N)'!J17</f>
        <v>0</v>
      </c>
      <c r="F41" s="557">
        <f>'F5'!F43+'F5.1 (N)'!K17</f>
        <v>0</v>
      </c>
      <c r="G41" s="557">
        <f>'F5'!G43+'F5.1 (N)'!L17</f>
        <v>0</v>
      </c>
      <c r="H41" s="524">
        <f t="shared" ref="H41:H56" si="5">D41+E41-F41-G41</f>
        <v>188.54627358788375</v>
      </c>
      <c r="I41" s="524">
        <f t="shared" ref="I41:I56" si="6">H41</f>
        <v>188.54627358788375</v>
      </c>
      <c r="J41" s="557">
        <f>'F5'!J43+'F5.1 (N)'!O17</f>
        <v>0</v>
      </c>
      <c r="K41" s="557">
        <f>'F5'!K43+'F5.1 (N)'!P17</f>
        <v>0</v>
      </c>
      <c r="L41" s="557">
        <f>'F5'!L43+'F5.1 (N)'!Q17</f>
        <v>0</v>
      </c>
      <c r="M41" s="524">
        <f t="shared" ref="M41:M56" si="7">I41+J41-K41-L41</f>
        <v>188.54627358788375</v>
      </c>
      <c r="N41" s="524">
        <f t="shared" ref="N41:N56" si="8">M41</f>
        <v>188.54627358788375</v>
      </c>
      <c r="O41" s="557">
        <f>'F5'!O43+'F5.1 (N)'!T17</f>
        <v>0</v>
      </c>
      <c r="P41" s="557">
        <f>'F5'!P43+'F5.1 (N)'!U17</f>
        <v>0</v>
      </c>
      <c r="Q41" s="557">
        <f>'F5'!Q43+'F5.1 (N)'!V17</f>
        <v>0</v>
      </c>
      <c r="R41" s="524">
        <f t="shared" ref="R41:R56" si="9">N41+O41-P41-Q41</f>
        <v>188.54627358788375</v>
      </c>
      <c r="S41" s="524">
        <f t="shared" ref="S41:S56" si="10">R41</f>
        <v>188.54627358788375</v>
      </c>
      <c r="T41" s="557">
        <f>'F5'!T43+'F5.1 (N)'!Y17</f>
        <v>0</v>
      </c>
      <c r="U41" s="557">
        <f>'F5'!U43+'F5.1 (N)'!Z17</f>
        <v>0</v>
      </c>
      <c r="V41" s="557">
        <f>'F5'!V43+'F5.1 (N)'!AA17</f>
        <v>0</v>
      </c>
      <c r="W41" s="524">
        <f t="shared" ref="W41:W56" si="11">S41+T41-U41-V41</f>
        <v>188.54627358788375</v>
      </c>
    </row>
    <row r="42" spans="1:33" x14ac:dyDescent="0.3">
      <c r="A42" s="4"/>
      <c r="B42" s="70">
        <f t="shared" ref="B42:B56" si="12">B41+1</f>
        <v>3</v>
      </c>
      <c r="C42" s="304" t="s">
        <v>757</v>
      </c>
      <c r="D42" s="524">
        <f t="shared" si="4"/>
        <v>0</v>
      </c>
      <c r="E42" s="557">
        <f>'F5'!E44+'F5.1 (N)'!J18</f>
        <v>0</v>
      </c>
      <c r="F42" s="557">
        <f>'F5'!F44+'F5.1 (N)'!K18</f>
        <v>0</v>
      </c>
      <c r="G42" s="557">
        <f>'F5'!G44+'F5.1 (N)'!L18</f>
        <v>0</v>
      </c>
      <c r="H42" s="524">
        <f t="shared" si="5"/>
        <v>0</v>
      </c>
      <c r="I42" s="524">
        <f t="shared" si="6"/>
        <v>0</v>
      </c>
      <c r="J42" s="557">
        <f>'F5'!J44+'F5.1 (N)'!O18</f>
        <v>0</v>
      </c>
      <c r="K42" s="557">
        <f>'F5'!K44+'F5.1 (N)'!P18</f>
        <v>0</v>
      </c>
      <c r="L42" s="557">
        <f>'F5'!L44+'F5.1 (N)'!Q18</f>
        <v>0</v>
      </c>
      <c r="M42" s="524">
        <f t="shared" si="7"/>
        <v>0</v>
      </c>
      <c r="N42" s="524">
        <f t="shared" si="8"/>
        <v>0</v>
      </c>
      <c r="O42" s="557">
        <f>'F5'!O44+'F5.1 (N)'!T18</f>
        <v>0</v>
      </c>
      <c r="P42" s="557">
        <f>'F5'!P44+'F5.1 (N)'!U18</f>
        <v>0</v>
      </c>
      <c r="Q42" s="557">
        <f>'F5'!Q44+'F5.1 (N)'!V18</f>
        <v>0</v>
      </c>
      <c r="R42" s="524">
        <f t="shared" si="9"/>
        <v>0</v>
      </c>
      <c r="S42" s="524">
        <f t="shared" si="10"/>
        <v>0</v>
      </c>
      <c r="T42" s="557">
        <f>'F5'!T44+'F5.1 (N)'!Y18</f>
        <v>0</v>
      </c>
      <c r="U42" s="557">
        <f>'F5'!U44+'F5.1 (N)'!Z18</f>
        <v>0</v>
      </c>
      <c r="V42" s="557">
        <f>'F5'!V44+'F5.1 (N)'!AA18</f>
        <v>0</v>
      </c>
      <c r="W42" s="524">
        <f t="shared" si="11"/>
        <v>0</v>
      </c>
    </row>
    <row r="43" spans="1:33" x14ac:dyDescent="0.3">
      <c r="A43" s="4"/>
      <c r="B43" s="70">
        <f t="shared" si="12"/>
        <v>4</v>
      </c>
      <c r="C43" s="304" t="s">
        <v>758</v>
      </c>
      <c r="D43" s="524">
        <f t="shared" si="4"/>
        <v>0</v>
      </c>
      <c r="E43" s="557">
        <f>'F5'!E45+'F5.1 (N)'!J19</f>
        <v>0</v>
      </c>
      <c r="F43" s="557">
        <f>'F5'!F45+'F5.1 (N)'!K19</f>
        <v>0</v>
      </c>
      <c r="G43" s="557">
        <f>'F5'!G45+'F5.1 (N)'!L19</f>
        <v>0</v>
      </c>
      <c r="H43" s="524">
        <f t="shared" si="5"/>
        <v>0</v>
      </c>
      <c r="I43" s="524">
        <f t="shared" si="6"/>
        <v>0</v>
      </c>
      <c r="J43" s="557">
        <f>'F5'!J45+'F5.1 (N)'!O19</f>
        <v>0</v>
      </c>
      <c r="K43" s="557">
        <f>'F5'!K45+'F5.1 (N)'!P19</f>
        <v>0</v>
      </c>
      <c r="L43" s="557">
        <f>'F5'!L45+'F5.1 (N)'!Q19</f>
        <v>0</v>
      </c>
      <c r="M43" s="524">
        <f t="shared" si="7"/>
        <v>0</v>
      </c>
      <c r="N43" s="524">
        <f t="shared" si="8"/>
        <v>0</v>
      </c>
      <c r="O43" s="557">
        <f>'F5'!O45+'F5.1 (N)'!T19</f>
        <v>0</v>
      </c>
      <c r="P43" s="557">
        <f>'F5'!P45+'F5.1 (N)'!U19</f>
        <v>0</v>
      </c>
      <c r="Q43" s="557">
        <f>'F5'!Q45+'F5.1 (N)'!V19</f>
        <v>0</v>
      </c>
      <c r="R43" s="524">
        <f t="shared" si="9"/>
        <v>0</v>
      </c>
      <c r="S43" s="524">
        <f t="shared" si="10"/>
        <v>0</v>
      </c>
      <c r="T43" s="557">
        <f>'F5'!T45+'F5.1 (N)'!Y19</f>
        <v>0</v>
      </c>
      <c r="U43" s="557">
        <f>'F5'!U45+'F5.1 (N)'!Z19</f>
        <v>0</v>
      </c>
      <c r="V43" s="557">
        <f>'F5'!V45+'F5.1 (N)'!AA19</f>
        <v>0</v>
      </c>
      <c r="W43" s="524">
        <f t="shared" si="11"/>
        <v>0</v>
      </c>
    </row>
    <row r="44" spans="1:33" x14ac:dyDescent="0.3">
      <c r="A44" s="4"/>
      <c r="B44" s="70">
        <f t="shared" si="12"/>
        <v>5</v>
      </c>
      <c r="C44" s="304" t="s">
        <v>759</v>
      </c>
      <c r="D44" s="524">
        <f t="shared" si="4"/>
        <v>173.87986323491808</v>
      </c>
      <c r="E44" s="557">
        <f>'F5'!E46+'F5.1 (N)'!J20</f>
        <v>0</v>
      </c>
      <c r="F44" s="557">
        <f>'F5'!F46+'F5.1 (N)'!K20</f>
        <v>0</v>
      </c>
      <c r="G44" s="557">
        <f>'F5'!G46+'F5.1 (N)'!L20</f>
        <v>0</v>
      </c>
      <c r="H44" s="524">
        <f t="shared" si="5"/>
        <v>173.87986323491808</v>
      </c>
      <c r="I44" s="524">
        <f t="shared" si="6"/>
        <v>173.87986323491808</v>
      </c>
      <c r="J44" s="557">
        <f>'F5'!J46+'F5.1 (N)'!O20</f>
        <v>0</v>
      </c>
      <c r="K44" s="557">
        <f>'F5'!K46+'F5.1 (N)'!P20</f>
        <v>0</v>
      </c>
      <c r="L44" s="557">
        <f>'F5'!L46+'F5.1 (N)'!Q20</f>
        <v>0</v>
      </c>
      <c r="M44" s="524">
        <f t="shared" si="7"/>
        <v>173.87986323491808</v>
      </c>
      <c r="N44" s="524">
        <f t="shared" si="8"/>
        <v>173.87986323491808</v>
      </c>
      <c r="O44" s="557">
        <f>'F5'!O46+'F5.1 (N)'!T20</f>
        <v>0</v>
      </c>
      <c r="P44" s="557">
        <f>'F5'!P46+'F5.1 (N)'!U20</f>
        <v>0</v>
      </c>
      <c r="Q44" s="557">
        <f>'F5'!Q46+'F5.1 (N)'!V20</f>
        <v>0</v>
      </c>
      <c r="R44" s="524">
        <f t="shared" si="9"/>
        <v>173.87986323491808</v>
      </c>
      <c r="S44" s="524">
        <f t="shared" si="10"/>
        <v>173.87986323491808</v>
      </c>
      <c r="T44" s="557">
        <f>'F5'!T46+'F5.1 (N)'!Y20</f>
        <v>0</v>
      </c>
      <c r="U44" s="557">
        <f>'F5'!U46+'F5.1 (N)'!Z20</f>
        <v>0</v>
      </c>
      <c r="V44" s="557">
        <f>'F5'!V46+'F5.1 (N)'!AA20</f>
        <v>0</v>
      </c>
      <c r="W44" s="524">
        <f t="shared" si="11"/>
        <v>173.87986323491808</v>
      </c>
    </row>
    <row r="45" spans="1:33" x14ac:dyDescent="0.3">
      <c r="A45" s="4"/>
      <c r="B45" s="70">
        <f t="shared" si="12"/>
        <v>6</v>
      </c>
      <c r="C45" s="304" t="s">
        <v>251</v>
      </c>
      <c r="D45" s="524">
        <f t="shared" si="4"/>
        <v>5663.0123613889937</v>
      </c>
      <c r="E45" s="557">
        <f>'F5'!E47+'F5.1 (N)'!J21</f>
        <v>731.16501526337015</v>
      </c>
      <c r="F45" s="557">
        <f>'F5'!F47+'F5.1 (N)'!K21</f>
        <v>0</v>
      </c>
      <c r="G45" s="557">
        <f>'F5'!G47+'F5.1 (N)'!L21</f>
        <v>0</v>
      </c>
      <c r="H45" s="524">
        <f t="shared" si="5"/>
        <v>6394.1773766523638</v>
      </c>
      <c r="I45" s="524">
        <f t="shared" si="6"/>
        <v>6394.1773766523638</v>
      </c>
      <c r="J45" s="557">
        <f>'F5'!J47+'F5.1 (N)'!O21</f>
        <v>137.01</v>
      </c>
      <c r="K45" s="557">
        <f>'F5'!K47+'F5.1 (N)'!P21</f>
        <v>0</v>
      </c>
      <c r="L45" s="557">
        <f>'F5'!L47+'F5.1 (N)'!Q21</f>
        <v>0</v>
      </c>
      <c r="M45" s="524">
        <f t="shared" si="7"/>
        <v>6531.187376652364</v>
      </c>
      <c r="N45" s="524">
        <f t="shared" si="8"/>
        <v>6531.187376652364</v>
      </c>
      <c r="O45" s="557">
        <f>'F5'!O47+'F5.1 (N)'!T21</f>
        <v>18.75</v>
      </c>
      <c r="P45" s="557">
        <f>'F5'!P47+'F5.1 (N)'!U21</f>
        <v>0</v>
      </c>
      <c r="Q45" s="557">
        <f>'F5'!Q47+'F5.1 (N)'!V21</f>
        <v>0</v>
      </c>
      <c r="R45" s="524">
        <f t="shared" si="9"/>
        <v>6549.937376652364</v>
      </c>
      <c r="S45" s="524">
        <f t="shared" si="10"/>
        <v>6549.937376652364</v>
      </c>
      <c r="T45" s="557">
        <f>'F5'!T47+'F5.1 (N)'!Y21</f>
        <v>25</v>
      </c>
      <c r="U45" s="557">
        <f>'F5'!U47+'F5.1 (N)'!Z21</f>
        <v>0</v>
      </c>
      <c r="V45" s="557">
        <f>'F5'!V47+'F5.1 (N)'!AA21</f>
        <v>0</v>
      </c>
      <c r="W45" s="524">
        <f t="shared" si="11"/>
        <v>6574.937376652364</v>
      </c>
    </row>
    <row r="46" spans="1:33" x14ac:dyDescent="0.3">
      <c r="A46" s="4"/>
      <c r="B46" s="70">
        <f t="shared" si="12"/>
        <v>7</v>
      </c>
      <c r="C46" s="304" t="s">
        <v>760</v>
      </c>
      <c r="D46" s="524">
        <f t="shared" si="4"/>
        <v>6.0966184199835345</v>
      </c>
      <c r="E46" s="557">
        <f>'F5'!E48+'F5.1 (N)'!J22</f>
        <v>0</v>
      </c>
      <c r="F46" s="557">
        <f>'F5'!F48+'F5.1 (N)'!K22</f>
        <v>0</v>
      </c>
      <c r="G46" s="557">
        <f>'F5'!G48+'F5.1 (N)'!L22</f>
        <v>0</v>
      </c>
      <c r="H46" s="524">
        <f t="shared" si="5"/>
        <v>6.0966184199835345</v>
      </c>
      <c r="I46" s="524">
        <f t="shared" si="6"/>
        <v>6.0966184199835345</v>
      </c>
      <c r="J46" s="557">
        <f>'F5'!J48+'F5.1 (N)'!O22</f>
        <v>0</v>
      </c>
      <c r="K46" s="557">
        <f>'F5'!K48+'F5.1 (N)'!P22</f>
        <v>0</v>
      </c>
      <c r="L46" s="557">
        <f>'F5'!L48+'F5.1 (N)'!Q22</f>
        <v>0</v>
      </c>
      <c r="M46" s="524">
        <f t="shared" si="7"/>
        <v>6.0966184199835345</v>
      </c>
      <c r="N46" s="524">
        <f t="shared" si="8"/>
        <v>6.0966184199835345</v>
      </c>
      <c r="O46" s="557">
        <f>'F5'!O48+'F5.1 (N)'!T22</f>
        <v>0</v>
      </c>
      <c r="P46" s="557">
        <f>'F5'!P48+'F5.1 (N)'!U22</f>
        <v>0</v>
      </c>
      <c r="Q46" s="557">
        <f>'F5'!Q48+'F5.1 (N)'!V22</f>
        <v>0</v>
      </c>
      <c r="R46" s="524">
        <f t="shared" si="9"/>
        <v>6.0966184199835345</v>
      </c>
      <c r="S46" s="524">
        <f t="shared" si="10"/>
        <v>6.0966184199835345</v>
      </c>
      <c r="T46" s="557">
        <f>'F5'!T48+'F5.1 (N)'!Y22</f>
        <v>0</v>
      </c>
      <c r="U46" s="557">
        <f>'F5'!U48+'F5.1 (N)'!Z22</f>
        <v>0</v>
      </c>
      <c r="V46" s="557">
        <f>'F5'!V48+'F5.1 (N)'!AA22</f>
        <v>0</v>
      </c>
      <c r="W46" s="524">
        <f t="shared" si="11"/>
        <v>6.0966184199835345</v>
      </c>
    </row>
    <row r="47" spans="1:33" x14ac:dyDescent="0.3">
      <c r="A47" s="4"/>
      <c r="B47" s="70">
        <f t="shared" si="12"/>
        <v>8</v>
      </c>
      <c r="C47" s="304" t="s">
        <v>761</v>
      </c>
      <c r="D47" s="524">
        <f t="shared" si="4"/>
        <v>0</v>
      </c>
      <c r="E47" s="557">
        <f>'F5'!E49+'F5.1 (N)'!J23</f>
        <v>0</v>
      </c>
      <c r="F47" s="557">
        <f>'F5'!F49+'F5.1 (N)'!K23</f>
        <v>0</v>
      </c>
      <c r="G47" s="557">
        <f>'F5'!G49+'F5.1 (N)'!L23</f>
        <v>0</v>
      </c>
      <c r="H47" s="524">
        <f t="shared" si="5"/>
        <v>0</v>
      </c>
      <c r="I47" s="524">
        <f t="shared" si="6"/>
        <v>0</v>
      </c>
      <c r="J47" s="557">
        <f>'F5'!J49+'F5.1 (N)'!O23</f>
        <v>0</v>
      </c>
      <c r="K47" s="557">
        <f>'F5'!K49+'F5.1 (N)'!P23</f>
        <v>0</v>
      </c>
      <c r="L47" s="557">
        <f>'F5'!L49+'F5.1 (N)'!Q23</f>
        <v>0</v>
      </c>
      <c r="M47" s="524">
        <f t="shared" si="7"/>
        <v>0</v>
      </c>
      <c r="N47" s="524">
        <f t="shared" si="8"/>
        <v>0</v>
      </c>
      <c r="O47" s="557">
        <f>'F5'!O49+'F5.1 (N)'!T23</f>
        <v>0</v>
      </c>
      <c r="P47" s="557">
        <f>'F5'!P49+'F5.1 (N)'!U23</f>
        <v>0</v>
      </c>
      <c r="Q47" s="557">
        <f>'F5'!Q49+'F5.1 (N)'!V23</f>
        <v>0</v>
      </c>
      <c r="R47" s="524">
        <f t="shared" si="9"/>
        <v>0</v>
      </c>
      <c r="S47" s="524">
        <f t="shared" si="10"/>
        <v>0</v>
      </c>
      <c r="T47" s="557">
        <f>'F5'!T49+'F5.1 (N)'!Y23</f>
        <v>0</v>
      </c>
      <c r="U47" s="557">
        <f>'F5'!U49+'F5.1 (N)'!Z23</f>
        <v>0</v>
      </c>
      <c r="V47" s="557">
        <f>'F5'!V49+'F5.1 (N)'!AA23</f>
        <v>0</v>
      </c>
      <c r="W47" s="524">
        <f t="shared" si="11"/>
        <v>0</v>
      </c>
    </row>
    <row r="48" spans="1:33" x14ac:dyDescent="0.3">
      <c r="A48" s="4"/>
      <c r="B48" s="70">
        <f t="shared" si="12"/>
        <v>9</v>
      </c>
      <c r="C48" s="304" t="s">
        <v>762</v>
      </c>
      <c r="D48" s="524">
        <f t="shared" si="4"/>
        <v>0</v>
      </c>
      <c r="E48" s="557">
        <f>'F5'!E50+'F5.1 (N)'!J24</f>
        <v>0</v>
      </c>
      <c r="F48" s="557">
        <f>'F5'!F50+'F5.1 (N)'!K24</f>
        <v>0</v>
      </c>
      <c r="G48" s="557">
        <f>'F5'!G50+'F5.1 (N)'!L24</f>
        <v>0</v>
      </c>
      <c r="H48" s="524">
        <f t="shared" si="5"/>
        <v>0</v>
      </c>
      <c r="I48" s="524">
        <f t="shared" si="6"/>
        <v>0</v>
      </c>
      <c r="J48" s="557">
        <f>'F5'!J50+'F5.1 (N)'!O24</f>
        <v>0</v>
      </c>
      <c r="K48" s="557">
        <f>'F5'!K50+'F5.1 (N)'!P24</f>
        <v>0</v>
      </c>
      <c r="L48" s="557">
        <f>'F5'!L50+'F5.1 (N)'!Q24</f>
        <v>0</v>
      </c>
      <c r="M48" s="524">
        <f t="shared" si="7"/>
        <v>0</v>
      </c>
      <c r="N48" s="524">
        <f t="shared" si="8"/>
        <v>0</v>
      </c>
      <c r="O48" s="557">
        <f>'F5'!O50+'F5.1 (N)'!T24</f>
        <v>0</v>
      </c>
      <c r="P48" s="557">
        <f>'F5'!P50+'F5.1 (N)'!U24</f>
        <v>0</v>
      </c>
      <c r="Q48" s="557">
        <f>'F5'!Q50+'F5.1 (N)'!V24</f>
        <v>0</v>
      </c>
      <c r="R48" s="524">
        <f t="shared" si="9"/>
        <v>0</v>
      </c>
      <c r="S48" s="524">
        <f t="shared" si="10"/>
        <v>0</v>
      </c>
      <c r="T48" s="557">
        <f>'F5'!T50+'F5.1 (N)'!Y24</f>
        <v>0</v>
      </c>
      <c r="U48" s="557">
        <f>'F5'!U50+'F5.1 (N)'!Z24</f>
        <v>0</v>
      </c>
      <c r="V48" s="557">
        <f>'F5'!V50+'F5.1 (N)'!AA24</f>
        <v>0</v>
      </c>
      <c r="W48" s="524">
        <f t="shared" si="11"/>
        <v>0</v>
      </c>
    </row>
    <row r="49" spans="1:23" x14ac:dyDescent="0.3">
      <c r="A49" s="4"/>
      <c r="B49" s="70">
        <f t="shared" si="12"/>
        <v>10</v>
      </c>
      <c r="C49" s="304" t="s">
        <v>254</v>
      </c>
      <c r="D49" s="524">
        <f t="shared" si="4"/>
        <v>0</v>
      </c>
      <c r="E49" s="557">
        <f>'F5'!E51+'F5.1 (N)'!J25</f>
        <v>0</v>
      </c>
      <c r="F49" s="557">
        <f>'F5'!F51+'F5.1 (N)'!K25</f>
        <v>0</v>
      </c>
      <c r="G49" s="557">
        <f>'F5'!G51+'F5.1 (N)'!L25</f>
        <v>0</v>
      </c>
      <c r="H49" s="524">
        <f t="shared" si="5"/>
        <v>0</v>
      </c>
      <c r="I49" s="524">
        <f t="shared" si="6"/>
        <v>0</v>
      </c>
      <c r="J49" s="557">
        <f>'F5'!J51+'F5.1 (N)'!O25</f>
        <v>0</v>
      </c>
      <c r="K49" s="557">
        <f>'F5'!K51+'F5.1 (N)'!P25</f>
        <v>0</v>
      </c>
      <c r="L49" s="557">
        <f>'F5'!L51+'F5.1 (N)'!Q25</f>
        <v>0</v>
      </c>
      <c r="M49" s="524">
        <f t="shared" si="7"/>
        <v>0</v>
      </c>
      <c r="N49" s="524">
        <f t="shared" si="8"/>
        <v>0</v>
      </c>
      <c r="O49" s="557">
        <f>'F5'!O51+'F5.1 (N)'!T25</f>
        <v>0</v>
      </c>
      <c r="P49" s="557">
        <f>'F5'!P51+'F5.1 (N)'!U25</f>
        <v>0</v>
      </c>
      <c r="Q49" s="557">
        <f>'F5'!Q51+'F5.1 (N)'!V25</f>
        <v>0</v>
      </c>
      <c r="R49" s="524">
        <f t="shared" si="9"/>
        <v>0</v>
      </c>
      <c r="S49" s="524">
        <f t="shared" si="10"/>
        <v>0</v>
      </c>
      <c r="T49" s="557">
        <f>'F5'!T51+'F5.1 (N)'!Y25</f>
        <v>0</v>
      </c>
      <c r="U49" s="557">
        <f>'F5'!U51+'F5.1 (N)'!Z25</f>
        <v>0</v>
      </c>
      <c r="V49" s="557">
        <f>'F5'!V51+'F5.1 (N)'!AA25</f>
        <v>0</v>
      </c>
      <c r="W49" s="524">
        <f t="shared" si="11"/>
        <v>0</v>
      </c>
    </row>
    <row r="50" spans="1:23" x14ac:dyDescent="0.3">
      <c r="A50" s="4"/>
      <c r="B50" s="70">
        <f t="shared" si="12"/>
        <v>11</v>
      </c>
      <c r="C50" s="304" t="s">
        <v>255</v>
      </c>
      <c r="D50" s="524">
        <f t="shared" si="4"/>
        <v>0</v>
      </c>
      <c r="E50" s="557">
        <f>'F5'!E52+'F5.1 (N)'!J26</f>
        <v>0</v>
      </c>
      <c r="F50" s="557">
        <f>'F5'!F52+'F5.1 (N)'!K26</f>
        <v>0</v>
      </c>
      <c r="G50" s="557">
        <f>'F5'!G52+'F5.1 (N)'!L26</f>
        <v>0</v>
      </c>
      <c r="H50" s="524">
        <f t="shared" si="5"/>
        <v>0</v>
      </c>
      <c r="I50" s="524">
        <f t="shared" si="6"/>
        <v>0</v>
      </c>
      <c r="J50" s="557">
        <f>'F5'!J52+'F5.1 (N)'!O26</f>
        <v>0</v>
      </c>
      <c r="K50" s="557">
        <f>'F5'!K52+'F5.1 (N)'!P26</f>
        <v>0</v>
      </c>
      <c r="L50" s="557">
        <f>'F5'!L52+'F5.1 (N)'!Q26</f>
        <v>0</v>
      </c>
      <c r="M50" s="524">
        <f t="shared" si="7"/>
        <v>0</v>
      </c>
      <c r="N50" s="524">
        <f t="shared" si="8"/>
        <v>0</v>
      </c>
      <c r="O50" s="557">
        <f>'F5'!O52+'F5.1 (N)'!T26</f>
        <v>0</v>
      </c>
      <c r="P50" s="557">
        <f>'F5'!P52+'F5.1 (N)'!U26</f>
        <v>0</v>
      </c>
      <c r="Q50" s="557">
        <f>'F5'!Q52+'F5.1 (N)'!V26</f>
        <v>0</v>
      </c>
      <c r="R50" s="524">
        <f t="shared" si="9"/>
        <v>0</v>
      </c>
      <c r="S50" s="524">
        <f t="shared" si="10"/>
        <v>0</v>
      </c>
      <c r="T50" s="557">
        <f>'F5'!T52+'F5.1 (N)'!Y26</f>
        <v>0</v>
      </c>
      <c r="U50" s="557">
        <f>'F5'!U52+'F5.1 (N)'!Z26</f>
        <v>0</v>
      </c>
      <c r="V50" s="557">
        <f>'F5'!V52+'F5.1 (N)'!AA26</f>
        <v>0</v>
      </c>
      <c r="W50" s="524">
        <f t="shared" si="11"/>
        <v>0</v>
      </c>
    </row>
    <row r="51" spans="1:23" x14ac:dyDescent="0.3">
      <c r="A51" s="4"/>
      <c r="B51" s="70">
        <f t="shared" si="12"/>
        <v>12</v>
      </c>
      <c r="C51" s="304" t="s">
        <v>256</v>
      </c>
      <c r="D51" s="524">
        <f t="shared" si="4"/>
        <v>0</v>
      </c>
      <c r="E51" s="557">
        <f>'F5'!E53+'F5.1 (N)'!J27</f>
        <v>0</v>
      </c>
      <c r="F51" s="557">
        <f>'F5'!F53+'F5.1 (N)'!K27</f>
        <v>0</v>
      </c>
      <c r="G51" s="557">
        <f>'F5'!G53+'F5.1 (N)'!L27</f>
        <v>0</v>
      </c>
      <c r="H51" s="524">
        <f t="shared" si="5"/>
        <v>0</v>
      </c>
      <c r="I51" s="524">
        <f t="shared" si="6"/>
        <v>0</v>
      </c>
      <c r="J51" s="557">
        <f>'F5'!J53+'F5.1 (N)'!O27</f>
        <v>0</v>
      </c>
      <c r="K51" s="557">
        <f>'F5'!K53+'F5.1 (N)'!P27</f>
        <v>0</v>
      </c>
      <c r="L51" s="557">
        <f>'F5'!L53+'F5.1 (N)'!Q27</f>
        <v>0</v>
      </c>
      <c r="M51" s="524">
        <f t="shared" si="7"/>
        <v>0</v>
      </c>
      <c r="N51" s="524">
        <f t="shared" si="8"/>
        <v>0</v>
      </c>
      <c r="O51" s="557">
        <f>'F5'!O53+'F5.1 (N)'!T27</f>
        <v>0</v>
      </c>
      <c r="P51" s="557">
        <f>'F5'!P53+'F5.1 (N)'!U27</f>
        <v>0</v>
      </c>
      <c r="Q51" s="557">
        <f>'F5'!Q53+'F5.1 (N)'!V27</f>
        <v>0</v>
      </c>
      <c r="R51" s="524">
        <f t="shared" si="9"/>
        <v>0</v>
      </c>
      <c r="S51" s="524">
        <f t="shared" si="10"/>
        <v>0</v>
      </c>
      <c r="T51" s="557">
        <f>'F5'!T53+'F5.1 (N)'!Y27</f>
        <v>0</v>
      </c>
      <c r="U51" s="557">
        <f>'F5'!U53+'F5.1 (N)'!Z27</f>
        <v>0</v>
      </c>
      <c r="V51" s="557">
        <f>'F5'!V53+'F5.1 (N)'!AA27</f>
        <v>0</v>
      </c>
      <c r="W51" s="524">
        <f t="shared" si="11"/>
        <v>0</v>
      </c>
    </row>
    <row r="52" spans="1:23" x14ac:dyDescent="0.3">
      <c r="A52" s="4"/>
      <c r="B52" s="70">
        <f t="shared" si="12"/>
        <v>13</v>
      </c>
      <c r="C52" s="304" t="s">
        <v>810</v>
      </c>
      <c r="D52" s="524">
        <f t="shared" si="4"/>
        <v>0</v>
      </c>
      <c r="E52" s="557">
        <f>'F5'!E54+'F5.1 (N)'!J28</f>
        <v>0</v>
      </c>
      <c r="F52" s="557">
        <f>'F5'!F54+'F5.1 (N)'!K28</f>
        <v>0</v>
      </c>
      <c r="G52" s="557">
        <f>'F5'!G54+'F5.1 (N)'!L28</f>
        <v>0</v>
      </c>
      <c r="H52" s="524">
        <f t="shared" si="5"/>
        <v>0</v>
      </c>
      <c r="I52" s="524">
        <f t="shared" si="6"/>
        <v>0</v>
      </c>
      <c r="J52" s="557">
        <f>'F5'!J54+'F5.1 (N)'!O28</f>
        <v>0</v>
      </c>
      <c r="K52" s="557">
        <f>'F5'!K54+'F5.1 (N)'!P28</f>
        <v>0</v>
      </c>
      <c r="L52" s="557">
        <f>'F5'!L54+'F5.1 (N)'!Q28</f>
        <v>0</v>
      </c>
      <c r="M52" s="524">
        <f t="shared" si="7"/>
        <v>0</v>
      </c>
      <c r="N52" s="524">
        <f t="shared" si="8"/>
        <v>0</v>
      </c>
      <c r="O52" s="557">
        <f>'F5'!O54+'F5.1 (N)'!T28</f>
        <v>0</v>
      </c>
      <c r="P52" s="557">
        <f>'F5'!P54+'F5.1 (N)'!U28</f>
        <v>0</v>
      </c>
      <c r="Q52" s="557">
        <f>'F5'!Q54+'F5.1 (N)'!V28</f>
        <v>0</v>
      </c>
      <c r="R52" s="524">
        <f t="shared" si="9"/>
        <v>0</v>
      </c>
      <c r="S52" s="524">
        <f t="shared" si="10"/>
        <v>0</v>
      </c>
      <c r="T52" s="557">
        <f>'F5'!T54+'F5.1 (N)'!Y28</f>
        <v>0</v>
      </c>
      <c r="U52" s="557">
        <f>'F5'!U54+'F5.1 (N)'!Z28</f>
        <v>0</v>
      </c>
      <c r="V52" s="557">
        <f>'F5'!V54+'F5.1 (N)'!AA28</f>
        <v>0</v>
      </c>
      <c r="W52" s="524">
        <f t="shared" si="11"/>
        <v>0</v>
      </c>
    </row>
    <row r="53" spans="1:23" x14ac:dyDescent="0.3">
      <c r="A53" s="4"/>
      <c r="B53" s="70">
        <f t="shared" si="12"/>
        <v>14</v>
      </c>
      <c r="C53" s="304" t="s">
        <v>811</v>
      </c>
      <c r="D53" s="524">
        <f t="shared" si="4"/>
        <v>10.811796064461756</v>
      </c>
      <c r="E53" s="557">
        <f>'F5'!E55+'F5.1 (N)'!J29</f>
        <v>0</v>
      </c>
      <c r="F53" s="557">
        <f>'F5'!F55+'F5.1 (N)'!K29</f>
        <v>0</v>
      </c>
      <c r="G53" s="557">
        <f>'F5'!G55+'F5.1 (N)'!L29</f>
        <v>0</v>
      </c>
      <c r="H53" s="524">
        <f t="shared" si="5"/>
        <v>10.811796064461756</v>
      </c>
      <c r="I53" s="524">
        <f t="shared" si="6"/>
        <v>10.811796064461756</v>
      </c>
      <c r="J53" s="557">
        <f>'F5'!J55+'F5.1 (N)'!O29</f>
        <v>0</v>
      </c>
      <c r="K53" s="557">
        <f>'F5'!K55+'F5.1 (N)'!P29</f>
        <v>0</v>
      </c>
      <c r="L53" s="557">
        <f>'F5'!L55+'F5.1 (N)'!Q29</f>
        <v>0</v>
      </c>
      <c r="M53" s="524">
        <f t="shared" si="7"/>
        <v>10.811796064461756</v>
      </c>
      <c r="N53" s="524">
        <f t="shared" si="8"/>
        <v>10.811796064461756</v>
      </c>
      <c r="O53" s="557">
        <f>'F5'!O55+'F5.1 (N)'!T29</f>
        <v>0</v>
      </c>
      <c r="P53" s="557">
        <f>'F5'!P55+'F5.1 (N)'!U29</f>
        <v>0</v>
      </c>
      <c r="Q53" s="557">
        <f>'F5'!Q55+'F5.1 (N)'!V29</f>
        <v>0</v>
      </c>
      <c r="R53" s="524">
        <f t="shared" si="9"/>
        <v>10.811796064461756</v>
      </c>
      <c r="S53" s="524">
        <f t="shared" si="10"/>
        <v>10.811796064461756</v>
      </c>
      <c r="T53" s="557">
        <f>'F5'!T55+'F5.1 (N)'!Y29</f>
        <v>0</v>
      </c>
      <c r="U53" s="557">
        <f>'F5'!U55+'F5.1 (N)'!Z29</f>
        <v>0</v>
      </c>
      <c r="V53" s="557">
        <f>'F5'!V55+'F5.1 (N)'!AA29</f>
        <v>0</v>
      </c>
      <c r="W53" s="524">
        <f t="shared" si="11"/>
        <v>10.811796064461756</v>
      </c>
    </row>
    <row r="54" spans="1:23" x14ac:dyDescent="0.3">
      <c r="A54" s="4"/>
      <c r="B54" s="70">
        <f t="shared" si="12"/>
        <v>15</v>
      </c>
      <c r="C54" s="304" t="s">
        <v>812</v>
      </c>
      <c r="D54" s="524">
        <f t="shared" si="4"/>
        <v>0</v>
      </c>
      <c r="E54" s="557">
        <f>'F5'!E56+'F5.1 (N)'!J30</f>
        <v>0</v>
      </c>
      <c r="F54" s="557">
        <f>'F5'!F56+'F5.1 (N)'!K30</f>
        <v>0</v>
      </c>
      <c r="G54" s="557">
        <f>'F5'!G56+'F5.1 (N)'!L30</f>
        <v>0</v>
      </c>
      <c r="H54" s="524">
        <f t="shared" si="5"/>
        <v>0</v>
      </c>
      <c r="I54" s="524">
        <f t="shared" si="6"/>
        <v>0</v>
      </c>
      <c r="J54" s="557">
        <f>'F5'!J56+'F5.1 (N)'!O30</f>
        <v>0</v>
      </c>
      <c r="K54" s="557">
        <f>'F5'!K56+'F5.1 (N)'!P30</f>
        <v>0</v>
      </c>
      <c r="L54" s="557">
        <f>'F5'!L56+'F5.1 (N)'!Q30</f>
        <v>0</v>
      </c>
      <c r="M54" s="524">
        <f t="shared" si="7"/>
        <v>0</v>
      </c>
      <c r="N54" s="524">
        <f t="shared" si="8"/>
        <v>0</v>
      </c>
      <c r="O54" s="557">
        <f>'F5'!O56+'F5.1 (N)'!T30</f>
        <v>0</v>
      </c>
      <c r="P54" s="557">
        <f>'F5'!P56+'F5.1 (N)'!U30</f>
        <v>0</v>
      </c>
      <c r="Q54" s="557">
        <f>'F5'!Q56+'F5.1 (N)'!V30</f>
        <v>0</v>
      </c>
      <c r="R54" s="524">
        <f t="shared" si="9"/>
        <v>0</v>
      </c>
      <c r="S54" s="524">
        <f t="shared" si="10"/>
        <v>0</v>
      </c>
      <c r="T54" s="557">
        <f>'F5'!T56+'F5.1 (N)'!Y30</f>
        <v>0</v>
      </c>
      <c r="U54" s="557">
        <f>'F5'!U56+'F5.1 (N)'!Z30</f>
        <v>0</v>
      </c>
      <c r="V54" s="557">
        <f>'F5'!V56+'F5.1 (N)'!AA30</f>
        <v>0</v>
      </c>
      <c r="W54" s="524">
        <f t="shared" si="11"/>
        <v>0</v>
      </c>
    </row>
    <row r="55" spans="1:23" x14ac:dyDescent="0.3">
      <c r="A55" s="4"/>
      <c r="B55" s="70">
        <f t="shared" si="12"/>
        <v>16</v>
      </c>
      <c r="C55" s="304" t="s">
        <v>763</v>
      </c>
      <c r="D55" s="524">
        <f t="shared" si="4"/>
        <v>0</v>
      </c>
      <c r="E55" s="557">
        <f>'F5'!E57+'F5.1 (N)'!J31</f>
        <v>0</v>
      </c>
      <c r="F55" s="557">
        <f>'F5'!F57+'F5.1 (N)'!K31</f>
        <v>0</v>
      </c>
      <c r="G55" s="557">
        <f>'F5'!G57+'F5.1 (N)'!L31</f>
        <v>0</v>
      </c>
      <c r="H55" s="524">
        <f t="shared" si="5"/>
        <v>0</v>
      </c>
      <c r="I55" s="524">
        <f t="shared" si="6"/>
        <v>0</v>
      </c>
      <c r="J55" s="557">
        <f>'F5'!J57+'F5.1 (N)'!O31</f>
        <v>0</v>
      </c>
      <c r="K55" s="557">
        <f>'F5'!K57+'F5.1 (N)'!P31</f>
        <v>0</v>
      </c>
      <c r="L55" s="557">
        <f>'F5'!L57+'F5.1 (N)'!Q31</f>
        <v>0</v>
      </c>
      <c r="M55" s="524">
        <f t="shared" si="7"/>
        <v>0</v>
      </c>
      <c r="N55" s="524">
        <f t="shared" si="8"/>
        <v>0</v>
      </c>
      <c r="O55" s="557">
        <f>'F5'!O57+'F5.1 (N)'!T31</f>
        <v>0</v>
      </c>
      <c r="P55" s="557">
        <f>'F5'!P57+'F5.1 (N)'!U31</f>
        <v>0</v>
      </c>
      <c r="Q55" s="557">
        <f>'F5'!Q57+'F5.1 (N)'!V31</f>
        <v>0</v>
      </c>
      <c r="R55" s="524">
        <f t="shared" si="9"/>
        <v>0</v>
      </c>
      <c r="S55" s="524">
        <f t="shared" si="10"/>
        <v>0</v>
      </c>
      <c r="T55" s="557">
        <f>'F5'!T57+'F5.1 (N)'!Y31</f>
        <v>0</v>
      </c>
      <c r="U55" s="557">
        <f>'F5'!U57+'F5.1 (N)'!Z31</f>
        <v>0</v>
      </c>
      <c r="V55" s="557">
        <f>'F5'!V57+'F5.1 (N)'!AA31</f>
        <v>0</v>
      </c>
      <c r="W55" s="524">
        <f t="shared" si="11"/>
        <v>0</v>
      </c>
    </row>
    <row r="56" spans="1:23" x14ac:dyDescent="0.3">
      <c r="A56" s="4"/>
      <c r="B56" s="70">
        <f t="shared" si="12"/>
        <v>17</v>
      </c>
      <c r="C56" s="304" t="s">
        <v>813</v>
      </c>
      <c r="D56" s="524">
        <f t="shared" si="4"/>
        <v>0</v>
      </c>
      <c r="E56" s="557">
        <f>'F5'!E58+'F5.1 (N)'!J32</f>
        <v>0</v>
      </c>
      <c r="F56" s="557">
        <f>'F5'!F58+'F5.1 (N)'!K32</f>
        <v>0</v>
      </c>
      <c r="G56" s="557">
        <f>'F5'!G58+'F5.1 (N)'!L32</f>
        <v>0</v>
      </c>
      <c r="H56" s="524">
        <f t="shared" si="5"/>
        <v>0</v>
      </c>
      <c r="I56" s="524">
        <f t="shared" si="6"/>
        <v>0</v>
      </c>
      <c r="J56" s="557">
        <f>'F5'!J58+'F5.1 (N)'!O32</f>
        <v>0</v>
      </c>
      <c r="K56" s="557">
        <f>'F5'!K58+'F5.1 (N)'!P32</f>
        <v>0</v>
      </c>
      <c r="L56" s="557">
        <f>'F5'!L58+'F5.1 (N)'!Q32</f>
        <v>0</v>
      </c>
      <c r="M56" s="524">
        <f t="shared" si="7"/>
        <v>0</v>
      </c>
      <c r="N56" s="524">
        <f t="shared" si="8"/>
        <v>0</v>
      </c>
      <c r="O56" s="557">
        <f>'F5'!O58+'F5.1 (N)'!T32</f>
        <v>0</v>
      </c>
      <c r="P56" s="557">
        <f>'F5'!P58+'F5.1 (N)'!U32</f>
        <v>0</v>
      </c>
      <c r="Q56" s="557">
        <f>'F5'!Q58+'F5.1 (N)'!V32</f>
        <v>0</v>
      </c>
      <c r="R56" s="524">
        <f t="shared" si="9"/>
        <v>0</v>
      </c>
      <c r="S56" s="524">
        <f t="shared" si="10"/>
        <v>0</v>
      </c>
      <c r="T56" s="557">
        <f>'F5'!T58+'F5.1 (N)'!Y32</f>
        <v>0</v>
      </c>
      <c r="U56" s="557">
        <f>'F5'!U58+'F5.1 (N)'!Z32</f>
        <v>0</v>
      </c>
      <c r="V56" s="557">
        <f>'F5'!V58+'F5.1 (N)'!AA32</f>
        <v>0</v>
      </c>
      <c r="W56" s="524">
        <f t="shared" si="11"/>
        <v>0</v>
      </c>
    </row>
    <row r="57" spans="1:23" ht="16" x14ac:dyDescent="0.3">
      <c r="B57" s="61"/>
      <c r="C57" s="71" t="s">
        <v>267</v>
      </c>
      <c r="D57" s="561">
        <f>SUM(D40:D56)</f>
        <v>6074.0781379251675</v>
      </c>
      <c r="E57" s="561">
        <f>SUM(E40:E56)</f>
        <v>731.16501526337015</v>
      </c>
      <c r="F57" s="561">
        <f>SUM(F40:F56)</f>
        <v>0</v>
      </c>
      <c r="G57" s="561">
        <f>SUM(G40:G56)</f>
        <v>0</v>
      </c>
      <c r="H57" s="561">
        <f>SUM(H40:H56)</f>
        <v>6805.2431531885377</v>
      </c>
      <c r="I57" s="561">
        <f t="shared" ref="I57:W57" si="13">SUM(I40:I56)</f>
        <v>6805.2431531885377</v>
      </c>
      <c r="J57" s="561">
        <f t="shared" si="13"/>
        <v>137.01</v>
      </c>
      <c r="K57" s="561">
        <f t="shared" si="13"/>
        <v>0</v>
      </c>
      <c r="L57" s="561">
        <f t="shared" si="13"/>
        <v>0</v>
      </c>
      <c r="M57" s="561">
        <f t="shared" si="13"/>
        <v>6942.2531531885379</v>
      </c>
      <c r="N57" s="561">
        <f t="shared" si="13"/>
        <v>6942.2531531885379</v>
      </c>
      <c r="O57" s="561">
        <f t="shared" si="13"/>
        <v>18.75</v>
      </c>
      <c r="P57" s="561">
        <f t="shared" si="13"/>
        <v>0</v>
      </c>
      <c r="Q57" s="561">
        <f t="shared" si="13"/>
        <v>0</v>
      </c>
      <c r="R57" s="561">
        <f t="shared" si="13"/>
        <v>6961.0031531885379</v>
      </c>
      <c r="S57" s="561">
        <f t="shared" si="13"/>
        <v>6961.0031531885379</v>
      </c>
      <c r="T57" s="561">
        <f t="shared" si="13"/>
        <v>25</v>
      </c>
      <c r="U57" s="561">
        <f t="shared" si="13"/>
        <v>0</v>
      </c>
      <c r="V57" s="561">
        <f t="shared" si="13"/>
        <v>0</v>
      </c>
      <c r="W57" s="561">
        <f t="shared" si="13"/>
        <v>6986.0031531885379</v>
      </c>
    </row>
    <row r="58" spans="1:23" ht="16" x14ac:dyDescent="0.3">
      <c r="B58" s="34"/>
      <c r="C58" s="34"/>
      <c r="D58" s="1052">
        <f>'F5'!D59+'F5.1 (N)'!I33-D57</f>
        <v>0</v>
      </c>
      <c r="E58" s="1052">
        <f>'F5'!E59+'F5.1 (N)'!J33-E57</f>
        <v>0</v>
      </c>
      <c r="F58" s="1052">
        <f>'F5'!F59+'F5.1 (N)'!K33-F57</f>
        <v>0</v>
      </c>
      <c r="G58" s="1052">
        <f>'F5'!G59+'F5.1 (N)'!L33-G57</f>
        <v>0</v>
      </c>
      <c r="H58" s="1052">
        <f>'F5'!H59+'F5.1 (N)'!M33-H57</f>
        <v>0</v>
      </c>
      <c r="I58" s="1052">
        <f>'F5'!I59+'F5.1 (N)'!N33-I57</f>
        <v>0</v>
      </c>
      <c r="J58" s="1052">
        <f>'F5'!J59+'F5.1 (N)'!O33-J57</f>
        <v>0</v>
      </c>
      <c r="K58" s="1052">
        <f>'F5'!K59+'F5.1 (N)'!P33-K57</f>
        <v>0</v>
      </c>
      <c r="L58" s="1052">
        <f>'F5'!L59+'F5.1 (N)'!Q33-L57</f>
        <v>0</v>
      </c>
      <c r="M58" s="1052">
        <f>'F5'!M59+'F5.1 (N)'!R33-M57</f>
        <v>0</v>
      </c>
      <c r="N58" s="1052">
        <f>'F5'!N59+'F5.1 (N)'!S33-N57</f>
        <v>0</v>
      </c>
      <c r="O58" s="1052">
        <f>'F5'!O59+'F5.1 (N)'!T33-O57</f>
        <v>0</v>
      </c>
      <c r="P58" s="1052">
        <f>'F5'!P59+'F5.1 (N)'!U33-P57</f>
        <v>0</v>
      </c>
      <c r="Q58" s="1052">
        <f>'F5'!Q59+'F5.1 (N)'!V33-Q57</f>
        <v>0</v>
      </c>
      <c r="R58" s="1052">
        <f>'F5'!R59+'F5.1 (N)'!W33-R57</f>
        <v>0</v>
      </c>
      <c r="S58" s="1052">
        <f>'F5'!S59+'F5.1 (N)'!X33-S57</f>
        <v>0</v>
      </c>
      <c r="T58" s="1052">
        <f>'F5'!T59+'F5.1 (N)'!Y33-T57</f>
        <v>0</v>
      </c>
      <c r="U58" s="1052">
        <f>'F5'!U59+'F5.1 (N)'!Z33-U57</f>
        <v>0</v>
      </c>
      <c r="V58" s="1052">
        <f>'F5'!V59+'F5.1 (N)'!AA33-V57</f>
        <v>0</v>
      </c>
      <c r="W58" s="1052">
        <f>'F5'!W59+'F5.1 (N)'!AB33-W57</f>
        <v>0</v>
      </c>
    </row>
    <row r="59" spans="1:23" ht="16" x14ac:dyDescent="0.3">
      <c r="B59" s="34"/>
      <c r="C59" s="34"/>
      <c r="D59" s="34"/>
      <c r="E59" s="34"/>
      <c r="F59" s="34"/>
      <c r="G59" s="34"/>
      <c r="H59" s="34"/>
      <c r="I59" s="34"/>
      <c r="J59" s="34"/>
      <c r="K59" s="34"/>
      <c r="L59" s="34"/>
      <c r="M59" s="34"/>
      <c r="N59" s="34"/>
      <c r="O59" s="34"/>
    </row>
    <row r="61" spans="1:23" x14ac:dyDescent="0.3">
      <c r="B61" s="42" t="s">
        <v>268</v>
      </c>
    </row>
    <row r="62" spans="1:23" x14ac:dyDescent="0.3">
      <c r="B62" s="42"/>
    </row>
    <row r="63" spans="1:23" ht="15" customHeight="1" x14ac:dyDescent="0.3">
      <c r="D63" s="6"/>
      <c r="E63" s="6"/>
      <c r="F63" s="6"/>
      <c r="G63" s="6"/>
      <c r="H63" s="6"/>
      <c r="J63" s="4"/>
      <c r="M63" s="50" t="s">
        <v>10</v>
      </c>
      <c r="N63" s="4"/>
    </row>
    <row r="64" spans="1:23" ht="15" customHeight="1" x14ac:dyDescent="0.3">
      <c r="B64" s="1481" t="s">
        <v>327</v>
      </c>
      <c r="C64" s="1481" t="s">
        <v>35</v>
      </c>
      <c r="D64" s="1579" t="s">
        <v>477</v>
      </c>
      <c r="E64" s="1580"/>
      <c r="F64" s="1580"/>
      <c r="G64" s="1580"/>
      <c r="H64" s="1581"/>
      <c r="I64" s="1570" t="s">
        <v>849</v>
      </c>
      <c r="J64" s="1570"/>
      <c r="K64" s="1570"/>
      <c r="L64" s="1570"/>
      <c r="M64" s="1570"/>
    </row>
    <row r="65" spans="1:15" x14ac:dyDescent="0.3">
      <c r="B65" s="1481"/>
      <c r="C65" s="1481"/>
      <c r="D65" s="1571" t="s">
        <v>7</v>
      </c>
      <c r="E65" s="1572"/>
      <c r="F65" s="1572"/>
      <c r="G65" s="1572"/>
      <c r="H65" s="1572"/>
      <c r="I65" s="1573" t="s">
        <v>20</v>
      </c>
      <c r="J65" s="1574"/>
      <c r="K65" s="1574"/>
      <c r="L65" s="1574"/>
      <c r="M65" s="1574"/>
    </row>
    <row r="66" spans="1:15" ht="56" x14ac:dyDescent="0.3">
      <c r="A66" s="1" t="s">
        <v>732</v>
      </c>
      <c r="B66" s="1481"/>
      <c r="C66" s="1481"/>
      <c r="D66" s="250" t="s">
        <v>269</v>
      </c>
      <c r="E66" s="250" t="s">
        <v>264</v>
      </c>
      <c r="F66" s="181" t="s">
        <v>270</v>
      </c>
      <c r="G66" s="64" t="s">
        <v>548</v>
      </c>
      <c r="H66" s="250" t="s">
        <v>271</v>
      </c>
      <c r="I66" s="250" t="s">
        <v>269</v>
      </c>
      <c r="J66" s="250" t="s">
        <v>264</v>
      </c>
      <c r="K66" s="181" t="s">
        <v>270</v>
      </c>
      <c r="L66" s="64" t="s">
        <v>548</v>
      </c>
      <c r="M66" s="250" t="s">
        <v>271</v>
      </c>
    </row>
    <row r="67" spans="1:15" x14ac:dyDescent="0.3">
      <c r="B67" s="179"/>
      <c r="C67" s="179"/>
      <c r="D67" s="179" t="s">
        <v>78</v>
      </c>
      <c r="E67" s="179" t="s">
        <v>79</v>
      </c>
      <c r="F67" s="179" t="s">
        <v>435</v>
      </c>
      <c r="G67" s="179" t="s">
        <v>378</v>
      </c>
      <c r="H67" s="179" t="s">
        <v>549</v>
      </c>
      <c r="I67" s="179" t="s">
        <v>553</v>
      </c>
      <c r="J67" s="179" t="s">
        <v>554</v>
      </c>
      <c r="K67" s="179" t="s">
        <v>948</v>
      </c>
      <c r="L67" s="179" t="s">
        <v>949</v>
      </c>
      <c r="M67" s="179" t="s">
        <v>950</v>
      </c>
    </row>
    <row r="68" spans="1:15" x14ac:dyDescent="0.3">
      <c r="A68" s="451"/>
      <c r="B68" s="70">
        <v>1</v>
      </c>
      <c r="C68" s="304" t="s">
        <v>755</v>
      </c>
      <c r="D68" s="452">
        <f>'F5'!D70</f>
        <v>0</v>
      </c>
      <c r="E68" s="452">
        <f>'F5'!E70</f>
        <v>0</v>
      </c>
      <c r="F68" s="452">
        <f>'F5'!F70</f>
        <v>0</v>
      </c>
      <c r="G68" s="452">
        <f>'F5'!G70</f>
        <v>0</v>
      </c>
      <c r="H68" s="452">
        <f t="shared" ref="H68:H84" si="14">D68+E68-F68-G68</f>
        <v>0</v>
      </c>
      <c r="I68" s="560">
        <f>'F5'!I70+'F5.1 (N)'!D44</f>
        <v>0</v>
      </c>
      <c r="J68" s="560">
        <f>'F5'!J70+'F5.1 (N)'!E44</f>
        <v>0</v>
      </c>
      <c r="K68" s="560">
        <f>'F5'!K70+'F5.1 (N)'!F44</f>
        <v>0</v>
      </c>
      <c r="L68" s="560">
        <f>'F5'!L70+'F5.1 (N)'!G44</f>
        <v>0</v>
      </c>
      <c r="M68" s="560">
        <f t="shared" ref="M68:M84" si="15">I68+J68-K68-L68</f>
        <v>0</v>
      </c>
      <c r="O68" s="1391"/>
    </row>
    <row r="69" spans="1:15" x14ac:dyDescent="0.3">
      <c r="A69" s="451"/>
      <c r="B69" s="70">
        <f>B68+1</f>
        <v>2</v>
      </c>
      <c r="C69" s="304" t="s">
        <v>756</v>
      </c>
      <c r="D69" s="452">
        <f>'F5'!D71</f>
        <v>0</v>
      </c>
      <c r="E69" s="452">
        <f>'F5'!E71</f>
        <v>0.65562446695271792</v>
      </c>
      <c r="F69" s="452">
        <f>'F5'!F71</f>
        <v>0</v>
      </c>
      <c r="G69" s="452">
        <f>'F5'!G71</f>
        <v>0</v>
      </c>
      <c r="H69" s="1233">
        <f>D69+E69-F69-G69</f>
        <v>0.65562446695271792</v>
      </c>
      <c r="I69" s="560">
        <f>'F5'!I71+'F5.1 (N)'!D45</f>
        <v>0.65562446695271792</v>
      </c>
      <c r="J69" s="560">
        <f>'F5'!J71+'F5.1 (N)'!E45</f>
        <v>6.2974455378353174</v>
      </c>
      <c r="K69" s="560">
        <f>'F5'!K71+'F5.1 (N)'!F45</f>
        <v>0</v>
      </c>
      <c r="L69" s="560">
        <f>'F5'!L71+'F5.1 (N)'!G45</f>
        <v>0</v>
      </c>
      <c r="M69" s="560">
        <f t="shared" si="15"/>
        <v>6.9530700047880352</v>
      </c>
      <c r="O69" s="1391"/>
    </row>
    <row r="70" spans="1:15" x14ac:dyDescent="0.3">
      <c r="A70" s="451"/>
      <c r="B70" s="70">
        <f t="shared" ref="B70:B84" si="16">B69+1</f>
        <v>3</v>
      </c>
      <c r="C70" s="304" t="s">
        <v>757</v>
      </c>
      <c r="D70" s="452">
        <f>'F5'!D72</f>
        <v>0</v>
      </c>
      <c r="E70" s="452">
        <f>'F5'!E72</f>
        <v>0</v>
      </c>
      <c r="F70" s="452">
        <f>'F5'!F72</f>
        <v>0</v>
      </c>
      <c r="G70" s="452">
        <f>'F5'!G72</f>
        <v>0</v>
      </c>
      <c r="H70" s="452">
        <f t="shared" si="14"/>
        <v>0</v>
      </c>
      <c r="I70" s="560">
        <f>'F5'!I72+'F5.1 (N)'!D46</f>
        <v>0</v>
      </c>
      <c r="J70" s="560">
        <f>'F5'!J72+'F5.1 (N)'!E46</f>
        <v>0</v>
      </c>
      <c r="K70" s="560">
        <f>'F5'!K72+'F5.1 (N)'!F46</f>
        <v>0</v>
      </c>
      <c r="L70" s="560">
        <f>'F5'!L72+'F5.1 (N)'!G46</f>
        <v>0</v>
      </c>
      <c r="M70" s="560">
        <f t="shared" si="15"/>
        <v>0</v>
      </c>
      <c r="O70" s="1391"/>
    </row>
    <row r="71" spans="1:15" x14ac:dyDescent="0.3">
      <c r="A71" s="451"/>
      <c r="B71" s="70">
        <f t="shared" si="16"/>
        <v>4</v>
      </c>
      <c r="C71" s="304" t="s">
        <v>758</v>
      </c>
      <c r="D71" s="452">
        <f>'F5'!D73</f>
        <v>0</v>
      </c>
      <c r="E71" s="452">
        <f>'F5'!E73</f>
        <v>0</v>
      </c>
      <c r="F71" s="452">
        <f>'F5'!F73</f>
        <v>0</v>
      </c>
      <c r="G71" s="452">
        <f>'F5'!G73</f>
        <v>0</v>
      </c>
      <c r="H71" s="452">
        <f t="shared" si="14"/>
        <v>0</v>
      </c>
      <c r="I71" s="560">
        <f>'F5'!I73+'F5.1 (N)'!D47</f>
        <v>0</v>
      </c>
      <c r="J71" s="560">
        <f>'F5'!J73+'F5.1 (N)'!E47</f>
        <v>0</v>
      </c>
      <c r="K71" s="560">
        <f>'F5'!K73+'F5.1 (N)'!F47</f>
        <v>0</v>
      </c>
      <c r="L71" s="560">
        <f>'F5'!L73+'F5.1 (N)'!G47</f>
        <v>0</v>
      </c>
      <c r="M71" s="560">
        <f t="shared" si="15"/>
        <v>0</v>
      </c>
      <c r="O71" s="1391"/>
    </row>
    <row r="72" spans="1:15" x14ac:dyDescent="0.3">
      <c r="A72" s="451"/>
      <c r="B72" s="70">
        <f t="shared" si="16"/>
        <v>5</v>
      </c>
      <c r="C72" s="304" t="s">
        <v>759</v>
      </c>
      <c r="D72" s="452">
        <f>'F5'!D74</f>
        <v>0</v>
      </c>
      <c r="E72" s="452">
        <f>'F5'!E74</f>
        <v>0.60462554087056986</v>
      </c>
      <c r="F72" s="452">
        <f>'F5'!F74</f>
        <v>0</v>
      </c>
      <c r="G72" s="452">
        <f>'F5'!G74</f>
        <v>0</v>
      </c>
      <c r="H72" s="452">
        <f t="shared" si="14"/>
        <v>0.60462554087056986</v>
      </c>
      <c r="I72" s="560">
        <f>'F5'!I74+'F5.1 (N)'!D48</f>
        <v>0.60462554087056986</v>
      </c>
      <c r="J72" s="560">
        <f>'F5'!J74+'F5.1 (N)'!E48</f>
        <v>5.8075874320462635</v>
      </c>
      <c r="K72" s="560">
        <f>'F5'!K74+'F5.1 (N)'!F48</f>
        <v>0</v>
      </c>
      <c r="L72" s="560">
        <f>'F5'!L74+'F5.1 (N)'!G48</f>
        <v>0</v>
      </c>
      <c r="M72" s="560">
        <f t="shared" si="15"/>
        <v>6.4122129729168336</v>
      </c>
      <c r="O72" s="1391"/>
    </row>
    <row r="73" spans="1:15" x14ac:dyDescent="0.3">
      <c r="A73" s="451"/>
      <c r="B73" s="70">
        <f t="shared" si="16"/>
        <v>6</v>
      </c>
      <c r="C73" s="304" t="s">
        <v>251</v>
      </c>
      <c r="D73" s="452">
        <f>'F5'!D75</f>
        <v>0</v>
      </c>
      <c r="E73" s="452">
        <f>'F5'!E75</f>
        <v>29.821123530670697</v>
      </c>
      <c r="F73" s="452">
        <f>'F5'!F75</f>
        <v>0</v>
      </c>
      <c r="G73" s="452">
        <f>'F5'!G75</f>
        <v>0</v>
      </c>
      <c r="H73" s="452">
        <f t="shared" si="14"/>
        <v>29.821123530670697</v>
      </c>
      <c r="I73" s="560">
        <f>'F5'!I75+'F5.1 (N)'!D49</f>
        <v>29.821123530670697</v>
      </c>
      <c r="J73" s="560">
        <f>'F5'!J75+'F5.1 (N)'!E49</f>
        <v>291.46190423221833</v>
      </c>
      <c r="K73" s="560">
        <f>'F5'!K75+'F5.1 (N)'!F49</f>
        <v>0</v>
      </c>
      <c r="L73" s="560">
        <f>'F5'!L75+'F5.1 (N)'!G49</f>
        <v>0</v>
      </c>
      <c r="M73" s="560">
        <f t="shared" si="15"/>
        <v>321.28302776288905</v>
      </c>
      <c r="O73" s="1391"/>
    </row>
    <row r="74" spans="1:15" x14ac:dyDescent="0.3">
      <c r="A74" s="451"/>
      <c r="B74" s="70">
        <f t="shared" si="16"/>
        <v>7</v>
      </c>
      <c r="C74" s="304" t="s">
        <v>760</v>
      </c>
      <c r="D74" s="452">
        <f>'F5'!D76</f>
        <v>0</v>
      </c>
      <c r="E74" s="452">
        <f>'F5'!E76</f>
        <v>0.11424895888407499</v>
      </c>
      <c r="F74" s="452">
        <f>'F5'!F76</f>
        <v>0</v>
      </c>
      <c r="G74" s="452">
        <f>'F5'!G76</f>
        <v>0</v>
      </c>
      <c r="H74" s="452">
        <f t="shared" si="14"/>
        <v>0.11424895888407499</v>
      </c>
      <c r="I74" s="560">
        <f>'F5'!I76+'F5.1 (N)'!D50</f>
        <v>0.11424895888407499</v>
      </c>
      <c r="J74" s="560">
        <f>'F5'!J76+'F5.1 (N)'!E50</f>
        <v>1.0973913155970361</v>
      </c>
      <c r="K74" s="560">
        <f>'F5'!K76+'F5.1 (N)'!F50</f>
        <v>0</v>
      </c>
      <c r="L74" s="560">
        <f>'F5'!L76+'F5.1 (N)'!G50</f>
        <v>0</v>
      </c>
      <c r="M74" s="560">
        <f t="shared" si="15"/>
        <v>1.211640274481111</v>
      </c>
      <c r="O74" s="1391"/>
    </row>
    <row r="75" spans="1:15" x14ac:dyDescent="0.3">
      <c r="A75" s="451"/>
      <c r="B75" s="70">
        <f t="shared" si="16"/>
        <v>8</v>
      </c>
      <c r="C75" s="304" t="s">
        <v>761</v>
      </c>
      <c r="D75" s="452">
        <f>'F5'!D77</f>
        <v>0</v>
      </c>
      <c r="E75" s="452">
        <f>'F5'!E77</f>
        <v>0</v>
      </c>
      <c r="F75" s="452">
        <f>'F5'!F77</f>
        <v>0</v>
      </c>
      <c r="G75" s="452">
        <f>'F5'!G77</f>
        <v>0</v>
      </c>
      <c r="H75" s="452">
        <f t="shared" si="14"/>
        <v>0</v>
      </c>
      <c r="I75" s="560">
        <f>'F5'!I77+'F5.1 (N)'!D51</f>
        <v>0</v>
      </c>
      <c r="J75" s="560">
        <f>'F5'!J77+'F5.1 (N)'!E51</f>
        <v>0</v>
      </c>
      <c r="K75" s="560">
        <f>'F5'!K77+'F5.1 (N)'!F51</f>
        <v>0</v>
      </c>
      <c r="L75" s="560">
        <f>'F5'!L77+'F5.1 (N)'!G51</f>
        <v>0</v>
      </c>
      <c r="M75" s="560">
        <f t="shared" si="15"/>
        <v>0</v>
      </c>
      <c r="O75" s="1391"/>
    </row>
    <row r="76" spans="1:15" x14ac:dyDescent="0.3">
      <c r="A76" s="451"/>
      <c r="B76" s="70">
        <f t="shared" si="16"/>
        <v>9</v>
      </c>
      <c r="C76" s="304" t="s">
        <v>762</v>
      </c>
      <c r="D76" s="452">
        <f>'F5'!D78</f>
        <v>0</v>
      </c>
      <c r="E76" s="452">
        <f>'F5'!E78</f>
        <v>0</v>
      </c>
      <c r="F76" s="452">
        <f>'F5'!F78</f>
        <v>0</v>
      </c>
      <c r="G76" s="452">
        <f>'F5'!G78</f>
        <v>0</v>
      </c>
      <c r="H76" s="452">
        <f t="shared" si="14"/>
        <v>0</v>
      </c>
      <c r="I76" s="560">
        <f>'F5'!I78+'F5.1 (N)'!D52</f>
        <v>0</v>
      </c>
      <c r="J76" s="560">
        <f>'F5'!J78+'F5.1 (N)'!E52</f>
        <v>0</v>
      </c>
      <c r="K76" s="560">
        <f>'F5'!K78+'F5.1 (N)'!F52</f>
        <v>0</v>
      </c>
      <c r="L76" s="560">
        <f>'F5'!L78+'F5.1 (N)'!G52</f>
        <v>0</v>
      </c>
      <c r="M76" s="560">
        <f t="shared" si="15"/>
        <v>0</v>
      </c>
      <c r="O76" s="1391"/>
    </row>
    <row r="77" spans="1:15" x14ac:dyDescent="0.3">
      <c r="A77" s="451"/>
      <c r="B77" s="70">
        <f t="shared" si="16"/>
        <v>10</v>
      </c>
      <c r="C77" s="304" t="s">
        <v>254</v>
      </c>
      <c r="D77" s="452">
        <f>'F5'!D79</f>
        <v>0</v>
      </c>
      <c r="E77" s="452">
        <f>'F5'!E79</f>
        <v>0</v>
      </c>
      <c r="F77" s="452">
        <f>'F5'!F79</f>
        <v>0</v>
      </c>
      <c r="G77" s="452">
        <f>'F5'!G79</f>
        <v>0</v>
      </c>
      <c r="H77" s="452">
        <f t="shared" si="14"/>
        <v>0</v>
      </c>
      <c r="I77" s="560">
        <f>'F5'!I79+'F5.1 (N)'!D53</f>
        <v>0</v>
      </c>
      <c r="J77" s="560">
        <f>'F5'!J79+'F5.1 (N)'!E53</f>
        <v>0</v>
      </c>
      <c r="K77" s="560">
        <f>'F5'!K79+'F5.1 (N)'!F53</f>
        <v>0</v>
      </c>
      <c r="L77" s="560">
        <f>'F5'!L79+'F5.1 (N)'!G53</f>
        <v>0</v>
      </c>
      <c r="M77" s="560">
        <f t="shared" si="15"/>
        <v>0</v>
      </c>
      <c r="O77" s="1391"/>
    </row>
    <row r="78" spans="1:15" x14ac:dyDescent="0.3">
      <c r="A78" s="451"/>
      <c r="B78" s="70">
        <f t="shared" si="16"/>
        <v>11</v>
      </c>
      <c r="C78" s="304" t="s">
        <v>255</v>
      </c>
      <c r="D78" s="452">
        <f>'F5'!D80</f>
        <v>0</v>
      </c>
      <c r="E78" s="452">
        <f>'F5'!E80</f>
        <v>0</v>
      </c>
      <c r="F78" s="452">
        <f>'F5'!F80</f>
        <v>0</v>
      </c>
      <c r="G78" s="452">
        <f>'F5'!G80</f>
        <v>0</v>
      </c>
      <c r="H78" s="452">
        <f t="shared" si="14"/>
        <v>0</v>
      </c>
      <c r="I78" s="560">
        <f>'F5'!I80+'F5.1 (N)'!D54</f>
        <v>0</v>
      </c>
      <c r="J78" s="560">
        <f>'F5'!J80+'F5.1 (N)'!E54</f>
        <v>0</v>
      </c>
      <c r="K78" s="560">
        <f>'F5'!K80+'F5.1 (N)'!F54</f>
        <v>0</v>
      </c>
      <c r="L78" s="560">
        <f>'F5'!L80+'F5.1 (N)'!G54</f>
        <v>0</v>
      </c>
      <c r="M78" s="560">
        <f t="shared" si="15"/>
        <v>0</v>
      </c>
      <c r="O78" s="1391"/>
    </row>
    <row r="79" spans="1:15" x14ac:dyDescent="0.3">
      <c r="A79" s="451"/>
      <c r="B79" s="70">
        <f t="shared" si="16"/>
        <v>12</v>
      </c>
      <c r="C79" s="304" t="s">
        <v>256</v>
      </c>
      <c r="D79" s="452">
        <f>'F5'!D81</f>
        <v>0</v>
      </c>
      <c r="E79" s="452">
        <f>'F5'!E81</f>
        <v>0</v>
      </c>
      <c r="F79" s="452">
        <f>'F5'!F81</f>
        <v>0</v>
      </c>
      <c r="G79" s="452">
        <f>'F5'!G81</f>
        <v>0</v>
      </c>
      <c r="H79" s="452">
        <f t="shared" si="14"/>
        <v>0</v>
      </c>
      <c r="I79" s="560">
        <f>'F5'!I81+'F5.1 (N)'!D55</f>
        <v>0</v>
      </c>
      <c r="J79" s="560">
        <f>'F5'!J81+'F5.1 (N)'!E55</f>
        <v>0</v>
      </c>
      <c r="K79" s="560">
        <f>'F5'!K81+'F5.1 (N)'!F55</f>
        <v>0</v>
      </c>
      <c r="L79" s="560">
        <f>'F5'!L81+'F5.1 (N)'!G55</f>
        <v>0</v>
      </c>
      <c r="M79" s="560">
        <f t="shared" si="15"/>
        <v>0</v>
      </c>
      <c r="O79" s="1391"/>
    </row>
    <row r="80" spans="1:15" x14ac:dyDescent="0.3">
      <c r="A80" s="451"/>
      <c r="B80" s="70">
        <f t="shared" si="16"/>
        <v>13</v>
      </c>
      <c r="C80" s="304" t="s">
        <v>810</v>
      </c>
      <c r="D80" s="452">
        <f>'F5'!D82</f>
        <v>0</v>
      </c>
      <c r="E80" s="452">
        <f>'F5'!E82</f>
        <v>0</v>
      </c>
      <c r="F80" s="452">
        <f>'F5'!F82</f>
        <v>0</v>
      </c>
      <c r="G80" s="452">
        <f>'F5'!G82</f>
        <v>0</v>
      </c>
      <c r="H80" s="452">
        <f t="shared" si="14"/>
        <v>0</v>
      </c>
      <c r="I80" s="560">
        <f>'F5'!I82+'F5.1 (N)'!D56</f>
        <v>0</v>
      </c>
      <c r="J80" s="560">
        <f>'F5'!J82+'F5.1 (N)'!E56</f>
        <v>0</v>
      </c>
      <c r="K80" s="560">
        <f>'F5'!K82+'F5.1 (N)'!F56</f>
        <v>0</v>
      </c>
      <c r="L80" s="560">
        <f>'F5'!L82+'F5.1 (N)'!G56</f>
        <v>0</v>
      </c>
      <c r="M80" s="560">
        <f t="shared" si="15"/>
        <v>0</v>
      </c>
      <c r="O80" s="1391"/>
    </row>
    <row r="81" spans="1:33" x14ac:dyDescent="0.3">
      <c r="A81" s="451"/>
      <c r="B81" s="70">
        <f t="shared" si="16"/>
        <v>14</v>
      </c>
      <c r="C81" s="304" t="s">
        <v>811</v>
      </c>
      <c r="D81" s="452">
        <f>'F5'!D83</f>
        <v>0</v>
      </c>
      <c r="E81" s="452">
        <f>'F5'!E83</f>
        <v>0.1688417467600877</v>
      </c>
      <c r="F81" s="452">
        <f>'F5'!F83</f>
        <v>0</v>
      </c>
      <c r="G81" s="452">
        <f>'F5'!G83</f>
        <v>0</v>
      </c>
      <c r="H81" s="452">
        <f t="shared" si="14"/>
        <v>0.1688417467600877</v>
      </c>
      <c r="I81" s="560">
        <f>'F5'!I83+'F5.1 (N)'!D57</f>
        <v>0.1688417467600877</v>
      </c>
      <c r="J81" s="560">
        <f>'F5'!J83+'F5.1 (N)'!E57</f>
        <v>1.6217694096692634</v>
      </c>
      <c r="K81" s="560">
        <f>'F5'!K83+'F5.1 (N)'!F57</f>
        <v>0</v>
      </c>
      <c r="L81" s="560">
        <f>'F5'!L83+'F5.1 (N)'!G57</f>
        <v>0</v>
      </c>
      <c r="M81" s="560">
        <f t="shared" si="15"/>
        <v>1.7906111564293512</v>
      </c>
      <c r="O81" s="1391"/>
    </row>
    <row r="82" spans="1:33" x14ac:dyDescent="0.3">
      <c r="A82" s="451"/>
      <c r="B82" s="70">
        <f t="shared" si="16"/>
        <v>15</v>
      </c>
      <c r="C82" s="304" t="s">
        <v>812</v>
      </c>
      <c r="D82" s="452">
        <f>'F5'!D84</f>
        <v>0</v>
      </c>
      <c r="E82" s="452">
        <f>'F5'!E84</f>
        <v>0</v>
      </c>
      <c r="F82" s="452">
        <f>'F5'!F84</f>
        <v>0</v>
      </c>
      <c r="G82" s="452">
        <f>'F5'!G84</f>
        <v>0</v>
      </c>
      <c r="H82" s="452">
        <f t="shared" si="14"/>
        <v>0</v>
      </c>
      <c r="I82" s="560">
        <f>'F5'!I84+'F5.1 (N)'!D58</f>
        <v>0</v>
      </c>
      <c r="J82" s="560">
        <f>'F5'!J84+'F5.1 (N)'!E58</f>
        <v>0</v>
      </c>
      <c r="K82" s="560">
        <f>'F5'!K84+'F5.1 (N)'!F58</f>
        <v>0</v>
      </c>
      <c r="L82" s="560">
        <f>'F5'!L84+'F5.1 (N)'!G58</f>
        <v>0</v>
      </c>
      <c r="M82" s="560">
        <f t="shared" si="15"/>
        <v>0</v>
      </c>
      <c r="O82" s="1391"/>
    </row>
    <row r="83" spans="1:33" x14ac:dyDescent="0.3">
      <c r="A83" s="451"/>
      <c r="B83" s="70">
        <f t="shared" si="16"/>
        <v>16</v>
      </c>
      <c r="C83" s="304" t="s">
        <v>763</v>
      </c>
      <c r="D83" s="452">
        <f>'F5'!D85</f>
        <v>0</v>
      </c>
      <c r="E83" s="452">
        <f>'F5'!E85</f>
        <v>0</v>
      </c>
      <c r="F83" s="452">
        <f>'F5'!F85</f>
        <v>0</v>
      </c>
      <c r="G83" s="452">
        <f>'F5'!G85</f>
        <v>0</v>
      </c>
      <c r="H83" s="452">
        <f t="shared" si="14"/>
        <v>0</v>
      </c>
      <c r="I83" s="560">
        <f>'F5'!I85+'F5.1 (N)'!D59</f>
        <v>0</v>
      </c>
      <c r="J83" s="560">
        <f>'F5'!J85+'F5.1 (N)'!E59</f>
        <v>0</v>
      </c>
      <c r="K83" s="560">
        <f>'F5'!K85+'F5.1 (N)'!F59</f>
        <v>0</v>
      </c>
      <c r="L83" s="560">
        <f>'F5'!L85+'F5.1 (N)'!G59</f>
        <v>0</v>
      </c>
      <c r="M83" s="560">
        <f t="shared" si="15"/>
        <v>0</v>
      </c>
      <c r="O83" s="1391"/>
    </row>
    <row r="84" spans="1:33" x14ac:dyDescent="0.3">
      <c r="A84" s="451"/>
      <c r="B84" s="70">
        <f t="shared" si="16"/>
        <v>17</v>
      </c>
      <c r="C84" s="304" t="s">
        <v>813</v>
      </c>
      <c r="D84" s="452">
        <f>'F5'!D86</f>
        <v>0</v>
      </c>
      <c r="E84" s="452">
        <f>'F5'!E86</f>
        <v>0</v>
      </c>
      <c r="F84" s="452">
        <f>'F5'!F86</f>
        <v>0</v>
      </c>
      <c r="G84" s="452">
        <f>'F5'!G86</f>
        <v>0</v>
      </c>
      <c r="H84" s="452">
        <f t="shared" si="14"/>
        <v>0</v>
      </c>
      <c r="I84" s="560">
        <f>'F5'!I86+'F5.1 (N)'!D60</f>
        <v>0</v>
      </c>
      <c r="J84" s="560">
        <f>'F5'!J86+'F5.1 (N)'!E60</f>
        <v>0</v>
      </c>
      <c r="K84" s="560">
        <f>'F5'!K86+'F5.1 (N)'!F60</f>
        <v>0</v>
      </c>
      <c r="L84" s="560">
        <f>'F5'!L86+'F5.1 (N)'!G60</f>
        <v>0</v>
      </c>
      <c r="M84" s="560">
        <f t="shared" si="15"/>
        <v>0</v>
      </c>
      <c r="O84" s="1391"/>
    </row>
    <row r="85" spans="1:33" ht="16" x14ac:dyDescent="0.3">
      <c r="A85" s="610"/>
      <c r="B85" s="61"/>
      <c r="C85" s="71" t="s">
        <v>267</v>
      </c>
      <c r="D85" s="561">
        <f t="shared" ref="D85:M85" si="17">SUM(D68:D84)</f>
        <v>0</v>
      </c>
      <c r="E85" s="561">
        <f t="shared" si="17"/>
        <v>31.364464244138148</v>
      </c>
      <c r="F85" s="561">
        <f t="shared" si="17"/>
        <v>0</v>
      </c>
      <c r="G85" s="561">
        <f t="shared" si="17"/>
        <v>0</v>
      </c>
      <c r="H85" s="561">
        <f t="shared" si="17"/>
        <v>31.364464244138148</v>
      </c>
      <c r="I85" s="1051">
        <f t="shared" si="17"/>
        <v>31.364464244138148</v>
      </c>
      <c r="J85" s="561">
        <f t="shared" si="17"/>
        <v>306.28609792736614</v>
      </c>
      <c r="K85" s="561">
        <f t="shared" si="17"/>
        <v>0</v>
      </c>
      <c r="L85" s="561">
        <f t="shared" si="17"/>
        <v>0</v>
      </c>
      <c r="M85" s="561">
        <f t="shared" si="17"/>
        <v>337.65056217150436</v>
      </c>
      <c r="O85" s="1392"/>
    </row>
    <row r="86" spans="1:33" ht="16" x14ac:dyDescent="0.3">
      <c r="A86" s="610"/>
      <c r="B86" s="34"/>
      <c r="C86" s="41" t="s">
        <v>733</v>
      </c>
      <c r="D86" s="659">
        <f>'F5'!D87-D85</f>
        <v>0</v>
      </c>
      <c r="E86" s="659">
        <f>'F5'!E87-E85</f>
        <v>0</v>
      </c>
      <c r="F86" s="659">
        <f>'F5'!F87-F85</f>
        <v>0</v>
      </c>
      <c r="G86" s="659">
        <f>'F5'!G87-G85</f>
        <v>0</v>
      </c>
      <c r="H86" s="659">
        <f>'F5'!H87-H85</f>
        <v>0</v>
      </c>
      <c r="I86" s="1052">
        <f>'F5'!I87+'F5.1 (N)'!D61-I85</f>
        <v>0</v>
      </c>
      <c r="J86" s="1052">
        <f>'F5'!J87+'F5.1 (N)'!E61-J85</f>
        <v>0</v>
      </c>
      <c r="K86" s="1052">
        <f>'F5'!K87+'F5.1 (N)'!F61-K85</f>
        <v>0</v>
      </c>
      <c r="L86" s="1052">
        <f>'F5'!L87+'F5.1 (N)'!G61-L85</f>
        <v>0</v>
      </c>
      <c r="M86" s="1052">
        <f>'F5'!M87+'F5.1 (N)'!H61-M85</f>
        <v>0</v>
      </c>
      <c r="N86" s="34"/>
      <c r="O86" s="34"/>
      <c r="P86" s="34"/>
      <c r="Q86" s="34"/>
      <c r="R86" s="34"/>
      <c r="S86" s="34"/>
      <c r="T86" s="34"/>
      <c r="U86" s="34"/>
      <c r="V86" s="34"/>
      <c r="W86" s="34"/>
    </row>
    <row r="87" spans="1:33" ht="16" x14ac:dyDescent="0.3">
      <c r="A87" s="610"/>
      <c r="B87" s="180" t="s">
        <v>559</v>
      </c>
      <c r="C87" s="182"/>
      <c r="D87" s="183"/>
      <c r="E87" s="183"/>
      <c r="F87" s="183"/>
      <c r="G87" s="183"/>
      <c r="H87" s="183"/>
      <c r="I87" s="184"/>
      <c r="J87" s="184"/>
      <c r="K87" s="34"/>
      <c r="L87" s="34"/>
      <c r="M87" s="34"/>
      <c r="N87" s="34"/>
      <c r="O87" s="34"/>
      <c r="P87" s="34"/>
      <c r="Q87" s="34"/>
      <c r="R87" s="34"/>
      <c r="S87" s="34"/>
      <c r="T87" s="34"/>
      <c r="U87" s="34"/>
      <c r="V87" s="34"/>
      <c r="W87" s="34"/>
      <c r="X87" s="34"/>
      <c r="Y87" s="34"/>
      <c r="Z87" s="34"/>
      <c r="AA87" s="34"/>
      <c r="AB87" s="34"/>
      <c r="AC87" s="34"/>
      <c r="AD87" s="34"/>
      <c r="AE87" s="34"/>
      <c r="AF87" s="34"/>
      <c r="AG87" s="34"/>
    </row>
    <row r="88" spans="1:33" ht="16" x14ac:dyDescent="0.3">
      <c r="A88" s="610"/>
      <c r="B88" s="180" t="s">
        <v>657</v>
      </c>
      <c r="C88" s="182"/>
      <c r="D88" s="183"/>
      <c r="E88" s="183"/>
      <c r="F88" s="183"/>
      <c r="G88" s="183"/>
      <c r="H88" s="183"/>
      <c r="I88" s="184"/>
      <c r="J88" s="184"/>
      <c r="K88" s="34"/>
      <c r="L88" s="34"/>
      <c r="M88" s="34"/>
      <c r="N88" s="34"/>
      <c r="O88" s="34"/>
      <c r="P88" s="34"/>
      <c r="Q88" s="34"/>
      <c r="R88" s="34"/>
      <c r="S88" s="34"/>
      <c r="T88" s="34"/>
      <c r="U88" s="34"/>
      <c r="V88" s="34"/>
      <c r="W88" s="34"/>
      <c r="X88" s="34"/>
      <c r="Y88" s="34"/>
      <c r="Z88" s="34"/>
      <c r="AA88" s="34"/>
      <c r="AB88" s="34"/>
      <c r="AC88" s="34"/>
      <c r="AD88" s="34"/>
      <c r="AE88" s="34"/>
      <c r="AF88" s="34"/>
      <c r="AG88" s="34"/>
    </row>
    <row r="89" spans="1:33" ht="15" customHeight="1" x14ac:dyDescent="0.3">
      <c r="A89" s="610"/>
      <c r="B89" s="34"/>
      <c r="C89" s="41"/>
      <c r="D89" s="41"/>
      <c r="E89" s="41"/>
      <c r="F89" s="41"/>
      <c r="G89" s="41"/>
      <c r="H89" s="41"/>
      <c r="I89" s="34"/>
      <c r="J89" s="34"/>
      <c r="K89" s="34"/>
      <c r="L89" s="34"/>
      <c r="M89" s="34"/>
      <c r="N89" s="34"/>
      <c r="O89" s="34"/>
      <c r="P89" s="34"/>
      <c r="Q89" s="34"/>
      <c r="R89" s="34"/>
    </row>
    <row r="90" spans="1:33" ht="16" x14ac:dyDescent="0.3">
      <c r="A90" s="610"/>
      <c r="B90" s="34"/>
      <c r="C90" s="41"/>
      <c r="D90" s="6"/>
      <c r="E90" s="6"/>
      <c r="F90" s="6"/>
      <c r="G90" s="6"/>
      <c r="H90" s="6"/>
      <c r="J90" s="4"/>
      <c r="M90" s="4"/>
      <c r="N90" s="4"/>
      <c r="AG90" s="50" t="s">
        <v>10</v>
      </c>
    </row>
    <row r="91" spans="1:33" ht="13.75" customHeight="1" x14ac:dyDescent="0.3">
      <c r="A91" s="610"/>
      <c r="B91" s="1481" t="s">
        <v>327</v>
      </c>
      <c r="C91" s="1481" t="s">
        <v>35</v>
      </c>
      <c r="D91" s="1576" t="s">
        <v>850</v>
      </c>
      <c r="E91" s="1577"/>
      <c r="F91" s="1577"/>
      <c r="G91" s="1577"/>
      <c r="H91" s="1578"/>
      <c r="I91" s="1576" t="s">
        <v>851</v>
      </c>
      <c r="J91" s="1577"/>
      <c r="K91" s="1577"/>
      <c r="L91" s="1577"/>
      <c r="M91" s="1578"/>
      <c r="N91" s="1570" t="s">
        <v>852</v>
      </c>
      <c r="O91" s="1570"/>
      <c r="P91" s="1570"/>
      <c r="Q91" s="1570"/>
      <c r="R91" s="1570"/>
      <c r="S91" s="1570" t="s">
        <v>853</v>
      </c>
      <c r="T91" s="1570"/>
      <c r="U91" s="1570"/>
      <c r="V91" s="1570"/>
      <c r="W91" s="1570"/>
    </row>
    <row r="92" spans="1:33" x14ac:dyDescent="0.3">
      <c r="A92" s="610"/>
      <c r="B92" s="1481"/>
      <c r="C92" s="1481"/>
      <c r="D92" s="1579" t="s">
        <v>20</v>
      </c>
      <c r="E92" s="1580"/>
      <c r="F92" s="1580"/>
      <c r="G92" s="1580"/>
      <c r="H92" s="1581"/>
      <c r="I92" s="1579" t="s">
        <v>20</v>
      </c>
      <c r="J92" s="1580"/>
      <c r="K92" s="1580"/>
      <c r="L92" s="1580"/>
      <c r="M92" s="1581"/>
      <c r="N92" s="1573" t="s">
        <v>20</v>
      </c>
      <c r="O92" s="1574"/>
      <c r="P92" s="1574"/>
      <c r="Q92" s="1574"/>
      <c r="R92" s="1574"/>
      <c r="S92" s="1573" t="s">
        <v>20</v>
      </c>
      <c r="T92" s="1574"/>
      <c r="U92" s="1574"/>
      <c r="V92" s="1574"/>
      <c r="W92" s="1574"/>
    </row>
    <row r="93" spans="1:33" ht="56" x14ac:dyDescent="0.3">
      <c r="A93" s="610"/>
      <c r="B93" s="1481"/>
      <c r="C93" s="1481"/>
      <c r="D93" s="250" t="s">
        <v>269</v>
      </c>
      <c r="E93" s="250" t="s">
        <v>264</v>
      </c>
      <c r="F93" s="181" t="s">
        <v>270</v>
      </c>
      <c r="G93" s="64" t="s">
        <v>548</v>
      </c>
      <c r="H93" s="250" t="s">
        <v>271</v>
      </c>
      <c r="I93" s="250" t="s">
        <v>263</v>
      </c>
      <c r="J93" s="250" t="s">
        <v>264</v>
      </c>
      <c r="K93" s="250" t="s">
        <v>265</v>
      </c>
      <c r="L93" s="64" t="s">
        <v>548</v>
      </c>
      <c r="M93" s="250" t="s">
        <v>266</v>
      </c>
      <c r="N93" s="250" t="s">
        <v>263</v>
      </c>
      <c r="O93" s="250" t="s">
        <v>264</v>
      </c>
      <c r="P93" s="250" t="s">
        <v>265</v>
      </c>
      <c r="Q93" s="64" t="s">
        <v>548</v>
      </c>
      <c r="R93" s="250" t="s">
        <v>266</v>
      </c>
      <c r="S93" s="250" t="s">
        <v>263</v>
      </c>
      <c r="T93" s="250" t="s">
        <v>264</v>
      </c>
      <c r="U93" s="250" t="s">
        <v>265</v>
      </c>
      <c r="V93" s="64" t="s">
        <v>548</v>
      </c>
      <c r="W93" s="250" t="s">
        <v>266</v>
      </c>
    </row>
    <row r="94" spans="1:33" ht="28" x14ac:dyDescent="0.3">
      <c r="A94" s="610"/>
      <c r="B94" s="179"/>
      <c r="C94" s="179"/>
      <c r="D94" s="179" t="s">
        <v>615</v>
      </c>
      <c r="E94" s="179" t="s">
        <v>616</v>
      </c>
      <c r="F94" s="179" t="s">
        <v>617</v>
      </c>
      <c r="G94" s="179" t="s">
        <v>618</v>
      </c>
      <c r="H94" s="179" t="s">
        <v>619</v>
      </c>
      <c r="I94" s="179" t="s">
        <v>615</v>
      </c>
      <c r="J94" s="179" t="s">
        <v>616</v>
      </c>
      <c r="K94" s="179" t="s">
        <v>617</v>
      </c>
      <c r="L94" s="179" t="s">
        <v>618</v>
      </c>
      <c r="M94" s="179" t="s">
        <v>619</v>
      </c>
      <c r="N94" s="179" t="s">
        <v>615</v>
      </c>
      <c r="O94" s="179" t="s">
        <v>616</v>
      </c>
      <c r="P94" s="179" t="s">
        <v>617</v>
      </c>
      <c r="Q94" s="179" t="s">
        <v>618</v>
      </c>
      <c r="R94" s="179" t="s">
        <v>619</v>
      </c>
      <c r="S94" s="179" t="s">
        <v>615</v>
      </c>
      <c r="T94" s="179" t="s">
        <v>616</v>
      </c>
      <c r="U94" s="179" t="s">
        <v>617</v>
      </c>
      <c r="V94" s="179" t="s">
        <v>618</v>
      </c>
      <c r="W94" s="179" t="s">
        <v>619</v>
      </c>
    </row>
    <row r="95" spans="1:33" x14ac:dyDescent="0.3">
      <c r="A95" s="451"/>
      <c r="B95" s="70">
        <v>1</v>
      </c>
      <c r="C95" s="304" t="s">
        <v>755</v>
      </c>
      <c r="D95" s="560">
        <f t="shared" ref="D95:D111" si="18">M68</f>
        <v>0</v>
      </c>
      <c r="E95" s="452">
        <f>'F5'!E97+'F5.1 (N)'!J44</f>
        <v>0</v>
      </c>
      <c r="F95" s="452">
        <f>'F5'!F97+'F5.1 (N)'!K44</f>
        <v>0</v>
      </c>
      <c r="G95" s="452">
        <f>'F5'!G97+'F5.1 (N)'!L44</f>
        <v>0</v>
      </c>
      <c r="H95" s="560">
        <f>D95+E95-F95-G95</f>
        <v>0</v>
      </c>
      <c r="I95" s="524">
        <f>H95</f>
        <v>0</v>
      </c>
      <c r="J95" s="557">
        <f>'F5'!J97+'F5.1 (N)'!O44</f>
        <v>0</v>
      </c>
      <c r="K95" s="557">
        <f>'F5'!K97+'F5.1 (N)'!P44</f>
        <v>0</v>
      </c>
      <c r="L95" s="557">
        <f>'F5'!L97+'F5.1 (N)'!Q44</f>
        <v>0</v>
      </c>
      <c r="M95" s="524">
        <f>I95+J95-K95-L95</f>
        <v>0</v>
      </c>
      <c r="N95" s="524">
        <f>M95</f>
        <v>0</v>
      </c>
      <c r="O95" s="557">
        <f>'F5'!O97+'F5.1 (N)'!T44</f>
        <v>0</v>
      </c>
      <c r="P95" s="557">
        <f>'F5'!P97+'F5.1 (N)'!U44</f>
        <v>0</v>
      </c>
      <c r="Q95" s="557">
        <f>'F5'!Q97+'F5.1 (N)'!V44</f>
        <v>0</v>
      </c>
      <c r="R95" s="524">
        <f>N95+O95-P95-Q95</f>
        <v>0</v>
      </c>
      <c r="S95" s="524">
        <f>R95</f>
        <v>0</v>
      </c>
      <c r="T95" s="557">
        <f>'F5'!T97+'F5.1 (N)'!Y44</f>
        <v>0</v>
      </c>
      <c r="U95" s="557">
        <f>'F5'!U97+'F5.1 (N)'!Z44</f>
        <v>0</v>
      </c>
      <c r="V95" s="557">
        <f>'F5'!V97+'F5.1 (N)'!AA44</f>
        <v>0</v>
      </c>
      <c r="W95" s="524">
        <f>S95+T95-U95-V95</f>
        <v>0</v>
      </c>
    </row>
    <row r="96" spans="1:33" x14ac:dyDescent="0.3">
      <c r="A96" s="451"/>
      <c r="B96" s="70">
        <f>B95+1</f>
        <v>2</v>
      </c>
      <c r="C96" s="304" t="s">
        <v>756</v>
      </c>
      <c r="D96" s="560">
        <f t="shared" si="18"/>
        <v>6.9530700047880352</v>
      </c>
      <c r="E96" s="452">
        <f>'F5'!E98+'F5.1 (N)'!J45</f>
        <v>6.2974455378353174</v>
      </c>
      <c r="F96" s="452">
        <f>'F5'!F98+'F5.1 (N)'!K45</f>
        <v>0</v>
      </c>
      <c r="G96" s="452">
        <f>'F5'!G98+'F5.1 (N)'!L45</f>
        <v>0</v>
      </c>
      <c r="H96" s="560">
        <f t="shared" ref="H96:H111" si="19">D96+E96-F96-G96</f>
        <v>13.250515542623353</v>
      </c>
      <c r="I96" s="524">
        <f t="shared" ref="I96:I111" si="20">H96</f>
        <v>13.250515542623353</v>
      </c>
      <c r="J96" s="557">
        <f>'F5'!J98+'F5.1 (N)'!O45</f>
        <v>6.2974455378353174</v>
      </c>
      <c r="K96" s="557">
        <f>'F5'!K98+'F5.1 (N)'!P45</f>
        <v>0</v>
      </c>
      <c r="L96" s="557">
        <f>'F5'!L98+'F5.1 (N)'!Q45</f>
        <v>0</v>
      </c>
      <c r="M96" s="524">
        <f t="shared" ref="M96:M111" si="21">I96+J96-K96-L96</f>
        <v>19.54796108045867</v>
      </c>
      <c r="N96" s="524">
        <f t="shared" ref="N96:N111" si="22">M96</f>
        <v>19.54796108045867</v>
      </c>
      <c r="O96" s="557">
        <f>'F5'!O98+'F5.1 (N)'!T45</f>
        <v>6.2974455378353174</v>
      </c>
      <c r="P96" s="557">
        <f>'F5'!P98+'F5.1 (N)'!U45</f>
        <v>0</v>
      </c>
      <c r="Q96" s="557">
        <f>'F5'!Q98+'F5.1 (N)'!V45</f>
        <v>0</v>
      </c>
      <c r="R96" s="524">
        <f t="shared" ref="R96:R111" si="23">N96+O96-P96-Q96</f>
        <v>25.845406618293985</v>
      </c>
      <c r="S96" s="524">
        <f t="shared" ref="S96:S111" si="24">R96</f>
        <v>25.845406618293985</v>
      </c>
      <c r="T96" s="557">
        <f>'F5'!T98+'F5.1 (N)'!Y45</f>
        <v>6.2974455378353174</v>
      </c>
      <c r="U96" s="557">
        <f>'F5'!U98+'F5.1 (N)'!Z45</f>
        <v>0</v>
      </c>
      <c r="V96" s="557">
        <f>'F5'!V98+'F5.1 (N)'!AA45</f>
        <v>0</v>
      </c>
      <c r="W96" s="524">
        <f t="shared" ref="W96:W111" si="25">S96+T96-U96-V96</f>
        <v>32.142852156129301</v>
      </c>
    </row>
    <row r="97" spans="1:23" x14ac:dyDescent="0.3">
      <c r="A97" s="451"/>
      <c r="B97" s="70">
        <f t="shared" ref="B97:B111" si="26">B96+1</f>
        <v>3</v>
      </c>
      <c r="C97" s="304" t="s">
        <v>757</v>
      </c>
      <c r="D97" s="560">
        <f t="shared" si="18"/>
        <v>0</v>
      </c>
      <c r="E97" s="452">
        <f>'F5'!E99+'F5.1 (N)'!J46</f>
        <v>0</v>
      </c>
      <c r="F97" s="452">
        <f>'F5'!F99+'F5.1 (N)'!K46</f>
        <v>0</v>
      </c>
      <c r="G97" s="452">
        <f>'F5'!G99+'F5.1 (N)'!L46</f>
        <v>0</v>
      </c>
      <c r="H97" s="560">
        <f t="shared" si="19"/>
        <v>0</v>
      </c>
      <c r="I97" s="524">
        <f t="shared" si="20"/>
        <v>0</v>
      </c>
      <c r="J97" s="557">
        <f>'F5'!J99+'F5.1 (N)'!O46</f>
        <v>0</v>
      </c>
      <c r="K97" s="557">
        <f>'F5'!K99+'F5.1 (N)'!P46</f>
        <v>0</v>
      </c>
      <c r="L97" s="557">
        <f>'F5'!L99+'F5.1 (N)'!Q46</f>
        <v>0</v>
      </c>
      <c r="M97" s="524">
        <f t="shared" si="21"/>
        <v>0</v>
      </c>
      <c r="N97" s="524">
        <f t="shared" si="22"/>
        <v>0</v>
      </c>
      <c r="O97" s="557">
        <f>'F5'!O99+'F5.1 (N)'!T46</f>
        <v>0</v>
      </c>
      <c r="P97" s="557">
        <f>'F5'!P99+'F5.1 (N)'!U46</f>
        <v>0</v>
      </c>
      <c r="Q97" s="557">
        <f>'F5'!Q99+'F5.1 (N)'!V46</f>
        <v>0</v>
      </c>
      <c r="R97" s="524">
        <f t="shared" si="23"/>
        <v>0</v>
      </c>
      <c r="S97" s="524">
        <f t="shared" si="24"/>
        <v>0</v>
      </c>
      <c r="T97" s="557">
        <f>'F5'!T99+'F5.1 (N)'!Y46</f>
        <v>0</v>
      </c>
      <c r="U97" s="557">
        <f>'F5'!U99+'F5.1 (N)'!Z46</f>
        <v>0</v>
      </c>
      <c r="V97" s="557">
        <f>'F5'!V99+'F5.1 (N)'!AA46</f>
        <v>0</v>
      </c>
      <c r="W97" s="524">
        <f t="shared" si="25"/>
        <v>0</v>
      </c>
    </row>
    <row r="98" spans="1:23" x14ac:dyDescent="0.3">
      <c r="A98" s="451"/>
      <c r="B98" s="70">
        <f t="shared" si="26"/>
        <v>4</v>
      </c>
      <c r="C98" s="304" t="s">
        <v>758</v>
      </c>
      <c r="D98" s="560">
        <f t="shared" si="18"/>
        <v>0</v>
      </c>
      <c r="E98" s="452">
        <f>'F5'!E100+'F5.1 (N)'!J47</f>
        <v>0</v>
      </c>
      <c r="F98" s="452">
        <f>'F5'!F100+'F5.1 (N)'!K47</f>
        <v>0</v>
      </c>
      <c r="G98" s="452">
        <f>'F5'!G100+'F5.1 (N)'!L47</f>
        <v>0</v>
      </c>
      <c r="H98" s="560">
        <f t="shared" si="19"/>
        <v>0</v>
      </c>
      <c r="I98" s="524">
        <f t="shared" si="20"/>
        <v>0</v>
      </c>
      <c r="J98" s="557">
        <f>'F5'!J100+'F5.1 (N)'!O47</f>
        <v>0</v>
      </c>
      <c r="K98" s="557">
        <f>'F5'!K100+'F5.1 (N)'!P47</f>
        <v>0</v>
      </c>
      <c r="L98" s="557">
        <f>'F5'!L100+'F5.1 (N)'!Q47</f>
        <v>0</v>
      </c>
      <c r="M98" s="524">
        <f t="shared" si="21"/>
        <v>0</v>
      </c>
      <c r="N98" s="524">
        <f t="shared" si="22"/>
        <v>0</v>
      </c>
      <c r="O98" s="557">
        <f>'F5'!O100+'F5.1 (N)'!T47</f>
        <v>0</v>
      </c>
      <c r="P98" s="557">
        <f>'F5'!P100+'F5.1 (N)'!U47</f>
        <v>0</v>
      </c>
      <c r="Q98" s="557">
        <f>'F5'!Q100+'F5.1 (N)'!V47</f>
        <v>0</v>
      </c>
      <c r="R98" s="524">
        <f t="shared" si="23"/>
        <v>0</v>
      </c>
      <c r="S98" s="524">
        <f t="shared" si="24"/>
        <v>0</v>
      </c>
      <c r="T98" s="557">
        <f>'F5'!T100+'F5.1 (N)'!Y47</f>
        <v>0</v>
      </c>
      <c r="U98" s="557">
        <f>'F5'!U100+'F5.1 (N)'!Z47</f>
        <v>0</v>
      </c>
      <c r="V98" s="557">
        <f>'F5'!V100+'F5.1 (N)'!AA47</f>
        <v>0</v>
      </c>
      <c r="W98" s="524">
        <f t="shared" si="25"/>
        <v>0</v>
      </c>
    </row>
    <row r="99" spans="1:23" x14ac:dyDescent="0.3">
      <c r="A99" s="451"/>
      <c r="B99" s="70">
        <f t="shared" si="26"/>
        <v>5</v>
      </c>
      <c r="C99" s="304" t="s">
        <v>759</v>
      </c>
      <c r="D99" s="560">
        <f t="shared" si="18"/>
        <v>6.4122129729168336</v>
      </c>
      <c r="E99" s="452">
        <f>'F5'!E101+'F5.1 (N)'!J48</f>
        <v>5.8075874320462635</v>
      </c>
      <c r="F99" s="452">
        <f>'F5'!F101+'F5.1 (N)'!K48</f>
        <v>0</v>
      </c>
      <c r="G99" s="452">
        <f>'F5'!G101+'F5.1 (N)'!L48</f>
        <v>0</v>
      </c>
      <c r="H99" s="560">
        <f t="shared" si="19"/>
        <v>12.219800404963097</v>
      </c>
      <c r="I99" s="524">
        <f t="shared" si="20"/>
        <v>12.219800404963097</v>
      </c>
      <c r="J99" s="557">
        <f>'F5'!J101+'F5.1 (N)'!O48</f>
        <v>5.8075874320462635</v>
      </c>
      <c r="K99" s="557">
        <f>'F5'!K101+'F5.1 (N)'!P48</f>
        <v>0</v>
      </c>
      <c r="L99" s="557">
        <f>'F5'!L101+'F5.1 (N)'!Q48</f>
        <v>0</v>
      </c>
      <c r="M99" s="524">
        <f t="shared" si="21"/>
        <v>18.027387837009361</v>
      </c>
      <c r="N99" s="524">
        <f t="shared" si="22"/>
        <v>18.027387837009361</v>
      </c>
      <c r="O99" s="557">
        <f>'F5'!O101+'F5.1 (N)'!T48</f>
        <v>5.8075874320462635</v>
      </c>
      <c r="P99" s="557">
        <f>'F5'!P101+'F5.1 (N)'!U48</f>
        <v>0</v>
      </c>
      <c r="Q99" s="557">
        <f>'F5'!Q101+'F5.1 (N)'!V48</f>
        <v>0</v>
      </c>
      <c r="R99" s="524">
        <f t="shared" si="23"/>
        <v>23.834975269055626</v>
      </c>
      <c r="S99" s="524">
        <f t="shared" si="24"/>
        <v>23.834975269055626</v>
      </c>
      <c r="T99" s="557">
        <f>'F5'!T101+'F5.1 (N)'!Y48</f>
        <v>5.8075874320462635</v>
      </c>
      <c r="U99" s="557">
        <f>'F5'!U101+'F5.1 (N)'!Z48</f>
        <v>0</v>
      </c>
      <c r="V99" s="557">
        <f>'F5'!V101+'F5.1 (N)'!AA48</f>
        <v>0</v>
      </c>
      <c r="W99" s="524">
        <f t="shared" si="25"/>
        <v>29.642562701101888</v>
      </c>
    </row>
    <row r="100" spans="1:23" x14ac:dyDescent="0.3">
      <c r="A100" s="451"/>
      <c r="B100" s="70">
        <f t="shared" si="26"/>
        <v>6</v>
      </c>
      <c r="C100" s="304" t="s">
        <v>251</v>
      </c>
      <c r="D100" s="560">
        <f t="shared" si="18"/>
        <v>321.28302776288905</v>
      </c>
      <c r="E100" s="452">
        <f>'F5'!E102+'F5.1 (N)'!J49</f>
        <v>311.91165111031466</v>
      </c>
      <c r="F100" s="452">
        <f>'F5'!F102+'F5.1 (N)'!K49</f>
        <v>0</v>
      </c>
      <c r="G100" s="452">
        <f>'F5'!G102+'F5.1 (N)'!L49</f>
        <v>0</v>
      </c>
      <c r="H100" s="560">
        <f t="shared" si="19"/>
        <v>633.19467887320366</v>
      </c>
      <c r="I100" s="524">
        <f t="shared" si="20"/>
        <v>633.19467887320366</v>
      </c>
      <c r="J100" s="557">
        <f>'F5'!J102+'F5.1 (N)'!O49</f>
        <v>330.23014393237179</v>
      </c>
      <c r="K100" s="557">
        <f>'F5'!K102+'F5.1 (N)'!P49</f>
        <v>0</v>
      </c>
      <c r="L100" s="557">
        <f>'F5'!L102+'F5.1 (N)'!Q49</f>
        <v>0</v>
      </c>
      <c r="M100" s="524">
        <f t="shared" si="21"/>
        <v>963.42482280557545</v>
      </c>
      <c r="N100" s="524">
        <f t="shared" si="22"/>
        <v>963.42482280557545</v>
      </c>
      <c r="O100" s="557">
        <f>'F5'!O102+'F5.1 (N)'!T49</f>
        <v>333.51667993237174</v>
      </c>
      <c r="P100" s="557">
        <f>'F5'!P102+'F5.1 (N)'!U49</f>
        <v>0</v>
      </c>
      <c r="Q100" s="557">
        <f>'F5'!Q102+'F5.1 (N)'!V49</f>
        <v>0</v>
      </c>
      <c r="R100" s="524">
        <f t="shared" si="23"/>
        <v>1296.9415027379473</v>
      </c>
      <c r="S100" s="524">
        <f t="shared" si="24"/>
        <v>1296.9415027379473</v>
      </c>
      <c r="T100" s="557">
        <f>'F5'!T102+'F5.1 (N)'!Y49</f>
        <v>334.43980493237177</v>
      </c>
      <c r="U100" s="557">
        <f>'F5'!U102+'F5.1 (N)'!Z49</f>
        <v>0</v>
      </c>
      <c r="V100" s="557">
        <f>'F5'!V102+'F5.1 (N)'!AA49</f>
        <v>0</v>
      </c>
      <c r="W100" s="524">
        <f t="shared" si="25"/>
        <v>1631.3813076703191</v>
      </c>
    </row>
    <row r="101" spans="1:23" x14ac:dyDescent="0.3">
      <c r="A101" s="451"/>
      <c r="B101" s="70">
        <f t="shared" si="26"/>
        <v>7</v>
      </c>
      <c r="C101" s="304" t="s">
        <v>760</v>
      </c>
      <c r="D101" s="560">
        <f t="shared" si="18"/>
        <v>1.211640274481111</v>
      </c>
      <c r="E101" s="452">
        <f>'F5'!E103+'F5.1 (N)'!J50</f>
        <v>1.0973913155970361</v>
      </c>
      <c r="F101" s="452">
        <f>'F5'!F103+'F5.1 (N)'!K50</f>
        <v>0</v>
      </c>
      <c r="G101" s="452">
        <f>'F5'!G103+'F5.1 (N)'!L50</f>
        <v>0</v>
      </c>
      <c r="H101" s="560">
        <f t="shared" si="19"/>
        <v>2.3090315900781473</v>
      </c>
      <c r="I101" s="524">
        <f t="shared" si="20"/>
        <v>2.3090315900781473</v>
      </c>
      <c r="J101" s="557">
        <f>'F5'!J103+'F5.1 (N)'!O50</f>
        <v>1.0973913155970361</v>
      </c>
      <c r="K101" s="557">
        <f>'F5'!K103+'F5.1 (N)'!P50</f>
        <v>0</v>
      </c>
      <c r="L101" s="557">
        <f>'F5'!L103+'F5.1 (N)'!Q50</f>
        <v>0</v>
      </c>
      <c r="M101" s="524">
        <f t="shared" si="21"/>
        <v>3.4064229056751834</v>
      </c>
      <c r="N101" s="524">
        <f t="shared" si="22"/>
        <v>3.4064229056751834</v>
      </c>
      <c r="O101" s="557">
        <f>'F5'!O103+'F5.1 (N)'!T50</f>
        <v>1.0973913155970361</v>
      </c>
      <c r="P101" s="557">
        <f>'F5'!P103+'F5.1 (N)'!U50</f>
        <v>0</v>
      </c>
      <c r="Q101" s="557">
        <f>'F5'!Q103+'F5.1 (N)'!V50</f>
        <v>0</v>
      </c>
      <c r="R101" s="524">
        <f t="shared" si="23"/>
        <v>4.5038142212722194</v>
      </c>
      <c r="S101" s="524">
        <f t="shared" si="24"/>
        <v>4.5038142212722194</v>
      </c>
      <c r="T101" s="557">
        <f>'F5'!T103+'F5.1 (N)'!Y50</f>
        <v>4.7190833122222151E-2</v>
      </c>
      <c r="U101" s="557">
        <f>'F5'!U103+'F5.1 (N)'!Z50</f>
        <v>0</v>
      </c>
      <c r="V101" s="557">
        <f>'F5'!V103+'F5.1 (N)'!AA50</f>
        <v>0</v>
      </c>
      <c r="W101" s="524">
        <f t="shared" si="25"/>
        <v>4.5510050543944418</v>
      </c>
    </row>
    <row r="102" spans="1:23" x14ac:dyDescent="0.3">
      <c r="A102" s="451"/>
      <c r="B102" s="70">
        <f t="shared" si="26"/>
        <v>8</v>
      </c>
      <c r="C102" s="304" t="s">
        <v>761</v>
      </c>
      <c r="D102" s="560">
        <f t="shared" si="18"/>
        <v>0</v>
      </c>
      <c r="E102" s="452">
        <f>'F5'!E104+'F5.1 (N)'!J51</f>
        <v>0</v>
      </c>
      <c r="F102" s="452">
        <f>'F5'!F104+'F5.1 (N)'!K51</f>
        <v>0</v>
      </c>
      <c r="G102" s="452">
        <f>'F5'!G104+'F5.1 (N)'!L51</f>
        <v>0</v>
      </c>
      <c r="H102" s="560">
        <f t="shared" si="19"/>
        <v>0</v>
      </c>
      <c r="I102" s="524">
        <f t="shared" si="20"/>
        <v>0</v>
      </c>
      <c r="J102" s="557">
        <f>'F5'!J104+'F5.1 (N)'!O51</f>
        <v>0</v>
      </c>
      <c r="K102" s="557">
        <f>'F5'!K104+'F5.1 (N)'!P51</f>
        <v>0</v>
      </c>
      <c r="L102" s="557">
        <f>'F5'!L104+'F5.1 (N)'!Q51</f>
        <v>0</v>
      </c>
      <c r="M102" s="524">
        <f t="shared" si="21"/>
        <v>0</v>
      </c>
      <c r="N102" s="524">
        <f t="shared" si="22"/>
        <v>0</v>
      </c>
      <c r="O102" s="557">
        <f>'F5'!O104+'F5.1 (N)'!T51</f>
        <v>0</v>
      </c>
      <c r="P102" s="557">
        <f>'F5'!P104+'F5.1 (N)'!U51</f>
        <v>0</v>
      </c>
      <c r="Q102" s="557">
        <f>'F5'!Q104+'F5.1 (N)'!V51</f>
        <v>0</v>
      </c>
      <c r="R102" s="524">
        <f t="shared" si="23"/>
        <v>0</v>
      </c>
      <c r="S102" s="524">
        <f t="shared" si="24"/>
        <v>0</v>
      </c>
      <c r="T102" s="557">
        <f>'F5'!T104+'F5.1 (N)'!Y51</f>
        <v>0</v>
      </c>
      <c r="U102" s="557">
        <f>'F5'!U104+'F5.1 (N)'!Z51</f>
        <v>0</v>
      </c>
      <c r="V102" s="557">
        <f>'F5'!V104+'F5.1 (N)'!AA51</f>
        <v>0</v>
      </c>
      <c r="W102" s="524">
        <f t="shared" si="25"/>
        <v>0</v>
      </c>
    </row>
    <row r="103" spans="1:23" x14ac:dyDescent="0.3">
      <c r="A103" s="451"/>
      <c r="B103" s="70">
        <f t="shared" si="26"/>
        <v>9</v>
      </c>
      <c r="C103" s="304" t="s">
        <v>762</v>
      </c>
      <c r="D103" s="560">
        <f t="shared" si="18"/>
        <v>0</v>
      </c>
      <c r="E103" s="452">
        <f>'F5'!E105+'F5.1 (N)'!J52</f>
        <v>0</v>
      </c>
      <c r="F103" s="452">
        <f>'F5'!F105+'F5.1 (N)'!K52</f>
        <v>0</v>
      </c>
      <c r="G103" s="452">
        <f>'F5'!G105+'F5.1 (N)'!L52</f>
        <v>0</v>
      </c>
      <c r="H103" s="560">
        <f t="shared" si="19"/>
        <v>0</v>
      </c>
      <c r="I103" s="524">
        <f t="shared" si="20"/>
        <v>0</v>
      </c>
      <c r="J103" s="557">
        <f>'F5'!J105+'F5.1 (N)'!O52</f>
        <v>0</v>
      </c>
      <c r="K103" s="557">
        <f>'F5'!K105+'F5.1 (N)'!P52</f>
        <v>0</v>
      </c>
      <c r="L103" s="557">
        <f>'F5'!L105+'F5.1 (N)'!Q52</f>
        <v>0</v>
      </c>
      <c r="M103" s="524">
        <f t="shared" si="21"/>
        <v>0</v>
      </c>
      <c r="N103" s="524">
        <f t="shared" si="22"/>
        <v>0</v>
      </c>
      <c r="O103" s="557">
        <f>'F5'!O105+'F5.1 (N)'!T52</f>
        <v>0</v>
      </c>
      <c r="P103" s="557">
        <f>'F5'!P105+'F5.1 (N)'!U52</f>
        <v>0</v>
      </c>
      <c r="Q103" s="557">
        <f>'F5'!Q105+'F5.1 (N)'!V52</f>
        <v>0</v>
      </c>
      <c r="R103" s="524">
        <f t="shared" si="23"/>
        <v>0</v>
      </c>
      <c r="S103" s="524">
        <f t="shared" si="24"/>
        <v>0</v>
      </c>
      <c r="T103" s="557">
        <f>'F5'!T105+'F5.1 (N)'!Y52</f>
        <v>0</v>
      </c>
      <c r="U103" s="557">
        <f>'F5'!U105+'F5.1 (N)'!Z52</f>
        <v>0</v>
      </c>
      <c r="V103" s="557">
        <f>'F5'!V105+'F5.1 (N)'!AA52</f>
        <v>0</v>
      </c>
      <c r="W103" s="524">
        <f t="shared" si="25"/>
        <v>0</v>
      </c>
    </row>
    <row r="104" spans="1:23" x14ac:dyDescent="0.3">
      <c r="A104" s="451"/>
      <c r="B104" s="70">
        <f t="shared" si="26"/>
        <v>10</v>
      </c>
      <c r="C104" s="304" t="s">
        <v>254</v>
      </c>
      <c r="D104" s="560">
        <f t="shared" si="18"/>
        <v>0</v>
      </c>
      <c r="E104" s="452">
        <f>'F5'!E106+'F5.1 (N)'!J53</f>
        <v>0</v>
      </c>
      <c r="F104" s="452">
        <f>'F5'!F106+'F5.1 (N)'!K53</f>
        <v>0</v>
      </c>
      <c r="G104" s="452">
        <f>'F5'!G106+'F5.1 (N)'!L53</f>
        <v>0</v>
      </c>
      <c r="H104" s="560">
        <f t="shared" si="19"/>
        <v>0</v>
      </c>
      <c r="I104" s="524">
        <f t="shared" si="20"/>
        <v>0</v>
      </c>
      <c r="J104" s="557">
        <f>'F5'!J106+'F5.1 (N)'!O53</f>
        <v>0</v>
      </c>
      <c r="K104" s="557">
        <f>'F5'!K106+'F5.1 (N)'!P53</f>
        <v>0</v>
      </c>
      <c r="L104" s="557">
        <f>'F5'!L106+'F5.1 (N)'!Q53</f>
        <v>0</v>
      </c>
      <c r="M104" s="524">
        <f t="shared" si="21"/>
        <v>0</v>
      </c>
      <c r="N104" s="524">
        <f t="shared" si="22"/>
        <v>0</v>
      </c>
      <c r="O104" s="557">
        <f>'F5'!O106+'F5.1 (N)'!T53</f>
        <v>0</v>
      </c>
      <c r="P104" s="557">
        <f>'F5'!P106+'F5.1 (N)'!U53</f>
        <v>0</v>
      </c>
      <c r="Q104" s="557">
        <f>'F5'!Q106+'F5.1 (N)'!V53</f>
        <v>0</v>
      </c>
      <c r="R104" s="524">
        <f t="shared" si="23"/>
        <v>0</v>
      </c>
      <c r="S104" s="524">
        <f t="shared" si="24"/>
        <v>0</v>
      </c>
      <c r="T104" s="557">
        <f>'F5'!T106+'F5.1 (N)'!Y53</f>
        <v>0</v>
      </c>
      <c r="U104" s="557">
        <f>'F5'!U106+'F5.1 (N)'!Z53</f>
        <v>0</v>
      </c>
      <c r="V104" s="557">
        <f>'F5'!V106+'F5.1 (N)'!AA53</f>
        <v>0</v>
      </c>
      <c r="W104" s="524">
        <f t="shared" si="25"/>
        <v>0</v>
      </c>
    </row>
    <row r="105" spans="1:23" x14ac:dyDescent="0.3">
      <c r="A105" s="451"/>
      <c r="B105" s="70">
        <f t="shared" si="26"/>
        <v>11</v>
      </c>
      <c r="C105" s="304" t="s">
        <v>255</v>
      </c>
      <c r="D105" s="560">
        <f t="shared" si="18"/>
        <v>0</v>
      </c>
      <c r="E105" s="452">
        <f>'F5'!E107+'F5.1 (N)'!J54</f>
        <v>0</v>
      </c>
      <c r="F105" s="452">
        <f>'F5'!F107+'F5.1 (N)'!K54</f>
        <v>0</v>
      </c>
      <c r="G105" s="452">
        <f>'F5'!G107+'F5.1 (N)'!L54</f>
        <v>0</v>
      </c>
      <c r="H105" s="560">
        <f t="shared" si="19"/>
        <v>0</v>
      </c>
      <c r="I105" s="524">
        <f t="shared" si="20"/>
        <v>0</v>
      </c>
      <c r="J105" s="557">
        <f>'F5'!J107+'F5.1 (N)'!O54</f>
        <v>0</v>
      </c>
      <c r="K105" s="557">
        <f>'F5'!K107+'F5.1 (N)'!P54</f>
        <v>0</v>
      </c>
      <c r="L105" s="557">
        <f>'F5'!L107+'F5.1 (N)'!Q54</f>
        <v>0</v>
      </c>
      <c r="M105" s="524">
        <f t="shared" si="21"/>
        <v>0</v>
      </c>
      <c r="N105" s="524">
        <f t="shared" si="22"/>
        <v>0</v>
      </c>
      <c r="O105" s="557">
        <f>'F5'!O107+'F5.1 (N)'!T54</f>
        <v>0</v>
      </c>
      <c r="P105" s="557">
        <f>'F5'!P107+'F5.1 (N)'!U54</f>
        <v>0</v>
      </c>
      <c r="Q105" s="557">
        <f>'F5'!Q107+'F5.1 (N)'!V54</f>
        <v>0</v>
      </c>
      <c r="R105" s="524">
        <f t="shared" si="23"/>
        <v>0</v>
      </c>
      <c r="S105" s="524">
        <f t="shared" si="24"/>
        <v>0</v>
      </c>
      <c r="T105" s="557">
        <f>'F5'!T107+'F5.1 (N)'!Y54</f>
        <v>0</v>
      </c>
      <c r="U105" s="557">
        <f>'F5'!U107+'F5.1 (N)'!Z54</f>
        <v>0</v>
      </c>
      <c r="V105" s="557">
        <f>'F5'!V107+'F5.1 (N)'!AA54</f>
        <v>0</v>
      </c>
      <c r="W105" s="524">
        <f t="shared" si="25"/>
        <v>0</v>
      </c>
    </row>
    <row r="106" spans="1:23" x14ac:dyDescent="0.3">
      <c r="A106" s="451"/>
      <c r="B106" s="70">
        <f t="shared" si="26"/>
        <v>12</v>
      </c>
      <c r="C106" s="304" t="s">
        <v>256</v>
      </c>
      <c r="D106" s="560">
        <f t="shared" si="18"/>
        <v>0</v>
      </c>
      <c r="E106" s="452">
        <f>'F5'!E108+'F5.1 (N)'!J55</f>
        <v>0</v>
      </c>
      <c r="F106" s="452">
        <f>'F5'!F108+'F5.1 (N)'!K55</f>
        <v>0</v>
      </c>
      <c r="G106" s="452">
        <f>'F5'!G108+'F5.1 (N)'!L55</f>
        <v>0</v>
      </c>
      <c r="H106" s="560">
        <f t="shared" si="19"/>
        <v>0</v>
      </c>
      <c r="I106" s="524">
        <f t="shared" si="20"/>
        <v>0</v>
      </c>
      <c r="J106" s="557">
        <f>'F5'!J108+'F5.1 (N)'!O55</f>
        <v>0</v>
      </c>
      <c r="K106" s="557">
        <f>'F5'!K108+'F5.1 (N)'!P55</f>
        <v>0</v>
      </c>
      <c r="L106" s="557">
        <f>'F5'!L108+'F5.1 (N)'!Q55</f>
        <v>0</v>
      </c>
      <c r="M106" s="524">
        <f t="shared" si="21"/>
        <v>0</v>
      </c>
      <c r="N106" s="524">
        <f t="shared" si="22"/>
        <v>0</v>
      </c>
      <c r="O106" s="557">
        <f>'F5'!O108+'F5.1 (N)'!T55</f>
        <v>0</v>
      </c>
      <c r="P106" s="557">
        <f>'F5'!P108+'F5.1 (N)'!U55</f>
        <v>0</v>
      </c>
      <c r="Q106" s="557">
        <f>'F5'!Q108+'F5.1 (N)'!V55</f>
        <v>0</v>
      </c>
      <c r="R106" s="524">
        <f t="shared" si="23"/>
        <v>0</v>
      </c>
      <c r="S106" s="524">
        <f t="shared" si="24"/>
        <v>0</v>
      </c>
      <c r="T106" s="557">
        <f>'F5'!T108+'F5.1 (N)'!Y55</f>
        <v>0</v>
      </c>
      <c r="U106" s="557">
        <f>'F5'!U108+'F5.1 (N)'!Z55</f>
        <v>0</v>
      </c>
      <c r="V106" s="557">
        <f>'F5'!V108+'F5.1 (N)'!AA55</f>
        <v>0</v>
      </c>
      <c r="W106" s="524">
        <f t="shared" si="25"/>
        <v>0</v>
      </c>
    </row>
    <row r="107" spans="1:23" x14ac:dyDescent="0.3">
      <c r="A107" s="451"/>
      <c r="B107" s="70">
        <f t="shared" si="26"/>
        <v>13</v>
      </c>
      <c r="C107" s="304" t="s">
        <v>810</v>
      </c>
      <c r="D107" s="560">
        <f t="shared" si="18"/>
        <v>0</v>
      </c>
      <c r="E107" s="452">
        <f>'F5'!E109+'F5.1 (N)'!J56</f>
        <v>0</v>
      </c>
      <c r="F107" s="452">
        <f>'F5'!F109+'F5.1 (N)'!K56</f>
        <v>0</v>
      </c>
      <c r="G107" s="452">
        <f>'F5'!G109+'F5.1 (N)'!L56</f>
        <v>0</v>
      </c>
      <c r="H107" s="560">
        <f t="shared" si="19"/>
        <v>0</v>
      </c>
      <c r="I107" s="524">
        <f t="shared" si="20"/>
        <v>0</v>
      </c>
      <c r="J107" s="557">
        <f>'F5'!J109+'F5.1 (N)'!O56</f>
        <v>0</v>
      </c>
      <c r="K107" s="557">
        <f>'F5'!K109+'F5.1 (N)'!P56</f>
        <v>0</v>
      </c>
      <c r="L107" s="557">
        <f>'F5'!L109+'F5.1 (N)'!Q56</f>
        <v>0</v>
      </c>
      <c r="M107" s="524">
        <f t="shared" si="21"/>
        <v>0</v>
      </c>
      <c r="N107" s="524">
        <f t="shared" si="22"/>
        <v>0</v>
      </c>
      <c r="O107" s="557">
        <f>'F5'!O109+'F5.1 (N)'!T56</f>
        <v>0</v>
      </c>
      <c r="P107" s="557">
        <f>'F5'!P109+'F5.1 (N)'!U56</f>
        <v>0</v>
      </c>
      <c r="Q107" s="557">
        <f>'F5'!Q109+'F5.1 (N)'!V56</f>
        <v>0</v>
      </c>
      <c r="R107" s="524">
        <f t="shared" si="23"/>
        <v>0</v>
      </c>
      <c r="S107" s="524">
        <f t="shared" si="24"/>
        <v>0</v>
      </c>
      <c r="T107" s="557">
        <f>'F5'!T109+'F5.1 (N)'!Y56</f>
        <v>0</v>
      </c>
      <c r="U107" s="557">
        <f>'F5'!U109+'F5.1 (N)'!Z56</f>
        <v>0</v>
      </c>
      <c r="V107" s="557">
        <f>'F5'!V109+'F5.1 (N)'!AA56</f>
        <v>0</v>
      </c>
      <c r="W107" s="524">
        <f t="shared" si="25"/>
        <v>0</v>
      </c>
    </row>
    <row r="108" spans="1:23" x14ac:dyDescent="0.3">
      <c r="A108" s="451"/>
      <c r="B108" s="70">
        <f t="shared" si="26"/>
        <v>14</v>
      </c>
      <c r="C108" s="304" t="s">
        <v>811</v>
      </c>
      <c r="D108" s="560">
        <f t="shared" si="18"/>
        <v>1.7906111564293512</v>
      </c>
      <c r="E108" s="452">
        <f>'F5'!E110+'F5.1 (N)'!J57</f>
        <v>1.6217694096692634</v>
      </c>
      <c r="F108" s="452">
        <f>'F5'!F110+'F5.1 (N)'!K57</f>
        <v>0</v>
      </c>
      <c r="G108" s="452">
        <f>'F5'!G110+'F5.1 (N)'!L57</f>
        <v>0</v>
      </c>
      <c r="H108" s="560">
        <f t="shared" si="19"/>
        <v>3.4123805660986148</v>
      </c>
      <c r="I108" s="524">
        <f t="shared" si="20"/>
        <v>3.4123805660986148</v>
      </c>
      <c r="J108" s="557">
        <f>'F5'!J110+'F5.1 (N)'!O57</f>
        <v>1.6217694096692634</v>
      </c>
      <c r="K108" s="557">
        <f>'F5'!K110+'F5.1 (N)'!P57</f>
        <v>0</v>
      </c>
      <c r="L108" s="557">
        <f>'F5'!L110+'F5.1 (N)'!Q57</f>
        <v>0</v>
      </c>
      <c r="M108" s="524">
        <f t="shared" si="21"/>
        <v>5.0341499757678783</v>
      </c>
      <c r="N108" s="524">
        <f t="shared" si="22"/>
        <v>5.0341499757678783</v>
      </c>
      <c r="O108" s="557">
        <f>'F5'!O110+'F5.1 (N)'!T57</f>
        <v>1.6217694096692634</v>
      </c>
      <c r="P108" s="557">
        <f>'F5'!P110+'F5.1 (N)'!U57</f>
        <v>0</v>
      </c>
      <c r="Q108" s="557">
        <f>'F5'!Q110+'F5.1 (N)'!V57</f>
        <v>0</v>
      </c>
      <c r="R108" s="524">
        <f t="shared" si="23"/>
        <v>6.6559193854371417</v>
      </c>
      <c r="S108" s="524">
        <f t="shared" si="24"/>
        <v>6.6559193854371417</v>
      </c>
      <c r="T108" s="557">
        <f>'F5'!T110+'F5.1 (N)'!Y57</f>
        <v>1.6217694096692634</v>
      </c>
      <c r="U108" s="557">
        <f>'F5'!U110+'F5.1 (N)'!Z57</f>
        <v>0</v>
      </c>
      <c r="V108" s="557">
        <f>'F5'!V110+'F5.1 (N)'!AA57</f>
        <v>0</v>
      </c>
      <c r="W108" s="524">
        <f t="shared" si="25"/>
        <v>8.2776887951064051</v>
      </c>
    </row>
    <row r="109" spans="1:23" x14ac:dyDescent="0.3">
      <c r="A109" s="451"/>
      <c r="B109" s="70">
        <f t="shared" si="26"/>
        <v>15</v>
      </c>
      <c r="C109" s="304" t="s">
        <v>812</v>
      </c>
      <c r="D109" s="560">
        <f t="shared" si="18"/>
        <v>0</v>
      </c>
      <c r="E109" s="452">
        <f>'F5'!E111+'F5.1 (N)'!J58</f>
        <v>0</v>
      </c>
      <c r="F109" s="452">
        <f>'F5'!F111+'F5.1 (N)'!K58</f>
        <v>0</v>
      </c>
      <c r="G109" s="452">
        <f>'F5'!G111+'F5.1 (N)'!L58</f>
        <v>0</v>
      </c>
      <c r="H109" s="560">
        <f t="shared" si="19"/>
        <v>0</v>
      </c>
      <c r="I109" s="524">
        <f t="shared" si="20"/>
        <v>0</v>
      </c>
      <c r="J109" s="557">
        <f>'F5'!J111+'F5.1 (N)'!O58</f>
        <v>0</v>
      </c>
      <c r="K109" s="557">
        <f>'F5'!K111+'F5.1 (N)'!P58</f>
        <v>0</v>
      </c>
      <c r="L109" s="557">
        <f>'F5'!L111+'F5.1 (N)'!Q58</f>
        <v>0</v>
      </c>
      <c r="M109" s="524">
        <f t="shared" si="21"/>
        <v>0</v>
      </c>
      <c r="N109" s="524">
        <f t="shared" si="22"/>
        <v>0</v>
      </c>
      <c r="O109" s="557">
        <f>'F5'!O111+'F5.1 (N)'!T58</f>
        <v>0</v>
      </c>
      <c r="P109" s="557">
        <f>'F5'!P111+'F5.1 (N)'!U58</f>
        <v>0</v>
      </c>
      <c r="Q109" s="557">
        <f>'F5'!Q111+'F5.1 (N)'!V58</f>
        <v>0</v>
      </c>
      <c r="R109" s="524">
        <f t="shared" si="23"/>
        <v>0</v>
      </c>
      <c r="S109" s="524">
        <f t="shared" si="24"/>
        <v>0</v>
      </c>
      <c r="T109" s="557">
        <f>'F5'!T111+'F5.1 (N)'!Y58</f>
        <v>0</v>
      </c>
      <c r="U109" s="557">
        <f>'F5'!U111+'F5.1 (N)'!Z58</f>
        <v>0</v>
      </c>
      <c r="V109" s="557">
        <f>'F5'!V111+'F5.1 (N)'!AA58</f>
        <v>0</v>
      </c>
      <c r="W109" s="524">
        <f t="shared" si="25"/>
        <v>0</v>
      </c>
    </row>
    <row r="110" spans="1:23" x14ac:dyDescent="0.3">
      <c r="A110" s="451"/>
      <c r="B110" s="70">
        <f t="shared" si="26"/>
        <v>16</v>
      </c>
      <c r="C110" s="304" t="s">
        <v>763</v>
      </c>
      <c r="D110" s="560">
        <f t="shared" si="18"/>
        <v>0</v>
      </c>
      <c r="E110" s="452">
        <f>'F5'!E112+'F5.1 (N)'!J59</f>
        <v>0</v>
      </c>
      <c r="F110" s="452">
        <f>'F5'!F112+'F5.1 (N)'!K59</f>
        <v>0</v>
      </c>
      <c r="G110" s="452">
        <f>'F5'!G112+'F5.1 (N)'!L59</f>
        <v>0</v>
      </c>
      <c r="H110" s="560">
        <f t="shared" si="19"/>
        <v>0</v>
      </c>
      <c r="I110" s="524">
        <f t="shared" si="20"/>
        <v>0</v>
      </c>
      <c r="J110" s="557">
        <f>'F5'!J112+'F5.1 (N)'!O59</f>
        <v>0</v>
      </c>
      <c r="K110" s="557">
        <f>'F5'!K112+'F5.1 (N)'!P59</f>
        <v>0</v>
      </c>
      <c r="L110" s="557">
        <f>'F5'!L112+'F5.1 (N)'!Q59</f>
        <v>0</v>
      </c>
      <c r="M110" s="524">
        <f t="shared" si="21"/>
        <v>0</v>
      </c>
      <c r="N110" s="524">
        <f t="shared" si="22"/>
        <v>0</v>
      </c>
      <c r="O110" s="557">
        <f>'F5'!O112+'F5.1 (N)'!T59</f>
        <v>0</v>
      </c>
      <c r="P110" s="557">
        <f>'F5'!P112+'F5.1 (N)'!U59</f>
        <v>0</v>
      </c>
      <c r="Q110" s="557">
        <f>'F5'!Q112+'F5.1 (N)'!V59</f>
        <v>0</v>
      </c>
      <c r="R110" s="524">
        <f t="shared" si="23"/>
        <v>0</v>
      </c>
      <c r="S110" s="524">
        <f t="shared" si="24"/>
        <v>0</v>
      </c>
      <c r="T110" s="557">
        <f>'F5'!T112+'F5.1 (N)'!Y59</f>
        <v>0</v>
      </c>
      <c r="U110" s="557">
        <f>'F5'!U112+'F5.1 (N)'!Z59</f>
        <v>0</v>
      </c>
      <c r="V110" s="557">
        <f>'F5'!V112+'F5.1 (N)'!AA59</f>
        <v>0</v>
      </c>
      <c r="W110" s="524">
        <f t="shared" si="25"/>
        <v>0</v>
      </c>
    </row>
    <row r="111" spans="1:23" x14ac:dyDescent="0.3">
      <c r="A111" s="451"/>
      <c r="B111" s="70">
        <f t="shared" si="26"/>
        <v>17</v>
      </c>
      <c r="C111" s="304" t="s">
        <v>813</v>
      </c>
      <c r="D111" s="560">
        <f t="shared" si="18"/>
        <v>0</v>
      </c>
      <c r="E111" s="452">
        <f>'F5'!E113+'F5.1 (N)'!J60</f>
        <v>0</v>
      </c>
      <c r="F111" s="452">
        <f>'F5'!F113+'F5.1 (N)'!K60</f>
        <v>0</v>
      </c>
      <c r="G111" s="452">
        <f>'F5'!G113+'F5.1 (N)'!L60</f>
        <v>0</v>
      </c>
      <c r="H111" s="560">
        <f t="shared" si="19"/>
        <v>0</v>
      </c>
      <c r="I111" s="524">
        <f t="shared" si="20"/>
        <v>0</v>
      </c>
      <c r="J111" s="557">
        <f>'F5'!J113+'F5.1 (N)'!O60</f>
        <v>0</v>
      </c>
      <c r="K111" s="557">
        <f>'F5'!K113+'F5.1 (N)'!P60</f>
        <v>0</v>
      </c>
      <c r="L111" s="557">
        <f>'F5'!L113+'F5.1 (N)'!Q60</f>
        <v>0</v>
      </c>
      <c r="M111" s="524">
        <f t="shared" si="21"/>
        <v>0</v>
      </c>
      <c r="N111" s="524">
        <f t="shared" si="22"/>
        <v>0</v>
      </c>
      <c r="O111" s="557">
        <f>'F5'!O113+'F5.1 (N)'!T60</f>
        <v>0</v>
      </c>
      <c r="P111" s="557">
        <f>'F5'!P113+'F5.1 (N)'!U60</f>
        <v>0</v>
      </c>
      <c r="Q111" s="557">
        <f>'F5'!Q113+'F5.1 (N)'!V60</f>
        <v>0</v>
      </c>
      <c r="R111" s="524">
        <f t="shared" si="23"/>
        <v>0</v>
      </c>
      <c r="S111" s="524">
        <f t="shared" si="24"/>
        <v>0</v>
      </c>
      <c r="T111" s="557">
        <f>'F5'!T113+'F5.1 (N)'!Y60</f>
        <v>0</v>
      </c>
      <c r="U111" s="557">
        <f>'F5'!U113+'F5.1 (N)'!Z60</f>
        <v>0</v>
      </c>
      <c r="V111" s="557">
        <f>'F5'!V113+'F5.1 (N)'!AA60</f>
        <v>0</v>
      </c>
      <c r="W111" s="524">
        <f t="shared" si="25"/>
        <v>0</v>
      </c>
    </row>
    <row r="112" spans="1:23" ht="16" x14ac:dyDescent="0.3">
      <c r="B112" s="61"/>
      <c r="C112" s="71" t="s">
        <v>267</v>
      </c>
      <c r="D112" s="1051">
        <f t="shared" ref="D112:W112" si="27">SUM(D95:D111)</f>
        <v>337.65056217150436</v>
      </c>
      <c r="E112" s="561">
        <f t="shared" si="27"/>
        <v>326.73584480546248</v>
      </c>
      <c r="F112" s="561">
        <f t="shared" si="27"/>
        <v>0</v>
      </c>
      <c r="G112" s="561">
        <f t="shared" si="27"/>
        <v>0</v>
      </c>
      <c r="H112" s="561">
        <f t="shared" si="27"/>
        <v>664.38640697696678</v>
      </c>
      <c r="I112" s="561">
        <f t="shared" si="27"/>
        <v>664.38640697696678</v>
      </c>
      <c r="J112" s="561">
        <f t="shared" si="27"/>
        <v>345.0543376275196</v>
      </c>
      <c r="K112" s="561">
        <f t="shared" si="27"/>
        <v>0</v>
      </c>
      <c r="L112" s="561">
        <f t="shared" si="27"/>
        <v>0</v>
      </c>
      <c r="M112" s="561">
        <f t="shared" si="27"/>
        <v>1009.4407446044864</v>
      </c>
      <c r="N112" s="561">
        <f t="shared" si="27"/>
        <v>1009.4407446044864</v>
      </c>
      <c r="O112" s="561">
        <f t="shared" si="27"/>
        <v>348.34087362751956</v>
      </c>
      <c r="P112" s="561">
        <f t="shared" si="27"/>
        <v>0</v>
      </c>
      <c r="Q112" s="561">
        <f t="shared" si="27"/>
        <v>0</v>
      </c>
      <c r="R112" s="561">
        <f t="shared" si="27"/>
        <v>1357.7816182320062</v>
      </c>
      <c r="S112" s="561">
        <f t="shared" si="27"/>
        <v>1357.7816182320062</v>
      </c>
      <c r="T112" s="561">
        <f t="shared" si="27"/>
        <v>348.21379814504479</v>
      </c>
      <c r="U112" s="561">
        <f t="shared" si="27"/>
        <v>0</v>
      </c>
      <c r="V112" s="561">
        <f t="shared" si="27"/>
        <v>0</v>
      </c>
      <c r="W112" s="561">
        <f t="shared" si="27"/>
        <v>1705.995416377051</v>
      </c>
    </row>
    <row r="113" spans="2:23" ht="16" x14ac:dyDescent="0.3">
      <c r="B113" s="34"/>
      <c r="C113" s="41"/>
      <c r="D113" s="1052">
        <f>'F5'!D114+'F5.1 (N)'!I61-D112</f>
        <v>0</v>
      </c>
      <c r="E113" s="1052">
        <f>'F5'!E114+'F5.1 (N)'!J61-E112</f>
        <v>0</v>
      </c>
      <c r="F113" s="1052">
        <f>'F5'!F114+'F5.1 (N)'!K61-F112</f>
        <v>0</v>
      </c>
      <c r="G113" s="1052">
        <f>'F5'!G114+'F5.1 (N)'!L61-G112</f>
        <v>0</v>
      </c>
      <c r="H113" s="1052">
        <f>'F5'!H114+'F5.1 (N)'!M61-H112</f>
        <v>0</v>
      </c>
      <c r="I113" s="1052">
        <f>'F5'!I114+'F5.1 (N)'!N61-I112</f>
        <v>0</v>
      </c>
      <c r="J113" s="1052">
        <f>'F5'!J114+'F5.1 (N)'!O61-J112</f>
        <v>0</v>
      </c>
      <c r="K113" s="1052">
        <f>'F5'!K114+'F5.1 (N)'!P61-K112</f>
        <v>0</v>
      </c>
      <c r="L113" s="1052">
        <f>'F5'!L114+'F5.1 (N)'!Q61-L112</f>
        <v>0</v>
      </c>
      <c r="M113" s="1052">
        <f>'F5'!M114+'F5.1 (N)'!R61-M112</f>
        <v>0</v>
      </c>
      <c r="N113" s="1052">
        <f>'F5'!N114+'F5.1 (N)'!S61-N112</f>
        <v>0</v>
      </c>
      <c r="O113" s="1052">
        <f>'F5'!O114+'F5.1 (N)'!T61-O112</f>
        <v>0</v>
      </c>
      <c r="P113" s="1052">
        <f>'F5'!P114+'F5.1 (N)'!U61-P112</f>
        <v>0</v>
      </c>
      <c r="Q113" s="1052">
        <f>'F5'!Q114+'F5.1 (N)'!V61-Q112</f>
        <v>0</v>
      </c>
      <c r="R113" s="1052">
        <f>'F5'!R114+'F5.1 (N)'!W61-R112</f>
        <v>0</v>
      </c>
      <c r="S113" s="1052">
        <f>'F5'!S114+'F5.1 (N)'!X61-S112</f>
        <v>0</v>
      </c>
      <c r="T113" s="1052">
        <f>'F5'!T114+'F5.1 (N)'!Y61-T112</f>
        <v>0</v>
      </c>
      <c r="U113" s="1052">
        <f>'F5'!U114+'F5.1 (N)'!Z61-U112</f>
        <v>0</v>
      </c>
      <c r="V113" s="1052">
        <f>'F5'!V114+'F5.1 (N)'!AA61-V112</f>
        <v>0</v>
      </c>
      <c r="W113" s="1052">
        <f>'F5'!W114+'F5.1 (N)'!AB61-W112</f>
        <v>0</v>
      </c>
    </row>
    <row r="115" spans="2:23" x14ac:dyDescent="0.3">
      <c r="B115" s="42" t="s">
        <v>328</v>
      </c>
    </row>
    <row r="116" spans="2:23" x14ac:dyDescent="0.3">
      <c r="B116" s="42"/>
    </row>
    <row r="117" spans="2:23" x14ac:dyDescent="0.3">
      <c r="D117" s="6"/>
      <c r="E117" s="6"/>
      <c r="F117" s="6"/>
      <c r="G117" s="6"/>
      <c r="H117" s="6"/>
      <c r="J117" s="4"/>
      <c r="M117" s="50" t="s">
        <v>10</v>
      </c>
    </row>
    <row r="118" spans="2:23" ht="15" customHeight="1" x14ac:dyDescent="0.3">
      <c r="B118" s="1481" t="s">
        <v>327</v>
      </c>
      <c r="C118" s="1481" t="s">
        <v>35</v>
      </c>
      <c r="D118" s="1579" t="s">
        <v>477</v>
      </c>
      <c r="E118" s="1580"/>
      <c r="F118" s="1580"/>
      <c r="G118" s="1580"/>
      <c r="H118" s="1581"/>
      <c r="I118" s="1570" t="s">
        <v>849</v>
      </c>
      <c r="J118" s="1570"/>
      <c r="K118" s="1570"/>
      <c r="L118" s="1570"/>
      <c r="M118" s="1570"/>
    </row>
    <row r="119" spans="2:23" x14ac:dyDescent="0.3">
      <c r="B119" s="1481"/>
      <c r="C119" s="1481"/>
      <c r="D119" s="1571" t="s">
        <v>7</v>
      </c>
      <c r="E119" s="1572"/>
      <c r="F119" s="1572"/>
      <c r="G119" s="1572"/>
      <c r="H119" s="1572"/>
      <c r="I119" s="1573" t="s">
        <v>20</v>
      </c>
      <c r="J119" s="1574"/>
      <c r="K119" s="1574"/>
      <c r="L119" s="1574"/>
      <c r="M119" s="1574"/>
    </row>
    <row r="120" spans="2:23" ht="42" x14ac:dyDescent="0.3">
      <c r="B120" s="1481"/>
      <c r="C120" s="1481"/>
      <c r="D120" s="250" t="s">
        <v>263</v>
      </c>
      <c r="E120" s="250" t="s">
        <v>264</v>
      </c>
      <c r="F120" s="181" t="s">
        <v>270</v>
      </c>
      <c r="G120" s="64" t="s">
        <v>548</v>
      </c>
      <c r="H120" s="250" t="s">
        <v>266</v>
      </c>
      <c r="I120" s="250" t="s">
        <v>263</v>
      </c>
      <c r="J120" s="250" t="s">
        <v>264</v>
      </c>
      <c r="K120" s="181" t="s">
        <v>270</v>
      </c>
      <c r="L120" s="64" t="s">
        <v>548</v>
      </c>
      <c r="M120" s="250" t="s">
        <v>266</v>
      </c>
    </row>
    <row r="121" spans="2:23" x14ac:dyDescent="0.3">
      <c r="B121" s="179"/>
      <c r="C121" s="179"/>
      <c r="D121" s="179" t="s">
        <v>78</v>
      </c>
      <c r="E121" s="179" t="s">
        <v>79</v>
      </c>
      <c r="F121" s="179" t="s">
        <v>435</v>
      </c>
      <c r="G121" s="179" t="s">
        <v>378</v>
      </c>
      <c r="H121" s="179" t="s">
        <v>549</v>
      </c>
      <c r="I121" s="179" t="s">
        <v>610</v>
      </c>
      <c r="J121" s="179" t="s">
        <v>611</v>
      </c>
      <c r="K121" s="179" t="s">
        <v>612</v>
      </c>
      <c r="L121" s="179" t="s">
        <v>613</v>
      </c>
      <c r="M121" s="179" t="s">
        <v>614</v>
      </c>
    </row>
    <row r="122" spans="2:23" x14ac:dyDescent="0.3">
      <c r="B122" s="70">
        <v>1</v>
      </c>
      <c r="C122" s="304" t="s">
        <v>755</v>
      </c>
      <c r="D122" s="452">
        <f>D14-D68</f>
        <v>0</v>
      </c>
      <c r="E122" s="452">
        <f>E14-E68</f>
        <v>31.731225228927713</v>
      </c>
      <c r="F122" s="452">
        <f>F14-F68</f>
        <v>0</v>
      </c>
      <c r="G122" s="452">
        <f>G14-G68</f>
        <v>0</v>
      </c>
      <c r="H122" s="452">
        <f>D122+E122-F122-G122</f>
        <v>31.731225228927713</v>
      </c>
      <c r="I122" s="452">
        <f t="shared" ref="I122:L138" si="28">I14-I68</f>
        <v>31.731225228927713</v>
      </c>
      <c r="J122" s="452">
        <f t="shared" si="28"/>
        <v>0</v>
      </c>
      <c r="K122" s="452">
        <f t="shared" si="28"/>
        <v>0</v>
      </c>
      <c r="L122" s="452">
        <f t="shared" si="28"/>
        <v>0</v>
      </c>
      <c r="M122" s="560">
        <f>I122+J122-K122-L122</f>
        <v>31.731225228927713</v>
      </c>
    </row>
    <row r="123" spans="2:23" x14ac:dyDescent="0.3">
      <c r="B123" s="70">
        <f>B122+1</f>
        <v>2</v>
      </c>
      <c r="C123" s="304" t="s">
        <v>756</v>
      </c>
      <c r="D123" s="452">
        <f t="shared" ref="D123:G138" si="29">D15-D69</f>
        <v>0</v>
      </c>
      <c r="E123" s="452">
        <f t="shared" si="29"/>
        <v>187.89064912093102</v>
      </c>
      <c r="F123" s="452">
        <f t="shared" si="29"/>
        <v>0</v>
      </c>
      <c r="G123" s="452">
        <f t="shared" si="29"/>
        <v>0</v>
      </c>
      <c r="H123" s="452">
        <f t="shared" ref="H123:H138" si="30">D123+E123-F123-G123</f>
        <v>187.89064912093102</v>
      </c>
      <c r="I123" s="452">
        <f t="shared" si="28"/>
        <v>187.89064912093102</v>
      </c>
      <c r="J123" s="658">
        <f t="shared" si="28"/>
        <v>-6.2974455378353174</v>
      </c>
      <c r="K123" s="452">
        <f t="shared" si="28"/>
        <v>0</v>
      </c>
      <c r="L123" s="452">
        <f t="shared" si="28"/>
        <v>0</v>
      </c>
      <c r="M123" s="560">
        <f t="shared" ref="M123:M138" si="31">I123+J123-K123-L123</f>
        <v>181.59320358309569</v>
      </c>
    </row>
    <row r="124" spans="2:23" x14ac:dyDescent="0.3">
      <c r="B124" s="70">
        <f t="shared" ref="B124:B138" si="32">B123+1</f>
        <v>3</v>
      </c>
      <c r="C124" s="304" t="s">
        <v>757</v>
      </c>
      <c r="D124" s="452">
        <f t="shared" si="29"/>
        <v>0</v>
      </c>
      <c r="E124" s="452">
        <f t="shared" si="29"/>
        <v>0</v>
      </c>
      <c r="F124" s="452">
        <f t="shared" si="29"/>
        <v>0</v>
      </c>
      <c r="G124" s="452">
        <f t="shared" si="29"/>
        <v>0</v>
      </c>
      <c r="H124" s="452">
        <f t="shared" si="30"/>
        <v>0</v>
      </c>
      <c r="I124" s="452">
        <f t="shared" si="28"/>
        <v>0</v>
      </c>
      <c r="J124" s="452">
        <f t="shared" si="28"/>
        <v>0</v>
      </c>
      <c r="K124" s="452">
        <f t="shared" si="28"/>
        <v>0</v>
      </c>
      <c r="L124" s="452">
        <f t="shared" si="28"/>
        <v>0</v>
      </c>
      <c r="M124" s="560">
        <f t="shared" si="31"/>
        <v>0</v>
      </c>
    </row>
    <row r="125" spans="2:23" x14ac:dyDescent="0.3">
      <c r="B125" s="70">
        <f t="shared" si="32"/>
        <v>4</v>
      </c>
      <c r="C125" s="304" t="s">
        <v>758</v>
      </c>
      <c r="D125" s="452">
        <f t="shared" si="29"/>
        <v>0</v>
      </c>
      <c r="E125" s="452">
        <f t="shared" si="29"/>
        <v>0</v>
      </c>
      <c r="F125" s="452">
        <f t="shared" si="29"/>
        <v>0</v>
      </c>
      <c r="G125" s="452">
        <f t="shared" si="29"/>
        <v>0</v>
      </c>
      <c r="H125" s="452">
        <f t="shared" si="30"/>
        <v>0</v>
      </c>
      <c r="I125" s="452">
        <f t="shared" si="28"/>
        <v>0</v>
      </c>
      <c r="J125" s="452">
        <f t="shared" si="28"/>
        <v>0</v>
      </c>
      <c r="K125" s="452">
        <f t="shared" si="28"/>
        <v>0</v>
      </c>
      <c r="L125" s="452">
        <f t="shared" si="28"/>
        <v>0</v>
      </c>
      <c r="M125" s="560">
        <f t="shared" si="31"/>
        <v>0</v>
      </c>
    </row>
    <row r="126" spans="2:23" x14ac:dyDescent="0.3">
      <c r="B126" s="70">
        <f t="shared" si="32"/>
        <v>5</v>
      </c>
      <c r="C126" s="304" t="s">
        <v>759</v>
      </c>
      <c r="D126" s="452">
        <f t="shared" si="29"/>
        <v>0</v>
      </c>
      <c r="E126" s="452">
        <f t="shared" si="29"/>
        <v>173.27523769404752</v>
      </c>
      <c r="F126" s="452">
        <f t="shared" si="29"/>
        <v>0</v>
      </c>
      <c r="G126" s="452">
        <f t="shared" si="29"/>
        <v>0</v>
      </c>
      <c r="H126" s="452">
        <f t="shared" si="30"/>
        <v>173.27523769404752</v>
      </c>
      <c r="I126" s="452">
        <f t="shared" si="28"/>
        <v>173.27523769404752</v>
      </c>
      <c r="J126" s="452">
        <f t="shared" si="28"/>
        <v>-5.8075874320462635</v>
      </c>
      <c r="K126" s="452">
        <f t="shared" si="28"/>
        <v>0</v>
      </c>
      <c r="L126" s="452">
        <f t="shared" si="28"/>
        <v>0</v>
      </c>
      <c r="M126" s="560">
        <f t="shared" si="31"/>
        <v>167.46765026200126</v>
      </c>
    </row>
    <row r="127" spans="2:23" x14ac:dyDescent="0.3">
      <c r="B127" s="70">
        <f t="shared" si="32"/>
        <v>6</v>
      </c>
      <c r="C127" s="304" t="s">
        <v>251</v>
      </c>
      <c r="D127" s="452">
        <f t="shared" si="29"/>
        <v>0</v>
      </c>
      <c r="E127" s="452">
        <f t="shared" si="29"/>
        <v>5395.1739366242364</v>
      </c>
      <c r="F127" s="452">
        <f t="shared" si="29"/>
        <v>0</v>
      </c>
      <c r="G127" s="452">
        <f t="shared" si="29"/>
        <v>0</v>
      </c>
      <c r="H127" s="452">
        <f t="shared" si="30"/>
        <v>5395.1739366242364</v>
      </c>
      <c r="I127" s="452">
        <f t="shared" si="28"/>
        <v>5395.1739366242364</v>
      </c>
      <c r="J127" s="452">
        <f t="shared" si="28"/>
        <v>-53.444602998132268</v>
      </c>
      <c r="K127" s="452">
        <f t="shared" si="28"/>
        <v>0</v>
      </c>
      <c r="L127" s="452">
        <f t="shared" si="28"/>
        <v>0</v>
      </c>
      <c r="M127" s="560">
        <f t="shared" si="31"/>
        <v>5341.7293336261046</v>
      </c>
    </row>
    <row r="128" spans="2:23" x14ac:dyDescent="0.3">
      <c r="B128" s="70">
        <f t="shared" si="32"/>
        <v>7</v>
      </c>
      <c r="C128" s="304" t="s">
        <v>760</v>
      </c>
      <c r="D128" s="452">
        <f t="shared" si="29"/>
        <v>0</v>
      </c>
      <c r="E128" s="452">
        <f t="shared" si="29"/>
        <v>5.9823694610994593</v>
      </c>
      <c r="F128" s="452">
        <f t="shared" si="29"/>
        <v>0</v>
      </c>
      <c r="G128" s="452">
        <f t="shared" si="29"/>
        <v>0</v>
      </c>
      <c r="H128" s="452">
        <f t="shared" si="30"/>
        <v>5.9823694610994593</v>
      </c>
      <c r="I128" s="452">
        <f t="shared" si="28"/>
        <v>5.9823694610994593</v>
      </c>
      <c r="J128" s="452">
        <f t="shared" si="28"/>
        <v>-1.0973913155970361</v>
      </c>
      <c r="K128" s="452">
        <f t="shared" si="28"/>
        <v>0</v>
      </c>
      <c r="L128" s="452">
        <f t="shared" si="28"/>
        <v>0</v>
      </c>
      <c r="M128" s="560">
        <f t="shared" si="31"/>
        <v>4.8849781455024228</v>
      </c>
    </row>
    <row r="129" spans="2:33" x14ac:dyDescent="0.3">
      <c r="B129" s="70">
        <f t="shared" si="32"/>
        <v>8</v>
      </c>
      <c r="C129" s="304" t="s">
        <v>761</v>
      </c>
      <c r="D129" s="452">
        <f t="shared" si="29"/>
        <v>0</v>
      </c>
      <c r="E129" s="452">
        <f t="shared" si="29"/>
        <v>0</v>
      </c>
      <c r="F129" s="452">
        <f t="shared" si="29"/>
        <v>0</v>
      </c>
      <c r="G129" s="452">
        <f t="shared" si="29"/>
        <v>0</v>
      </c>
      <c r="H129" s="452">
        <f t="shared" si="30"/>
        <v>0</v>
      </c>
      <c r="I129" s="452">
        <f t="shared" si="28"/>
        <v>0</v>
      </c>
      <c r="J129" s="452">
        <f t="shared" si="28"/>
        <v>0</v>
      </c>
      <c r="K129" s="452">
        <f t="shared" si="28"/>
        <v>0</v>
      </c>
      <c r="L129" s="452">
        <f t="shared" si="28"/>
        <v>0</v>
      </c>
      <c r="M129" s="560">
        <f t="shared" si="31"/>
        <v>0</v>
      </c>
    </row>
    <row r="130" spans="2:33" x14ac:dyDescent="0.3">
      <c r="B130" s="70">
        <f t="shared" si="32"/>
        <v>9</v>
      </c>
      <c r="C130" s="304" t="s">
        <v>762</v>
      </c>
      <c r="D130" s="452">
        <f t="shared" si="29"/>
        <v>0</v>
      </c>
      <c r="E130" s="452">
        <f t="shared" si="29"/>
        <v>0</v>
      </c>
      <c r="F130" s="452">
        <f t="shared" si="29"/>
        <v>0</v>
      </c>
      <c r="G130" s="452">
        <f t="shared" si="29"/>
        <v>0</v>
      </c>
      <c r="H130" s="452">
        <f t="shared" si="30"/>
        <v>0</v>
      </c>
      <c r="I130" s="452">
        <f t="shared" si="28"/>
        <v>0</v>
      </c>
      <c r="J130" s="452">
        <f t="shared" si="28"/>
        <v>0</v>
      </c>
      <c r="K130" s="452">
        <f t="shared" si="28"/>
        <v>0</v>
      </c>
      <c r="L130" s="452">
        <f t="shared" si="28"/>
        <v>0</v>
      </c>
      <c r="M130" s="560">
        <f t="shared" si="31"/>
        <v>0</v>
      </c>
    </row>
    <row r="131" spans="2:33" x14ac:dyDescent="0.3">
      <c r="B131" s="70">
        <f t="shared" si="32"/>
        <v>10</v>
      </c>
      <c r="C131" s="304" t="s">
        <v>254</v>
      </c>
      <c r="D131" s="452">
        <f t="shared" si="29"/>
        <v>0</v>
      </c>
      <c r="E131" s="452">
        <f t="shared" si="29"/>
        <v>0</v>
      </c>
      <c r="F131" s="452">
        <f t="shared" si="29"/>
        <v>0</v>
      </c>
      <c r="G131" s="452">
        <f t="shared" si="29"/>
        <v>0</v>
      </c>
      <c r="H131" s="452">
        <f t="shared" si="30"/>
        <v>0</v>
      </c>
      <c r="I131" s="452">
        <f t="shared" si="28"/>
        <v>0</v>
      </c>
      <c r="J131" s="452">
        <f t="shared" si="28"/>
        <v>0</v>
      </c>
      <c r="K131" s="452">
        <f t="shared" si="28"/>
        <v>0</v>
      </c>
      <c r="L131" s="452">
        <f t="shared" si="28"/>
        <v>0</v>
      </c>
      <c r="M131" s="560">
        <f t="shared" si="31"/>
        <v>0</v>
      </c>
    </row>
    <row r="132" spans="2:33" x14ac:dyDescent="0.3">
      <c r="B132" s="70">
        <f t="shared" si="32"/>
        <v>11</v>
      </c>
      <c r="C132" s="304" t="s">
        <v>255</v>
      </c>
      <c r="D132" s="452">
        <f t="shared" si="29"/>
        <v>0</v>
      </c>
      <c r="E132" s="452">
        <f t="shared" si="29"/>
        <v>0</v>
      </c>
      <c r="F132" s="452">
        <f t="shared" si="29"/>
        <v>0</v>
      </c>
      <c r="G132" s="452">
        <f t="shared" si="29"/>
        <v>0</v>
      </c>
      <c r="H132" s="452">
        <f t="shared" si="30"/>
        <v>0</v>
      </c>
      <c r="I132" s="452">
        <f t="shared" si="28"/>
        <v>0</v>
      </c>
      <c r="J132" s="452">
        <f t="shared" si="28"/>
        <v>0</v>
      </c>
      <c r="K132" s="452">
        <f t="shared" si="28"/>
        <v>0</v>
      </c>
      <c r="L132" s="452">
        <f t="shared" si="28"/>
        <v>0</v>
      </c>
      <c r="M132" s="560">
        <f t="shared" si="31"/>
        <v>0</v>
      </c>
    </row>
    <row r="133" spans="2:33" x14ac:dyDescent="0.3">
      <c r="B133" s="70">
        <f t="shared" si="32"/>
        <v>12</v>
      </c>
      <c r="C133" s="304" t="s">
        <v>256</v>
      </c>
      <c r="D133" s="452">
        <f t="shared" si="29"/>
        <v>0</v>
      </c>
      <c r="E133" s="452">
        <f t="shared" si="29"/>
        <v>0</v>
      </c>
      <c r="F133" s="452">
        <f t="shared" si="29"/>
        <v>0</v>
      </c>
      <c r="G133" s="452">
        <f t="shared" si="29"/>
        <v>0</v>
      </c>
      <c r="H133" s="452">
        <f t="shared" si="30"/>
        <v>0</v>
      </c>
      <c r="I133" s="452">
        <f t="shared" si="28"/>
        <v>0</v>
      </c>
      <c r="J133" s="452">
        <f t="shared" si="28"/>
        <v>0</v>
      </c>
      <c r="K133" s="452">
        <f t="shared" si="28"/>
        <v>0</v>
      </c>
      <c r="L133" s="452">
        <f t="shared" si="28"/>
        <v>0</v>
      </c>
      <c r="M133" s="560">
        <f t="shared" si="31"/>
        <v>0</v>
      </c>
    </row>
    <row r="134" spans="2:33" x14ac:dyDescent="0.3">
      <c r="B134" s="70">
        <f t="shared" si="32"/>
        <v>13</v>
      </c>
      <c r="C134" s="304" t="s">
        <v>810</v>
      </c>
      <c r="D134" s="452">
        <f t="shared" si="29"/>
        <v>0</v>
      </c>
      <c r="E134" s="452">
        <f t="shared" si="29"/>
        <v>0</v>
      </c>
      <c r="F134" s="452">
        <f t="shared" si="29"/>
        <v>0</v>
      </c>
      <c r="G134" s="452">
        <f t="shared" si="29"/>
        <v>0</v>
      </c>
      <c r="H134" s="452">
        <f t="shared" si="30"/>
        <v>0</v>
      </c>
      <c r="I134" s="452">
        <f t="shared" si="28"/>
        <v>0</v>
      </c>
      <c r="J134" s="452">
        <f t="shared" si="28"/>
        <v>0</v>
      </c>
      <c r="K134" s="452">
        <f t="shared" si="28"/>
        <v>0</v>
      </c>
      <c r="L134" s="452">
        <f t="shared" si="28"/>
        <v>0</v>
      </c>
      <c r="M134" s="560">
        <f t="shared" si="31"/>
        <v>0</v>
      </c>
    </row>
    <row r="135" spans="2:33" x14ac:dyDescent="0.3">
      <c r="B135" s="70">
        <f t="shared" si="32"/>
        <v>14</v>
      </c>
      <c r="C135" s="304" t="s">
        <v>811</v>
      </c>
      <c r="D135" s="452">
        <f t="shared" si="29"/>
        <v>0</v>
      </c>
      <c r="E135" s="452">
        <f t="shared" si="29"/>
        <v>10.642954317701669</v>
      </c>
      <c r="F135" s="452">
        <f t="shared" si="29"/>
        <v>0</v>
      </c>
      <c r="G135" s="452">
        <f t="shared" si="29"/>
        <v>0</v>
      </c>
      <c r="H135" s="452">
        <f t="shared" si="30"/>
        <v>10.642954317701669</v>
      </c>
      <c r="I135" s="452">
        <f t="shared" si="28"/>
        <v>10.642954317701669</v>
      </c>
      <c r="J135" s="452">
        <f t="shared" si="28"/>
        <v>-1.6217694096692634</v>
      </c>
      <c r="K135" s="452">
        <f t="shared" si="28"/>
        <v>0</v>
      </c>
      <c r="L135" s="452">
        <f t="shared" si="28"/>
        <v>0</v>
      </c>
      <c r="M135" s="560">
        <f t="shared" si="31"/>
        <v>9.0211849080324065</v>
      </c>
    </row>
    <row r="136" spans="2:33" x14ac:dyDescent="0.3">
      <c r="B136" s="70">
        <f t="shared" si="32"/>
        <v>15</v>
      </c>
      <c r="C136" s="304" t="s">
        <v>812</v>
      </c>
      <c r="D136" s="452">
        <f t="shared" si="29"/>
        <v>0</v>
      </c>
      <c r="E136" s="452">
        <f t="shared" si="29"/>
        <v>0</v>
      </c>
      <c r="F136" s="452">
        <f t="shared" si="29"/>
        <v>0</v>
      </c>
      <c r="G136" s="452">
        <f t="shared" si="29"/>
        <v>0</v>
      </c>
      <c r="H136" s="452">
        <f t="shared" si="30"/>
        <v>0</v>
      </c>
      <c r="I136" s="452">
        <f t="shared" si="28"/>
        <v>0</v>
      </c>
      <c r="J136" s="452">
        <f t="shared" si="28"/>
        <v>0</v>
      </c>
      <c r="K136" s="452">
        <f t="shared" si="28"/>
        <v>0</v>
      </c>
      <c r="L136" s="452">
        <f t="shared" si="28"/>
        <v>0</v>
      </c>
      <c r="M136" s="560">
        <f t="shared" si="31"/>
        <v>0</v>
      </c>
    </row>
    <row r="137" spans="2:33" x14ac:dyDescent="0.3">
      <c r="B137" s="70">
        <f t="shared" si="32"/>
        <v>16</v>
      </c>
      <c r="C137" s="304" t="s">
        <v>763</v>
      </c>
      <c r="D137" s="452">
        <f t="shared" si="29"/>
        <v>0</v>
      </c>
      <c r="E137" s="452">
        <f t="shared" si="29"/>
        <v>0</v>
      </c>
      <c r="F137" s="452">
        <f t="shared" si="29"/>
        <v>0</v>
      </c>
      <c r="G137" s="452">
        <f t="shared" si="29"/>
        <v>0</v>
      </c>
      <c r="H137" s="452">
        <f t="shared" si="30"/>
        <v>0</v>
      </c>
      <c r="I137" s="452">
        <f t="shared" si="28"/>
        <v>0</v>
      </c>
      <c r="J137" s="452">
        <f t="shared" si="28"/>
        <v>0</v>
      </c>
      <c r="K137" s="452">
        <f t="shared" si="28"/>
        <v>0</v>
      </c>
      <c r="L137" s="452">
        <f t="shared" si="28"/>
        <v>0</v>
      </c>
      <c r="M137" s="560">
        <f t="shared" si="31"/>
        <v>0</v>
      </c>
    </row>
    <row r="138" spans="2:33" x14ac:dyDescent="0.3">
      <c r="B138" s="70">
        <f t="shared" si="32"/>
        <v>17</v>
      </c>
      <c r="C138" s="304" t="s">
        <v>813</v>
      </c>
      <c r="D138" s="452">
        <f t="shared" si="29"/>
        <v>0</v>
      </c>
      <c r="E138" s="452">
        <f t="shared" si="29"/>
        <v>0</v>
      </c>
      <c r="F138" s="452">
        <f t="shared" si="29"/>
        <v>0</v>
      </c>
      <c r="G138" s="452">
        <f t="shared" si="29"/>
        <v>0</v>
      </c>
      <c r="H138" s="452">
        <f t="shared" si="30"/>
        <v>0</v>
      </c>
      <c r="I138" s="452">
        <f t="shared" si="28"/>
        <v>0</v>
      </c>
      <c r="J138" s="452">
        <f t="shared" si="28"/>
        <v>0</v>
      </c>
      <c r="K138" s="452">
        <f t="shared" si="28"/>
        <v>0</v>
      </c>
      <c r="L138" s="452">
        <f t="shared" si="28"/>
        <v>0</v>
      </c>
      <c r="M138" s="560">
        <f t="shared" si="31"/>
        <v>0</v>
      </c>
    </row>
    <row r="139" spans="2:33" ht="16" x14ac:dyDescent="0.3">
      <c r="B139" s="61"/>
      <c r="C139" s="71" t="s">
        <v>267</v>
      </c>
      <c r="D139" s="561">
        <f>SUM(D122:D137)</f>
        <v>0</v>
      </c>
      <c r="E139" s="561">
        <f t="shared" ref="E139:M139" si="33">SUM(E122:E137)</f>
        <v>5804.6963724469442</v>
      </c>
      <c r="F139" s="561">
        <f t="shared" si="33"/>
        <v>0</v>
      </c>
      <c r="G139" s="561">
        <f t="shared" si="33"/>
        <v>0</v>
      </c>
      <c r="H139" s="561">
        <f t="shared" si="33"/>
        <v>5804.6963724469442</v>
      </c>
      <c r="I139" s="561">
        <f t="shared" si="33"/>
        <v>5804.6963724469442</v>
      </c>
      <c r="J139" s="561">
        <f t="shared" si="33"/>
        <v>-68.268796693280152</v>
      </c>
      <c r="K139" s="561">
        <f t="shared" si="33"/>
        <v>0</v>
      </c>
      <c r="L139" s="561">
        <f t="shared" si="33"/>
        <v>0</v>
      </c>
      <c r="M139" s="561">
        <f t="shared" si="33"/>
        <v>5736.4275757536643</v>
      </c>
    </row>
    <row r="140" spans="2:33" ht="16" x14ac:dyDescent="0.3">
      <c r="B140" s="34"/>
      <c r="C140" s="41"/>
      <c r="D140" s="41"/>
      <c r="E140" s="41"/>
      <c r="F140" s="41"/>
      <c r="G140" s="41"/>
      <c r="H140" s="41"/>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row>
    <row r="141" spans="2:33" ht="16" x14ac:dyDescent="0.3">
      <c r="B141" s="180" t="s">
        <v>560</v>
      </c>
      <c r="C141" s="183"/>
      <c r="D141" s="183"/>
      <c r="E141" s="183"/>
      <c r="F141" s="183"/>
      <c r="G141" s="41"/>
      <c r="H141" s="41"/>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row>
    <row r="142" spans="2:33" ht="16" x14ac:dyDescent="0.3">
      <c r="B142" s="34"/>
      <c r="C142" s="41"/>
      <c r="D142" s="41"/>
      <c r="E142" s="41"/>
      <c r="F142" s="41"/>
      <c r="G142" s="41"/>
      <c r="H142" s="41"/>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row>
    <row r="143" spans="2:33" ht="15" customHeight="1" x14ac:dyDescent="0.3">
      <c r="B143" s="34"/>
      <c r="C143" s="41"/>
      <c r="D143" s="6"/>
      <c r="E143" s="6"/>
      <c r="F143" s="6"/>
      <c r="G143" s="6"/>
      <c r="H143" s="6"/>
      <c r="J143" s="4"/>
      <c r="M143" s="4"/>
      <c r="N143" s="4"/>
      <c r="AG143" s="50" t="s">
        <v>10</v>
      </c>
    </row>
    <row r="144" spans="2:33" ht="13.75" customHeight="1" x14ac:dyDescent="0.3">
      <c r="B144" s="1481" t="s">
        <v>327</v>
      </c>
      <c r="C144" s="1481" t="s">
        <v>35</v>
      </c>
      <c r="D144" s="1576" t="s">
        <v>850</v>
      </c>
      <c r="E144" s="1577"/>
      <c r="F144" s="1577"/>
      <c r="G144" s="1577"/>
      <c r="H144" s="1578"/>
      <c r="I144" s="1576" t="s">
        <v>851</v>
      </c>
      <c r="J144" s="1577"/>
      <c r="K144" s="1577"/>
      <c r="L144" s="1577"/>
      <c r="M144" s="1578"/>
      <c r="N144" s="1570" t="s">
        <v>852</v>
      </c>
      <c r="O144" s="1570"/>
      <c r="P144" s="1570"/>
      <c r="Q144" s="1570"/>
      <c r="R144" s="1570"/>
      <c r="S144" s="1570" t="s">
        <v>853</v>
      </c>
      <c r="T144" s="1570"/>
      <c r="U144" s="1570"/>
      <c r="V144" s="1570"/>
      <c r="W144" s="1570"/>
    </row>
    <row r="145" spans="2:23" x14ac:dyDescent="0.3">
      <c r="B145" s="1481"/>
      <c r="C145" s="1481"/>
      <c r="D145" s="1579" t="s">
        <v>20</v>
      </c>
      <c r="E145" s="1580"/>
      <c r="F145" s="1580"/>
      <c r="G145" s="1580"/>
      <c r="H145" s="1581"/>
      <c r="I145" s="1579" t="s">
        <v>20</v>
      </c>
      <c r="J145" s="1580"/>
      <c r="K145" s="1580"/>
      <c r="L145" s="1580"/>
      <c r="M145" s="1581"/>
      <c r="N145" s="1573" t="s">
        <v>20</v>
      </c>
      <c r="O145" s="1574"/>
      <c r="P145" s="1574"/>
      <c r="Q145" s="1574"/>
      <c r="R145" s="1574"/>
      <c r="S145" s="1573" t="s">
        <v>20</v>
      </c>
      <c r="T145" s="1574"/>
      <c r="U145" s="1574"/>
      <c r="V145" s="1574"/>
      <c r="W145" s="1574"/>
    </row>
    <row r="146" spans="2:23" ht="42" x14ac:dyDescent="0.3">
      <c r="B146" s="1481"/>
      <c r="C146" s="1481"/>
      <c r="D146" s="250" t="s">
        <v>263</v>
      </c>
      <c r="E146" s="250" t="s">
        <v>264</v>
      </c>
      <c r="F146" s="181" t="s">
        <v>270</v>
      </c>
      <c r="G146" s="64" t="s">
        <v>548</v>
      </c>
      <c r="H146" s="250" t="s">
        <v>266</v>
      </c>
      <c r="I146" s="250" t="s">
        <v>263</v>
      </c>
      <c r="J146" s="250" t="s">
        <v>264</v>
      </c>
      <c r="K146" s="250" t="s">
        <v>265</v>
      </c>
      <c r="L146" s="64" t="s">
        <v>548</v>
      </c>
      <c r="M146" s="250" t="s">
        <v>266</v>
      </c>
      <c r="N146" s="250" t="s">
        <v>263</v>
      </c>
      <c r="O146" s="250" t="s">
        <v>264</v>
      </c>
      <c r="P146" s="250" t="s">
        <v>265</v>
      </c>
      <c r="Q146" s="64" t="s">
        <v>548</v>
      </c>
      <c r="R146" s="250" t="s">
        <v>266</v>
      </c>
      <c r="S146" s="250" t="s">
        <v>263</v>
      </c>
      <c r="T146" s="250" t="s">
        <v>264</v>
      </c>
      <c r="U146" s="250" t="s">
        <v>265</v>
      </c>
      <c r="V146" s="64" t="s">
        <v>548</v>
      </c>
      <c r="W146" s="250" t="s">
        <v>266</v>
      </c>
    </row>
    <row r="147" spans="2:23" ht="28" x14ac:dyDescent="0.3">
      <c r="B147" s="179"/>
      <c r="C147" s="179"/>
      <c r="D147" s="179" t="s">
        <v>615</v>
      </c>
      <c r="E147" s="179" t="s">
        <v>616</v>
      </c>
      <c r="F147" s="179" t="s">
        <v>617</v>
      </c>
      <c r="G147" s="179" t="s">
        <v>618</v>
      </c>
      <c r="H147" s="179" t="s">
        <v>619</v>
      </c>
      <c r="I147" s="179" t="s">
        <v>615</v>
      </c>
      <c r="J147" s="179" t="s">
        <v>616</v>
      </c>
      <c r="K147" s="179" t="s">
        <v>617</v>
      </c>
      <c r="L147" s="179" t="s">
        <v>618</v>
      </c>
      <c r="M147" s="179" t="s">
        <v>619</v>
      </c>
      <c r="N147" s="179" t="s">
        <v>615</v>
      </c>
      <c r="O147" s="179" t="s">
        <v>616</v>
      </c>
      <c r="P147" s="179" t="s">
        <v>617</v>
      </c>
      <c r="Q147" s="179" t="s">
        <v>618</v>
      </c>
      <c r="R147" s="179" t="s">
        <v>619</v>
      </c>
      <c r="S147" s="179" t="s">
        <v>615</v>
      </c>
      <c r="T147" s="179" t="s">
        <v>616</v>
      </c>
      <c r="U147" s="179" t="s">
        <v>617</v>
      </c>
      <c r="V147" s="179" t="s">
        <v>618</v>
      </c>
      <c r="W147" s="179" t="s">
        <v>619</v>
      </c>
    </row>
    <row r="148" spans="2:23" x14ac:dyDescent="0.3">
      <c r="B148" s="70">
        <v>1</v>
      </c>
      <c r="C148" s="304" t="s">
        <v>755</v>
      </c>
      <c r="D148" s="452">
        <f t="shared" ref="D148:G163" si="34">D40-D95</f>
        <v>31.731225228927713</v>
      </c>
      <c r="E148" s="452">
        <f t="shared" si="34"/>
        <v>0</v>
      </c>
      <c r="F148" s="452">
        <f t="shared" si="34"/>
        <v>0</v>
      </c>
      <c r="G148" s="452">
        <f t="shared" si="34"/>
        <v>0</v>
      </c>
      <c r="H148" s="560">
        <f>D148+E148-F148-G148</f>
        <v>31.731225228927713</v>
      </c>
      <c r="I148" s="524">
        <f>H148</f>
        <v>31.731225228927713</v>
      </c>
      <c r="J148" s="557"/>
      <c r="K148" s="524"/>
      <c r="L148" s="557"/>
      <c r="M148" s="524">
        <f>I148+J148-K148-L148</f>
        <v>31.731225228927713</v>
      </c>
      <c r="N148" s="524">
        <f>M148</f>
        <v>31.731225228927713</v>
      </c>
      <c r="O148" s="557"/>
      <c r="P148" s="524"/>
      <c r="Q148" s="557"/>
      <c r="R148" s="524">
        <f>N148+O148-P148-Q148</f>
        <v>31.731225228927713</v>
      </c>
      <c r="S148" s="524">
        <f>R148</f>
        <v>31.731225228927713</v>
      </c>
      <c r="T148" s="557"/>
      <c r="U148" s="524"/>
      <c r="V148" s="557"/>
      <c r="W148" s="524">
        <f>S148+T148-U148-V148</f>
        <v>31.731225228927713</v>
      </c>
    </row>
    <row r="149" spans="2:23" x14ac:dyDescent="0.3">
      <c r="B149" s="70">
        <f>B148+1</f>
        <v>2</v>
      </c>
      <c r="C149" s="304" t="s">
        <v>756</v>
      </c>
      <c r="D149" s="452">
        <f t="shared" si="34"/>
        <v>181.59320358309571</v>
      </c>
      <c r="E149" s="452">
        <f t="shared" si="34"/>
        <v>-6.2974455378353174</v>
      </c>
      <c r="F149" s="452">
        <f t="shared" si="34"/>
        <v>0</v>
      </c>
      <c r="G149" s="452">
        <f t="shared" si="34"/>
        <v>0</v>
      </c>
      <c r="H149" s="560">
        <f t="shared" ref="H149:H164" si="35">D149+E149-F149-G149</f>
        <v>175.29575804526038</v>
      </c>
      <c r="I149" s="524">
        <f t="shared" ref="I149:I164" si="36">H149</f>
        <v>175.29575804526038</v>
      </c>
      <c r="J149" s="557"/>
      <c r="K149" s="524"/>
      <c r="L149" s="557"/>
      <c r="M149" s="524">
        <f t="shared" ref="M149:M164" si="37">I149+J149-K149-L149</f>
        <v>175.29575804526038</v>
      </c>
      <c r="N149" s="524">
        <f t="shared" ref="N149:N164" si="38">M149</f>
        <v>175.29575804526038</v>
      </c>
      <c r="O149" s="557"/>
      <c r="P149" s="524"/>
      <c r="Q149" s="557"/>
      <c r="R149" s="524">
        <f t="shared" ref="R149:R164" si="39">N149+O149-P149-Q149</f>
        <v>175.29575804526038</v>
      </c>
      <c r="S149" s="524">
        <f t="shared" ref="S149:S164" si="40">R149</f>
        <v>175.29575804526038</v>
      </c>
      <c r="T149" s="557"/>
      <c r="U149" s="524"/>
      <c r="V149" s="557"/>
      <c r="W149" s="524">
        <f t="shared" ref="W149:W164" si="41">S149+T149-U149-V149</f>
        <v>175.29575804526038</v>
      </c>
    </row>
    <row r="150" spans="2:23" x14ac:dyDescent="0.3">
      <c r="B150" s="70">
        <f t="shared" ref="B150:B164" si="42">B149+1</f>
        <v>3</v>
      </c>
      <c r="C150" s="304" t="s">
        <v>757</v>
      </c>
      <c r="D150" s="452">
        <f t="shared" si="34"/>
        <v>0</v>
      </c>
      <c r="E150" s="452">
        <f t="shared" si="34"/>
        <v>0</v>
      </c>
      <c r="F150" s="452">
        <f t="shared" si="34"/>
        <v>0</v>
      </c>
      <c r="G150" s="452">
        <f t="shared" si="34"/>
        <v>0</v>
      </c>
      <c r="H150" s="560">
        <f t="shared" si="35"/>
        <v>0</v>
      </c>
      <c r="I150" s="524">
        <f t="shared" si="36"/>
        <v>0</v>
      </c>
      <c r="J150" s="557"/>
      <c r="K150" s="524"/>
      <c r="L150" s="557"/>
      <c r="M150" s="524">
        <f t="shared" si="37"/>
        <v>0</v>
      </c>
      <c r="N150" s="524">
        <f t="shared" si="38"/>
        <v>0</v>
      </c>
      <c r="O150" s="557"/>
      <c r="P150" s="524"/>
      <c r="Q150" s="557"/>
      <c r="R150" s="524">
        <f t="shared" si="39"/>
        <v>0</v>
      </c>
      <c r="S150" s="524">
        <f t="shared" si="40"/>
        <v>0</v>
      </c>
      <c r="T150" s="557"/>
      <c r="U150" s="524"/>
      <c r="V150" s="557"/>
      <c r="W150" s="524">
        <f t="shared" si="41"/>
        <v>0</v>
      </c>
    </row>
    <row r="151" spans="2:23" x14ac:dyDescent="0.3">
      <c r="B151" s="70">
        <f t="shared" si="42"/>
        <v>4</v>
      </c>
      <c r="C151" s="304" t="s">
        <v>758</v>
      </c>
      <c r="D151" s="452">
        <f t="shared" si="34"/>
        <v>0</v>
      </c>
      <c r="E151" s="452">
        <f t="shared" si="34"/>
        <v>0</v>
      </c>
      <c r="F151" s="452">
        <f t="shared" si="34"/>
        <v>0</v>
      </c>
      <c r="G151" s="452">
        <f t="shared" si="34"/>
        <v>0</v>
      </c>
      <c r="H151" s="560">
        <f t="shared" si="35"/>
        <v>0</v>
      </c>
      <c r="I151" s="524">
        <f t="shared" si="36"/>
        <v>0</v>
      </c>
      <c r="J151" s="557"/>
      <c r="K151" s="524"/>
      <c r="L151" s="557"/>
      <c r="M151" s="524">
        <f t="shared" si="37"/>
        <v>0</v>
      </c>
      <c r="N151" s="524">
        <f t="shared" si="38"/>
        <v>0</v>
      </c>
      <c r="O151" s="557"/>
      <c r="P151" s="524"/>
      <c r="Q151" s="557"/>
      <c r="R151" s="524">
        <f t="shared" si="39"/>
        <v>0</v>
      </c>
      <c r="S151" s="524">
        <f t="shared" si="40"/>
        <v>0</v>
      </c>
      <c r="T151" s="557"/>
      <c r="U151" s="524"/>
      <c r="V151" s="557"/>
      <c r="W151" s="524">
        <f t="shared" si="41"/>
        <v>0</v>
      </c>
    </row>
    <row r="152" spans="2:23" x14ac:dyDescent="0.3">
      <c r="B152" s="70">
        <f t="shared" si="42"/>
        <v>5</v>
      </c>
      <c r="C152" s="304" t="s">
        <v>759</v>
      </c>
      <c r="D152" s="452">
        <f t="shared" si="34"/>
        <v>167.46765026200126</v>
      </c>
      <c r="E152" s="452">
        <f t="shared" si="34"/>
        <v>-5.8075874320462635</v>
      </c>
      <c r="F152" s="452">
        <f t="shared" si="34"/>
        <v>0</v>
      </c>
      <c r="G152" s="452">
        <f t="shared" si="34"/>
        <v>0</v>
      </c>
      <c r="H152" s="560">
        <f t="shared" si="35"/>
        <v>161.660062829955</v>
      </c>
      <c r="I152" s="524">
        <f t="shared" si="36"/>
        <v>161.660062829955</v>
      </c>
      <c r="J152" s="557"/>
      <c r="K152" s="524"/>
      <c r="L152" s="557"/>
      <c r="M152" s="524">
        <f t="shared" si="37"/>
        <v>161.660062829955</v>
      </c>
      <c r="N152" s="524">
        <f t="shared" si="38"/>
        <v>161.660062829955</v>
      </c>
      <c r="O152" s="557"/>
      <c r="P152" s="524"/>
      <c r="Q152" s="557"/>
      <c r="R152" s="524">
        <f t="shared" si="39"/>
        <v>161.660062829955</v>
      </c>
      <c r="S152" s="524">
        <f t="shared" si="40"/>
        <v>161.660062829955</v>
      </c>
      <c r="T152" s="557"/>
      <c r="U152" s="524"/>
      <c r="V152" s="557"/>
      <c r="W152" s="524">
        <f t="shared" si="41"/>
        <v>161.660062829955</v>
      </c>
    </row>
    <row r="153" spans="2:23" x14ac:dyDescent="0.3">
      <c r="B153" s="70">
        <f t="shared" si="42"/>
        <v>6</v>
      </c>
      <c r="C153" s="304" t="s">
        <v>251</v>
      </c>
      <c r="D153" s="452">
        <f t="shared" si="34"/>
        <v>5341.7293336261046</v>
      </c>
      <c r="E153" s="452">
        <f t="shared" si="34"/>
        <v>419.25336415305549</v>
      </c>
      <c r="F153" s="452">
        <f t="shared" si="34"/>
        <v>0</v>
      </c>
      <c r="G153" s="452">
        <f t="shared" si="34"/>
        <v>0</v>
      </c>
      <c r="H153" s="560">
        <f t="shared" si="35"/>
        <v>5760.9826977791599</v>
      </c>
      <c r="I153" s="524">
        <f t="shared" si="36"/>
        <v>5760.9826977791599</v>
      </c>
      <c r="J153" s="557"/>
      <c r="K153" s="524"/>
      <c r="L153" s="557"/>
      <c r="M153" s="524">
        <f t="shared" si="37"/>
        <v>5760.9826977791599</v>
      </c>
      <c r="N153" s="524">
        <f t="shared" si="38"/>
        <v>5760.9826977791599</v>
      </c>
      <c r="O153" s="557"/>
      <c r="P153" s="524"/>
      <c r="Q153" s="557"/>
      <c r="R153" s="524">
        <f t="shared" si="39"/>
        <v>5760.9826977791599</v>
      </c>
      <c r="S153" s="524">
        <f t="shared" si="40"/>
        <v>5760.9826977791599</v>
      </c>
      <c r="T153" s="557"/>
      <c r="U153" s="524"/>
      <c r="V153" s="557"/>
      <c r="W153" s="524">
        <f t="shared" si="41"/>
        <v>5760.9826977791599</v>
      </c>
    </row>
    <row r="154" spans="2:23" x14ac:dyDescent="0.3">
      <c r="B154" s="70">
        <f t="shared" si="42"/>
        <v>7</v>
      </c>
      <c r="C154" s="304" t="s">
        <v>760</v>
      </c>
      <c r="D154" s="452">
        <f t="shared" si="34"/>
        <v>4.8849781455024237</v>
      </c>
      <c r="E154" s="452">
        <f t="shared" si="34"/>
        <v>-1.0973913155970361</v>
      </c>
      <c r="F154" s="452">
        <f t="shared" si="34"/>
        <v>0</v>
      </c>
      <c r="G154" s="452">
        <f t="shared" si="34"/>
        <v>0</v>
      </c>
      <c r="H154" s="560">
        <f t="shared" si="35"/>
        <v>3.7875868299053876</v>
      </c>
      <c r="I154" s="524">
        <f t="shared" si="36"/>
        <v>3.7875868299053876</v>
      </c>
      <c r="J154" s="557"/>
      <c r="K154" s="524"/>
      <c r="L154" s="557"/>
      <c r="M154" s="524">
        <f t="shared" si="37"/>
        <v>3.7875868299053876</v>
      </c>
      <c r="N154" s="524">
        <f t="shared" si="38"/>
        <v>3.7875868299053876</v>
      </c>
      <c r="O154" s="557"/>
      <c r="P154" s="524"/>
      <c r="Q154" s="557"/>
      <c r="R154" s="524">
        <f t="shared" si="39"/>
        <v>3.7875868299053876</v>
      </c>
      <c r="S154" s="524">
        <f t="shared" si="40"/>
        <v>3.7875868299053876</v>
      </c>
      <c r="T154" s="557"/>
      <c r="U154" s="524"/>
      <c r="V154" s="557"/>
      <c r="W154" s="524">
        <f t="shared" si="41"/>
        <v>3.7875868299053876</v>
      </c>
    </row>
    <row r="155" spans="2:23" x14ac:dyDescent="0.3">
      <c r="B155" s="70">
        <f t="shared" si="42"/>
        <v>8</v>
      </c>
      <c r="C155" s="304" t="s">
        <v>761</v>
      </c>
      <c r="D155" s="452">
        <f t="shared" si="34"/>
        <v>0</v>
      </c>
      <c r="E155" s="452">
        <f t="shared" si="34"/>
        <v>0</v>
      </c>
      <c r="F155" s="452">
        <f t="shared" si="34"/>
        <v>0</v>
      </c>
      <c r="G155" s="452">
        <f t="shared" si="34"/>
        <v>0</v>
      </c>
      <c r="H155" s="560">
        <f t="shared" si="35"/>
        <v>0</v>
      </c>
      <c r="I155" s="524">
        <f t="shared" si="36"/>
        <v>0</v>
      </c>
      <c r="J155" s="557"/>
      <c r="K155" s="524"/>
      <c r="L155" s="557"/>
      <c r="M155" s="524">
        <f t="shared" si="37"/>
        <v>0</v>
      </c>
      <c r="N155" s="524">
        <f t="shared" si="38"/>
        <v>0</v>
      </c>
      <c r="O155" s="557"/>
      <c r="P155" s="524"/>
      <c r="Q155" s="557"/>
      <c r="R155" s="524">
        <f t="shared" si="39"/>
        <v>0</v>
      </c>
      <c r="S155" s="524">
        <f t="shared" si="40"/>
        <v>0</v>
      </c>
      <c r="T155" s="557"/>
      <c r="U155" s="524"/>
      <c r="V155" s="557"/>
      <c r="W155" s="524">
        <f t="shared" si="41"/>
        <v>0</v>
      </c>
    </row>
    <row r="156" spans="2:23" x14ac:dyDescent="0.3">
      <c r="B156" s="70">
        <f t="shared" si="42"/>
        <v>9</v>
      </c>
      <c r="C156" s="304" t="s">
        <v>762</v>
      </c>
      <c r="D156" s="452">
        <f t="shared" si="34"/>
        <v>0</v>
      </c>
      <c r="E156" s="452">
        <f t="shared" si="34"/>
        <v>0</v>
      </c>
      <c r="F156" s="452">
        <f t="shared" si="34"/>
        <v>0</v>
      </c>
      <c r="G156" s="452">
        <f t="shared" si="34"/>
        <v>0</v>
      </c>
      <c r="H156" s="560">
        <f t="shared" si="35"/>
        <v>0</v>
      </c>
      <c r="I156" s="524">
        <f t="shared" si="36"/>
        <v>0</v>
      </c>
      <c r="J156" s="557"/>
      <c r="K156" s="524"/>
      <c r="L156" s="557"/>
      <c r="M156" s="524">
        <f t="shared" si="37"/>
        <v>0</v>
      </c>
      <c r="N156" s="524">
        <f t="shared" si="38"/>
        <v>0</v>
      </c>
      <c r="O156" s="557"/>
      <c r="P156" s="524"/>
      <c r="Q156" s="557"/>
      <c r="R156" s="524">
        <f t="shared" si="39"/>
        <v>0</v>
      </c>
      <c r="S156" s="524">
        <f t="shared" si="40"/>
        <v>0</v>
      </c>
      <c r="T156" s="557"/>
      <c r="U156" s="524"/>
      <c r="V156" s="557"/>
      <c r="W156" s="524">
        <f t="shared" si="41"/>
        <v>0</v>
      </c>
    </row>
    <row r="157" spans="2:23" x14ac:dyDescent="0.3">
      <c r="B157" s="70">
        <f t="shared" si="42"/>
        <v>10</v>
      </c>
      <c r="C157" s="304" t="s">
        <v>254</v>
      </c>
      <c r="D157" s="452">
        <f t="shared" si="34"/>
        <v>0</v>
      </c>
      <c r="E157" s="452">
        <f t="shared" si="34"/>
        <v>0</v>
      </c>
      <c r="F157" s="452">
        <f t="shared" si="34"/>
        <v>0</v>
      </c>
      <c r="G157" s="452">
        <f t="shared" si="34"/>
        <v>0</v>
      </c>
      <c r="H157" s="560">
        <f t="shared" si="35"/>
        <v>0</v>
      </c>
      <c r="I157" s="524">
        <f t="shared" si="36"/>
        <v>0</v>
      </c>
      <c r="J157" s="557"/>
      <c r="K157" s="524"/>
      <c r="L157" s="557"/>
      <c r="M157" s="524">
        <f t="shared" si="37"/>
        <v>0</v>
      </c>
      <c r="N157" s="524">
        <f t="shared" si="38"/>
        <v>0</v>
      </c>
      <c r="O157" s="557"/>
      <c r="P157" s="524"/>
      <c r="Q157" s="557"/>
      <c r="R157" s="524">
        <f t="shared" si="39"/>
        <v>0</v>
      </c>
      <c r="S157" s="524">
        <f t="shared" si="40"/>
        <v>0</v>
      </c>
      <c r="T157" s="557"/>
      <c r="U157" s="524"/>
      <c r="V157" s="557"/>
      <c r="W157" s="524">
        <f t="shared" si="41"/>
        <v>0</v>
      </c>
    </row>
    <row r="158" spans="2:23" x14ac:dyDescent="0.3">
      <c r="B158" s="70">
        <f t="shared" si="42"/>
        <v>11</v>
      </c>
      <c r="C158" s="304" t="s">
        <v>255</v>
      </c>
      <c r="D158" s="452">
        <f t="shared" si="34"/>
        <v>0</v>
      </c>
      <c r="E158" s="452">
        <f t="shared" si="34"/>
        <v>0</v>
      </c>
      <c r="F158" s="452">
        <f t="shared" si="34"/>
        <v>0</v>
      </c>
      <c r="G158" s="452">
        <f t="shared" si="34"/>
        <v>0</v>
      </c>
      <c r="H158" s="560">
        <f t="shared" si="35"/>
        <v>0</v>
      </c>
      <c r="I158" s="524">
        <f t="shared" si="36"/>
        <v>0</v>
      </c>
      <c r="J158" s="557"/>
      <c r="K158" s="524"/>
      <c r="L158" s="557"/>
      <c r="M158" s="524">
        <f t="shared" si="37"/>
        <v>0</v>
      </c>
      <c r="N158" s="524">
        <f t="shared" si="38"/>
        <v>0</v>
      </c>
      <c r="O158" s="557"/>
      <c r="P158" s="524"/>
      <c r="Q158" s="557"/>
      <c r="R158" s="524">
        <f t="shared" si="39"/>
        <v>0</v>
      </c>
      <c r="S158" s="524">
        <f t="shared" si="40"/>
        <v>0</v>
      </c>
      <c r="T158" s="557"/>
      <c r="U158" s="524"/>
      <c r="V158" s="557"/>
      <c r="W158" s="524">
        <f t="shared" si="41"/>
        <v>0</v>
      </c>
    </row>
    <row r="159" spans="2:23" x14ac:dyDescent="0.3">
      <c r="B159" s="70">
        <f t="shared" si="42"/>
        <v>12</v>
      </c>
      <c r="C159" s="304" t="s">
        <v>256</v>
      </c>
      <c r="D159" s="452">
        <f t="shared" si="34"/>
        <v>0</v>
      </c>
      <c r="E159" s="452">
        <f t="shared" si="34"/>
        <v>0</v>
      </c>
      <c r="F159" s="452">
        <f t="shared" si="34"/>
        <v>0</v>
      </c>
      <c r="G159" s="452">
        <f t="shared" si="34"/>
        <v>0</v>
      </c>
      <c r="H159" s="560">
        <f t="shared" si="35"/>
        <v>0</v>
      </c>
      <c r="I159" s="524">
        <f t="shared" si="36"/>
        <v>0</v>
      </c>
      <c r="J159" s="557"/>
      <c r="K159" s="524"/>
      <c r="L159" s="557"/>
      <c r="M159" s="524">
        <f t="shared" si="37"/>
        <v>0</v>
      </c>
      <c r="N159" s="524">
        <f t="shared" si="38"/>
        <v>0</v>
      </c>
      <c r="O159" s="557"/>
      <c r="P159" s="524"/>
      <c r="Q159" s="557"/>
      <c r="R159" s="524">
        <f t="shared" si="39"/>
        <v>0</v>
      </c>
      <c r="S159" s="524">
        <f t="shared" si="40"/>
        <v>0</v>
      </c>
      <c r="T159" s="557"/>
      <c r="U159" s="524"/>
      <c r="V159" s="557"/>
      <c r="W159" s="524">
        <f t="shared" si="41"/>
        <v>0</v>
      </c>
    </row>
    <row r="160" spans="2:23" x14ac:dyDescent="0.3">
      <c r="B160" s="70">
        <f t="shared" si="42"/>
        <v>13</v>
      </c>
      <c r="C160" s="304" t="s">
        <v>810</v>
      </c>
      <c r="D160" s="452">
        <f t="shared" si="34"/>
        <v>0</v>
      </c>
      <c r="E160" s="452">
        <f t="shared" si="34"/>
        <v>0</v>
      </c>
      <c r="F160" s="452">
        <f t="shared" si="34"/>
        <v>0</v>
      </c>
      <c r="G160" s="452">
        <f t="shared" si="34"/>
        <v>0</v>
      </c>
      <c r="H160" s="560">
        <f t="shared" si="35"/>
        <v>0</v>
      </c>
      <c r="I160" s="524">
        <f t="shared" si="36"/>
        <v>0</v>
      </c>
      <c r="J160" s="557"/>
      <c r="K160" s="524"/>
      <c r="L160" s="557"/>
      <c r="M160" s="524">
        <f t="shared" si="37"/>
        <v>0</v>
      </c>
      <c r="N160" s="524">
        <f t="shared" si="38"/>
        <v>0</v>
      </c>
      <c r="O160" s="557"/>
      <c r="P160" s="524"/>
      <c r="Q160" s="557"/>
      <c r="R160" s="524">
        <f t="shared" si="39"/>
        <v>0</v>
      </c>
      <c r="S160" s="524">
        <f t="shared" si="40"/>
        <v>0</v>
      </c>
      <c r="T160" s="557"/>
      <c r="U160" s="524"/>
      <c r="V160" s="557"/>
      <c r="W160" s="524">
        <f t="shared" si="41"/>
        <v>0</v>
      </c>
    </row>
    <row r="161" spans="2:23" x14ac:dyDescent="0.3">
      <c r="B161" s="70">
        <f t="shared" si="42"/>
        <v>14</v>
      </c>
      <c r="C161" s="304" t="s">
        <v>811</v>
      </c>
      <c r="D161" s="452">
        <f t="shared" si="34"/>
        <v>9.0211849080324047</v>
      </c>
      <c r="E161" s="452">
        <f t="shared" si="34"/>
        <v>-1.6217694096692634</v>
      </c>
      <c r="F161" s="452">
        <f t="shared" si="34"/>
        <v>0</v>
      </c>
      <c r="G161" s="452">
        <f t="shared" si="34"/>
        <v>0</v>
      </c>
      <c r="H161" s="560">
        <f t="shared" si="35"/>
        <v>7.3994154983631413</v>
      </c>
      <c r="I161" s="524">
        <f t="shared" si="36"/>
        <v>7.3994154983631413</v>
      </c>
      <c r="J161" s="557"/>
      <c r="K161" s="524"/>
      <c r="L161" s="557"/>
      <c r="M161" s="524">
        <f t="shared" si="37"/>
        <v>7.3994154983631413</v>
      </c>
      <c r="N161" s="524">
        <f t="shared" si="38"/>
        <v>7.3994154983631413</v>
      </c>
      <c r="O161" s="557"/>
      <c r="P161" s="524"/>
      <c r="Q161" s="557"/>
      <c r="R161" s="524">
        <f t="shared" si="39"/>
        <v>7.3994154983631413</v>
      </c>
      <c r="S161" s="524">
        <f t="shared" si="40"/>
        <v>7.3994154983631413</v>
      </c>
      <c r="T161" s="557"/>
      <c r="U161" s="524"/>
      <c r="V161" s="557"/>
      <c r="W161" s="524">
        <f t="shared" si="41"/>
        <v>7.3994154983631413</v>
      </c>
    </row>
    <row r="162" spans="2:23" x14ac:dyDescent="0.3">
      <c r="B162" s="70">
        <f t="shared" si="42"/>
        <v>15</v>
      </c>
      <c r="C162" s="304" t="s">
        <v>812</v>
      </c>
      <c r="D162" s="452">
        <f t="shared" si="34"/>
        <v>0</v>
      </c>
      <c r="E162" s="452">
        <f t="shared" si="34"/>
        <v>0</v>
      </c>
      <c r="F162" s="452">
        <f t="shared" si="34"/>
        <v>0</v>
      </c>
      <c r="G162" s="452">
        <f t="shared" si="34"/>
        <v>0</v>
      </c>
      <c r="H162" s="560">
        <f t="shared" si="35"/>
        <v>0</v>
      </c>
      <c r="I162" s="524">
        <f t="shared" si="36"/>
        <v>0</v>
      </c>
      <c r="J162" s="557"/>
      <c r="K162" s="524"/>
      <c r="L162" s="557"/>
      <c r="M162" s="524">
        <f t="shared" si="37"/>
        <v>0</v>
      </c>
      <c r="N162" s="524">
        <f t="shared" si="38"/>
        <v>0</v>
      </c>
      <c r="O162" s="557"/>
      <c r="P162" s="524"/>
      <c r="Q162" s="557"/>
      <c r="R162" s="524">
        <f t="shared" si="39"/>
        <v>0</v>
      </c>
      <c r="S162" s="524">
        <f t="shared" si="40"/>
        <v>0</v>
      </c>
      <c r="T162" s="557"/>
      <c r="U162" s="524"/>
      <c r="V162" s="557"/>
      <c r="W162" s="524">
        <f t="shared" si="41"/>
        <v>0</v>
      </c>
    </row>
    <row r="163" spans="2:23" x14ac:dyDescent="0.3">
      <c r="B163" s="70">
        <f t="shared" si="42"/>
        <v>16</v>
      </c>
      <c r="C163" s="304" t="s">
        <v>763</v>
      </c>
      <c r="D163" s="452">
        <f t="shared" si="34"/>
        <v>0</v>
      </c>
      <c r="E163" s="452">
        <f t="shared" si="34"/>
        <v>0</v>
      </c>
      <c r="F163" s="452">
        <f t="shared" si="34"/>
        <v>0</v>
      </c>
      <c r="G163" s="452">
        <f t="shared" si="34"/>
        <v>0</v>
      </c>
      <c r="H163" s="560">
        <f t="shared" si="35"/>
        <v>0</v>
      </c>
      <c r="I163" s="524">
        <f t="shared" si="36"/>
        <v>0</v>
      </c>
      <c r="J163" s="557"/>
      <c r="K163" s="524"/>
      <c r="L163" s="557"/>
      <c r="M163" s="524">
        <f t="shared" si="37"/>
        <v>0</v>
      </c>
      <c r="N163" s="524">
        <f t="shared" si="38"/>
        <v>0</v>
      </c>
      <c r="O163" s="557"/>
      <c r="P163" s="524"/>
      <c r="Q163" s="557"/>
      <c r="R163" s="524">
        <f t="shared" si="39"/>
        <v>0</v>
      </c>
      <c r="S163" s="524">
        <f t="shared" si="40"/>
        <v>0</v>
      </c>
      <c r="T163" s="557"/>
      <c r="U163" s="524"/>
      <c r="V163" s="557"/>
      <c r="W163" s="524">
        <f t="shared" si="41"/>
        <v>0</v>
      </c>
    </row>
    <row r="164" spans="2:23" x14ac:dyDescent="0.3">
      <c r="B164" s="70">
        <f t="shared" si="42"/>
        <v>17</v>
      </c>
      <c r="C164" s="304" t="s">
        <v>813</v>
      </c>
      <c r="D164" s="452">
        <f t="shared" ref="D164:G164" si="43">D56-D111</f>
        <v>0</v>
      </c>
      <c r="E164" s="452">
        <f t="shared" si="43"/>
        <v>0</v>
      </c>
      <c r="F164" s="452">
        <f t="shared" si="43"/>
        <v>0</v>
      </c>
      <c r="G164" s="452">
        <f t="shared" si="43"/>
        <v>0</v>
      </c>
      <c r="H164" s="560">
        <f t="shared" si="35"/>
        <v>0</v>
      </c>
      <c r="I164" s="524">
        <f t="shared" si="36"/>
        <v>0</v>
      </c>
      <c r="J164" s="557"/>
      <c r="K164" s="524"/>
      <c r="L164" s="557"/>
      <c r="M164" s="524">
        <f t="shared" si="37"/>
        <v>0</v>
      </c>
      <c r="N164" s="524">
        <f t="shared" si="38"/>
        <v>0</v>
      </c>
      <c r="O164" s="557"/>
      <c r="P164" s="524"/>
      <c r="Q164" s="557"/>
      <c r="R164" s="524">
        <f t="shared" si="39"/>
        <v>0</v>
      </c>
      <c r="S164" s="524">
        <f t="shared" si="40"/>
        <v>0</v>
      </c>
      <c r="T164" s="557"/>
      <c r="U164" s="524"/>
      <c r="V164" s="557"/>
      <c r="W164" s="524">
        <f t="shared" si="41"/>
        <v>0</v>
      </c>
    </row>
    <row r="165" spans="2:23" ht="16" x14ac:dyDescent="0.3">
      <c r="B165" s="61"/>
      <c r="C165" s="71" t="s">
        <v>267</v>
      </c>
      <c r="D165" s="561">
        <f>SUM(D148:D163)</f>
        <v>5736.4275757536643</v>
      </c>
      <c r="E165" s="561">
        <f>SUM(E148:E163)</f>
        <v>404.42917045790767</v>
      </c>
      <c r="F165" s="561">
        <f>SUM(F148:F163)</f>
        <v>0</v>
      </c>
      <c r="G165" s="561">
        <f>SUM(G148:G163)</f>
        <v>0</v>
      </c>
      <c r="H165" s="561">
        <f>SUM(H148:H163)</f>
        <v>6140.8567462115716</v>
      </c>
      <c r="I165" s="561">
        <f t="shared" ref="I165:W165" si="44">SUM(I148:I164)</f>
        <v>6140.8567462115716</v>
      </c>
      <c r="J165" s="561">
        <f t="shared" si="44"/>
        <v>0</v>
      </c>
      <c r="K165" s="561">
        <f t="shared" si="44"/>
        <v>0</v>
      </c>
      <c r="L165" s="561">
        <f t="shared" si="44"/>
        <v>0</v>
      </c>
      <c r="M165" s="561">
        <f t="shared" si="44"/>
        <v>6140.8567462115716</v>
      </c>
      <c r="N165" s="561">
        <f t="shared" si="44"/>
        <v>6140.8567462115716</v>
      </c>
      <c r="O165" s="561">
        <f t="shared" si="44"/>
        <v>0</v>
      </c>
      <c r="P165" s="561">
        <f t="shared" si="44"/>
        <v>0</v>
      </c>
      <c r="Q165" s="561">
        <f t="shared" si="44"/>
        <v>0</v>
      </c>
      <c r="R165" s="561">
        <f t="shared" si="44"/>
        <v>6140.8567462115716</v>
      </c>
      <c r="S165" s="561">
        <f t="shared" si="44"/>
        <v>6140.8567462115716</v>
      </c>
      <c r="T165" s="561">
        <f t="shared" si="44"/>
        <v>0</v>
      </c>
      <c r="U165" s="561">
        <f t="shared" si="44"/>
        <v>0</v>
      </c>
      <c r="V165" s="561">
        <f t="shared" si="44"/>
        <v>0</v>
      </c>
      <c r="W165" s="561">
        <f t="shared" si="44"/>
        <v>6140.8567462115716</v>
      </c>
    </row>
    <row r="166" spans="2:23" x14ac:dyDescent="0.3">
      <c r="B166" s="18"/>
      <c r="C166" s="58"/>
      <c r="D166" s="58"/>
      <c r="E166" s="58"/>
      <c r="F166" s="58"/>
    </row>
  </sheetData>
  <mergeCells count="49">
    <mergeCell ref="S144:W144"/>
    <mergeCell ref="D145:H145"/>
    <mergeCell ref="I145:M145"/>
    <mergeCell ref="N145:R145"/>
    <mergeCell ref="S145:W145"/>
    <mergeCell ref="B144:B146"/>
    <mergeCell ref="C144:C146"/>
    <mergeCell ref="D144:H144"/>
    <mergeCell ref="I144:M144"/>
    <mergeCell ref="N144:R144"/>
    <mergeCell ref="B118:B120"/>
    <mergeCell ref="C118:C120"/>
    <mergeCell ref="D118:H118"/>
    <mergeCell ref="S91:W91"/>
    <mergeCell ref="D92:H92"/>
    <mergeCell ref="I92:M92"/>
    <mergeCell ref="N92:R92"/>
    <mergeCell ref="S92:W92"/>
    <mergeCell ref="I118:M118"/>
    <mergeCell ref="D119:H119"/>
    <mergeCell ref="I119:M119"/>
    <mergeCell ref="B91:B93"/>
    <mergeCell ref="C91:C93"/>
    <mergeCell ref="D91:H91"/>
    <mergeCell ref="I91:M91"/>
    <mergeCell ref="N91:R91"/>
    <mergeCell ref="B64:B66"/>
    <mergeCell ref="C64:C66"/>
    <mergeCell ref="D64:H64"/>
    <mergeCell ref="S36:W36"/>
    <mergeCell ref="D37:H37"/>
    <mergeCell ref="I37:M37"/>
    <mergeCell ref="N37:R37"/>
    <mergeCell ref="S37:W37"/>
    <mergeCell ref="N36:R36"/>
    <mergeCell ref="I64:M64"/>
    <mergeCell ref="D65:H65"/>
    <mergeCell ref="I65:M65"/>
    <mergeCell ref="B33:G33"/>
    <mergeCell ref="B36:B38"/>
    <mergeCell ref="C36:C38"/>
    <mergeCell ref="D36:H36"/>
    <mergeCell ref="I36:M36"/>
    <mergeCell ref="I10:M10"/>
    <mergeCell ref="D11:H11"/>
    <mergeCell ref="I11:M11"/>
    <mergeCell ref="B10:B12"/>
    <mergeCell ref="C10:C12"/>
    <mergeCell ref="D10:H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AG168"/>
  <sheetViews>
    <sheetView showGridLines="0" view="pageBreakPreview" topLeftCell="A21" zoomScale="51" zoomScaleNormal="68" zoomScaleSheetLayoutView="10" workbookViewId="0">
      <selection activeCell="T102" sqref="T102"/>
    </sheetView>
  </sheetViews>
  <sheetFormatPr defaultColWidth="9.453125" defaultRowHeight="14" x14ac:dyDescent="0.3"/>
  <cols>
    <col min="1" max="1" width="12.453125" style="1" customWidth="1"/>
    <col min="2" max="2" width="6.453125" style="1" customWidth="1"/>
    <col min="3" max="3" width="43" style="1" customWidth="1"/>
    <col min="4" max="4" width="18.453125" style="1" customWidth="1"/>
    <col min="5" max="5" width="32.1796875" style="1" customWidth="1"/>
    <col min="6" max="6" width="25.453125" style="1" customWidth="1"/>
    <col min="7" max="7" width="18.453125" style="1" customWidth="1"/>
    <col min="8" max="8" width="24.54296875" style="1" bestFit="1" customWidth="1"/>
    <col min="9" max="12" width="18.453125" style="1" customWidth="1"/>
    <col min="13" max="13" width="23.453125" style="1" bestFit="1" customWidth="1"/>
    <col min="14" max="17" width="18.453125" style="1" customWidth="1"/>
    <col min="18" max="18" width="23.453125" style="1" bestFit="1" customWidth="1"/>
    <col min="19" max="22" width="18.54296875" style="1" customWidth="1"/>
    <col min="23" max="23" width="14.54296875" style="1" customWidth="1"/>
    <col min="24" max="33" width="16" style="1" customWidth="1"/>
    <col min="34" max="16384" width="9.453125" style="1"/>
  </cols>
  <sheetData>
    <row r="1" spans="1:18" x14ac:dyDescent="0.3">
      <c r="B1" s="42"/>
    </row>
    <row r="2" spans="1:18" x14ac:dyDescent="0.3">
      <c r="B2" s="42"/>
    </row>
    <row r="3" spans="1:18" x14ac:dyDescent="0.3">
      <c r="B3" s="42"/>
    </row>
    <row r="4" spans="1:18" x14ac:dyDescent="0.3">
      <c r="B4" s="6"/>
      <c r="I4" s="14"/>
      <c r="J4" s="14"/>
      <c r="K4" s="63" t="str">
        <f>Index!B2</f>
        <v xml:space="preserve">      Maharashtra State Power Generation Company Ltd.</v>
      </c>
      <c r="L4" s="63"/>
      <c r="M4" s="14"/>
      <c r="N4" s="14"/>
      <c r="O4" s="14"/>
      <c r="P4" s="14"/>
      <c r="Q4" s="14"/>
      <c r="R4" s="14"/>
    </row>
    <row r="5" spans="1:18" x14ac:dyDescent="0.3">
      <c r="B5" s="6"/>
      <c r="I5" s="51"/>
      <c r="J5" s="51"/>
      <c r="K5" s="63" t="str">
        <f>Index!B3</f>
        <v>MYT Petition Formats for Bhusawal Unit 6</v>
      </c>
      <c r="L5" s="63"/>
      <c r="M5" s="51"/>
      <c r="N5" s="51"/>
      <c r="O5" s="51"/>
      <c r="P5" s="51"/>
      <c r="Q5" s="51"/>
      <c r="R5" s="51"/>
    </row>
    <row r="6" spans="1:18" x14ac:dyDescent="0.3">
      <c r="B6" s="14"/>
      <c r="I6" s="14"/>
      <c r="J6" s="6"/>
      <c r="K6" s="54" t="s">
        <v>260</v>
      </c>
      <c r="L6" s="54"/>
      <c r="M6" s="6"/>
      <c r="N6" s="6"/>
      <c r="O6" s="14"/>
      <c r="P6" s="14"/>
      <c r="Q6" s="14"/>
      <c r="R6" s="14"/>
    </row>
    <row r="7" spans="1:18" x14ac:dyDescent="0.3">
      <c r="C7" s="6"/>
      <c r="D7" s="6"/>
      <c r="E7" s="6"/>
      <c r="F7" s="6"/>
      <c r="G7" s="6"/>
      <c r="H7" s="6"/>
      <c r="J7" s="4"/>
      <c r="M7" s="4"/>
      <c r="N7" s="4"/>
    </row>
    <row r="8" spans="1:18" x14ac:dyDescent="0.3">
      <c r="A8" s="1" t="s">
        <v>261</v>
      </c>
      <c r="B8" s="42" t="s">
        <v>262</v>
      </c>
      <c r="C8" s="42"/>
      <c r="D8" s="42"/>
      <c r="E8" s="42"/>
      <c r="F8" s="42"/>
      <c r="G8" s="42"/>
      <c r="H8" s="42"/>
      <c r="J8" s="4"/>
      <c r="M8" s="4"/>
      <c r="N8" s="4"/>
      <c r="R8" s="175"/>
    </row>
    <row r="9" spans="1:18" x14ac:dyDescent="0.3">
      <c r="B9" s="42"/>
      <c r="C9" s="42"/>
      <c r="D9" s="42"/>
      <c r="E9" s="42"/>
      <c r="F9" s="42"/>
      <c r="G9" s="42"/>
      <c r="H9" s="42"/>
      <c r="J9" s="4"/>
      <c r="M9" s="4"/>
      <c r="N9" s="4"/>
      <c r="R9" s="175"/>
    </row>
    <row r="10" spans="1:18" x14ac:dyDescent="0.3">
      <c r="B10" s="42"/>
      <c r="C10" s="42"/>
      <c r="D10" s="42"/>
      <c r="E10" s="42"/>
      <c r="F10" s="42"/>
      <c r="G10" s="42"/>
      <c r="H10" s="42"/>
      <c r="J10" s="4"/>
      <c r="M10" s="4"/>
      <c r="N10" s="4"/>
      <c r="R10" s="175"/>
    </row>
    <row r="11" spans="1:18" x14ac:dyDescent="0.3">
      <c r="B11" s="178"/>
      <c r="C11" s="6"/>
      <c r="D11" s="6"/>
      <c r="E11" s="6"/>
      <c r="F11" s="6"/>
      <c r="G11" s="6"/>
      <c r="H11" s="6"/>
      <c r="J11" s="4"/>
      <c r="M11" s="50" t="s">
        <v>10</v>
      </c>
      <c r="N11" s="4"/>
    </row>
    <row r="12" spans="1:18" ht="15.75" customHeight="1" x14ac:dyDescent="0.3">
      <c r="B12" s="1481" t="s">
        <v>327</v>
      </c>
      <c r="C12" s="1481" t="s">
        <v>35</v>
      </c>
      <c r="D12" s="1573" t="s">
        <v>477</v>
      </c>
      <c r="E12" s="1573"/>
      <c r="F12" s="1573"/>
      <c r="G12" s="1573"/>
      <c r="H12" s="1573"/>
      <c r="I12" s="1570" t="s">
        <v>849</v>
      </c>
      <c r="J12" s="1570"/>
      <c r="K12" s="1570"/>
      <c r="L12" s="1570"/>
      <c r="M12" s="1570"/>
    </row>
    <row r="13" spans="1:18" ht="15.75" customHeight="1" x14ac:dyDescent="0.3">
      <c r="B13" s="1481"/>
      <c r="C13" s="1481"/>
      <c r="D13" s="1571" t="s">
        <v>7</v>
      </c>
      <c r="E13" s="1572"/>
      <c r="F13" s="1572"/>
      <c r="G13" s="1572"/>
      <c r="H13" s="1572"/>
      <c r="I13" s="1573" t="s">
        <v>20</v>
      </c>
      <c r="J13" s="1574"/>
      <c r="K13" s="1574"/>
      <c r="L13" s="1574"/>
      <c r="M13" s="1574"/>
    </row>
    <row r="14" spans="1:18" ht="42" x14ac:dyDescent="0.3">
      <c r="B14" s="1481"/>
      <c r="C14" s="1481"/>
      <c r="D14" s="64" t="s">
        <v>263</v>
      </c>
      <c r="E14" s="64" t="s">
        <v>264</v>
      </c>
      <c r="F14" s="64" t="s">
        <v>265</v>
      </c>
      <c r="G14" s="64" t="s">
        <v>548</v>
      </c>
      <c r="H14" s="64" t="s">
        <v>266</v>
      </c>
      <c r="I14" s="250" t="s">
        <v>263</v>
      </c>
      <c r="J14" s="250" t="s">
        <v>264</v>
      </c>
      <c r="K14" s="250" t="s">
        <v>265</v>
      </c>
      <c r="L14" s="64" t="s">
        <v>548</v>
      </c>
      <c r="M14" s="250" t="s">
        <v>266</v>
      </c>
    </row>
    <row r="15" spans="1:18" s="29" customFormat="1" x14ac:dyDescent="0.25">
      <c r="B15" s="179"/>
      <c r="C15" s="179"/>
      <c r="D15" s="179" t="s">
        <v>78</v>
      </c>
      <c r="E15" s="179" t="s">
        <v>79</v>
      </c>
      <c r="F15" s="179" t="s">
        <v>435</v>
      </c>
      <c r="G15" s="179" t="s">
        <v>378</v>
      </c>
      <c r="H15" s="179" t="s">
        <v>549</v>
      </c>
      <c r="I15" s="179" t="s">
        <v>610</v>
      </c>
      <c r="J15" s="179" t="s">
        <v>611</v>
      </c>
      <c r="K15" s="179" t="s">
        <v>612</v>
      </c>
      <c r="L15" s="179" t="s">
        <v>613</v>
      </c>
      <c r="M15" s="179" t="s">
        <v>614</v>
      </c>
    </row>
    <row r="16" spans="1:18" s="4" customFormat="1" x14ac:dyDescent="0.3">
      <c r="B16" s="70">
        <v>1</v>
      </c>
      <c r="C16" s="304" t="s">
        <v>755</v>
      </c>
      <c r="D16" s="315"/>
      <c r="E16" s="315">
        <v>31.731225228927713</v>
      </c>
      <c r="F16" s="315"/>
      <c r="G16" s="315"/>
      <c r="H16" s="315">
        <f>D16+E16-F16-G16</f>
        <v>31.731225228927713</v>
      </c>
      <c r="I16" s="300">
        <f>H16</f>
        <v>31.731225228927713</v>
      </c>
      <c r="J16" s="315"/>
      <c r="K16" s="300"/>
      <c r="L16" s="315"/>
      <c r="M16" s="300">
        <f>I16+J16-K16-L16</f>
        <v>31.731225228927713</v>
      </c>
    </row>
    <row r="17" spans="2:13" s="4" customFormat="1" x14ac:dyDescent="0.3">
      <c r="B17" s="70">
        <f>B16+1</f>
        <v>2</v>
      </c>
      <c r="C17" s="304" t="s">
        <v>756</v>
      </c>
      <c r="D17" s="315"/>
      <c r="E17" s="315">
        <v>188.54627358788375</v>
      </c>
      <c r="F17" s="315"/>
      <c r="G17" s="315"/>
      <c r="H17" s="315">
        <f t="shared" ref="H17:H32" si="0">D17+E17-F17-G17</f>
        <v>188.54627358788375</v>
      </c>
      <c r="I17" s="300">
        <f t="shared" ref="I17:I32" si="1">H17</f>
        <v>188.54627358788375</v>
      </c>
      <c r="J17" s="315"/>
      <c r="K17" s="300"/>
      <c r="L17" s="315"/>
      <c r="M17" s="300">
        <f t="shared" ref="M17:M27" si="2">I17+J17-K17-L17</f>
        <v>188.54627358788375</v>
      </c>
    </row>
    <row r="18" spans="2:13" s="4" customFormat="1" x14ac:dyDescent="0.3">
      <c r="B18" s="70">
        <f t="shared" ref="B18:B32" si="3">B17+1</f>
        <v>3</v>
      </c>
      <c r="C18" s="304" t="s">
        <v>757</v>
      </c>
      <c r="D18" s="315"/>
      <c r="E18" s="315"/>
      <c r="F18" s="316"/>
      <c r="G18" s="316"/>
      <c r="H18" s="315">
        <f t="shared" si="0"/>
        <v>0</v>
      </c>
      <c r="I18" s="300">
        <f t="shared" si="1"/>
        <v>0</v>
      </c>
      <c r="J18" s="315"/>
      <c r="K18" s="300"/>
      <c r="L18" s="315"/>
      <c r="M18" s="300">
        <f t="shared" si="2"/>
        <v>0</v>
      </c>
    </row>
    <row r="19" spans="2:13" s="4" customFormat="1" x14ac:dyDescent="0.3">
      <c r="B19" s="70">
        <f t="shared" si="3"/>
        <v>4</v>
      </c>
      <c r="C19" s="304" t="s">
        <v>758</v>
      </c>
      <c r="D19" s="315"/>
      <c r="E19" s="315"/>
      <c r="F19" s="316"/>
      <c r="G19" s="316"/>
      <c r="H19" s="315">
        <f t="shared" si="0"/>
        <v>0</v>
      </c>
      <c r="I19" s="300">
        <f t="shared" si="1"/>
        <v>0</v>
      </c>
      <c r="J19" s="315"/>
      <c r="K19" s="300"/>
      <c r="L19" s="315"/>
      <c r="M19" s="300">
        <f t="shared" si="2"/>
        <v>0</v>
      </c>
    </row>
    <row r="20" spans="2:13" s="4" customFormat="1" x14ac:dyDescent="0.3">
      <c r="B20" s="70">
        <f t="shared" si="3"/>
        <v>5</v>
      </c>
      <c r="C20" s="304" t="s">
        <v>759</v>
      </c>
      <c r="D20" s="315"/>
      <c r="E20" s="315">
        <v>173.87986323491808</v>
      </c>
      <c r="F20" s="316"/>
      <c r="G20" s="316"/>
      <c r="H20" s="315">
        <f t="shared" si="0"/>
        <v>173.87986323491808</v>
      </c>
      <c r="I20" s="300">
        <f t="shared" si="1"/>
        <v>173.87986323491808</v>
      </c>
      <c r="J20" s="315"/>
      <c r="K20" s="300"/>
      <c r="L20" s="315"/>
      <c r="M20" s="300">
        <f t="shared" si="2"/>
        <v>173.87986323491808</v>
      </c>
    </row>
    <row r="21" spans="2:13" x14ac:dyDescent="0.3">
      <c r="B21" s="70">
        <f t="shared" si="3"/>
        <v>6</v>
      </c>
      <c r="C21" s="304" t="s">
        <v>251</v>
      </c>
      <c r="D21" s="315"/>
      <c r="E21" s="315">
        <v>5424.9950601549072</v>
      </c>
      <c r="F21" s="315"/>
      <c r="G21" s="315"/>
      <c r="H21" s="315">
        <f t="shared" si="0"/>
        <v>5424.9950601549072</v>
      </c>
      <c r="I21" s="300">
        <f t="shared" si="1"/>
        <v>5424.9950601549072</v>
      </c>
      <c r="J21" s="315"/>
      <c r="K21" s="300"/>
      <c r="L21" s="315"/>
      <c r="M21" s="300">
        <f t="shared" si="2"/>
        <v>5424.9950601549072</v>
      </c>
    </row>
    <row r="22" spans="2:13" x14ac:dyDescent="0.3">
      <c r="B22" s="70">
        <f t="shared" si="3"/>
        <v>7</v>
      </c>
      <c r="C22" s="304" t="s">
        <v>760</v>
      </c>
      <c r="D22" s="315"/>
      <c r="E22" s="315">
        <v>6.0966184199835345</v>
      </c>
      <c r="F22" s="315"/>
      <c r="G22" s="315"/>
      <c r="H22" s="315">
        <f t="shared" si="0"/>
        <v>6.0966184199835345</v>
      </c>
      <c r="I22" s="300">
        <f t="shared" si="1"/>
        <v>6.0966184199835345</v>
      </c>
      <c r="J22" s="315"/>
      <c r="K22" s="300"/>
      <c r="L22" s="315"/>
      <c r="M22" s="300">
        <f t="shared" si="2"/>
        <v>6.0966184199835345</v>
      </c>
    </row>
    <row r="23" spans="2:13" x14ac:dyDescent="0.3">
      <c r="B23" s="70">
        <f t="shared" si="3"/>
        <v>8</v>
      </c>
      <c r="C23" s="304" t="s">
        <v>761</v>
      </c>
      <c r="D23" s="315"/>
      <c r="E23" s="315"/>
      <c r="F23" s="315"/>
      <c r="G23" s="315"/>
      <c r="H23" s="315">
        <f t="shared" si="0"/>
        <v>0</v>
      </c>
      <c r="I23" s="300">
        <f t="shared" si="1"/>
        <v>0</v>
      </c>
      <c r="J23" s="315"/>
      <c r="K23" s="300"/>
      <c r="L23" s="315"/>
      <c r="M23" s="300">
        <f t="shared" si="2"/>
        <v>0</v>
      </c>
    </row>
    <row r="24" spans="2:13" x14ac:dyDescent="0.3">
      <c r="B24" s="70">
        <f t="shared" si="3"/>
        <v>9</v>
      </c>
      <c r="C24" s="304" t="s">
        <v>762</v>
      </c>
      <c r="D24" s="315"/>
      <c r="E24" s="315"/>
      <c r="F24" s="315"/>
      <c r="G24" s="315"/>
      <c r="H24" s="315">
        <f t="shared" si="0"/>
        <v>0</v>
      </c>
      <c r="I24" s="300">
        <f t="shared" si="1"/>
        <v>0</v>
      </c>
      <c r="J24" s="315"/>
      <c r="K24" s="300"/>
      <c r="L24" s="315"/>
      <c r="M24" s="300">
        <f t="shared" si="2"/>
        <v>0</v>
      </c>
    </row>
    <row r="25" spans="2:13" x14ac:dyDescent="0.3">
      <c r="B25" s="70">
        <f t="shared" si="3"/>
        <v>10</v>
      </c>
      <c r="C25" s="304" t="s">
        <v>254</v>
      </c>
      <c r="D25" s="315"/>
      <c r="E25" s="315"/>
      <c r="F25" s="315"/>
      <c r="G25" s="315"/>
      <c r="H25" s="315">
        <f t="shared" si="0"/>
        <v>0</v>
      </c>
      <c r="I25" s="300">
        <f t="shared" si="1"/>
        <v>0</v>
      </c>
      <c r="J25" s="315"/>
      <c r="K25" s="300"/>
      <c r="L25" s="315"/>
      <c r="M25" s="300">
        <f t="shared" si="2"/>
        <v>0</v>
      </c>
    </row>
    <row r="26" spans="2:13" x14ac:dyDescent="0.3">
      <c r="B26" s="70">
        <f t="shared" si="3"/>
        <v>11</v>
      </c>
      <c r="C26" s="304" t="s">
        <v>255</v>
      </c>
      <c r="D26" s="315"/>
      <c r="E26" s="315"/>
      <c r="F26" s="315"/>
      <c r="G26" s="315"/>
      <c r="H26" s="315">
        <f t="shared" si="0"/>
        <v>0</v>
      </c>
      <c r="I26" s="300">
        <f t="shared" si="1"/>
        <v>0</v>
      </c>
      <c r="J26" s="315"/>
      <c r="K26" s="300"/>
      <c r="L26" s="315"/>
      <c r="M26" s="300">
        <f t="shared" si="2"/>
        <v>0</v>
      </c>
    </row>
    <row r="27" spans="2:13" x14ac:dyDescent="0.3">
      <c r="B27" s="70">
        <f t="shared" si="3"/>
        <v>12</v>
      </c>
      <c r="C27" s="304" t="s">
        <v>256</v>
      </c>
      <c r="D27" s="315"/>
      <c r="E27" s="315"/>
      <c r="F27" s="315"/>
      <c r="G27" s="315"/>
      <c r="H27" s="315">
        <f t="shared" si="0"/>
        <v>0</v>
      </c>
      <c r="I27" s="300">
        <f t="shared" si="1"/>
        <v>0</v>
      </c>
      <c r="J27" s="315"/>
      <c r="K27" s="300"/>
      <c r="L27" s="315"/>
      <c r="M27" s="300">
        <f t="shared" si="2"/>
        <v>0</v>
      </c>
    </row>
    <row r="28" spans="2:13" x14ac:dyDescent="0.3">
      <c r="B28" s="70">
        <f t="shared" si="3"/>
        <v>13</v>
      </c>
      <c r="C28" s="304" t="s">
        <v>810</v>
      </c>
      <c r="D28" s="315"/>
      <c r="E28" s="315"/>
      <c r="F28" s="315"/>
      <c r="G28" s="315"/>
      <c r="H28" s="315">
        <f t="shared" si="0"/>
        <v>0</v>
      </c>
      <c r="I28" s="300">
        <f t="shared" si="1"/>
        <v>0</v>
      </c>
      <c r="J28" s="315"/>
      <c r="K28" s="300"/>
      <c r="L28" s="315"/>
      <c r="M28" s="300">
        <f t="shared" ref="M28:M32" si="4">I28+J28-K28-L28</f>
        <v>0</v>
      </c>
    </row>
    <row r="29" spans="2:13" x14ac:dyDescent="0.3">
      <c r="B29" s="70">
        <f t="shared" si="3"/>
        <v>14</v>
      </c>
      <c r="C29" s="304" t="s">
        <v>811</v>
      </c>
      <c r="D29" s="315"/>
      <c r="E29" s="315">
        <v>10.811796064461756</v>
      </c>
      <c r="F29" s="315"/>
      <c r="G29" s="315"/>
      <c r="H29" s="315">
        <f t="shared" si="0"/>
        <v>10.811796064461756</v>
      </c>
      <c r="I29" s="300">
        <f t="shared" si="1"/>
        <v>10.811796064461756</v>
      </c>
      <c r="J29" s="315"/>
      <c r="K29" s="300"/>
      <c r="L29" s="315"/>
      <c r="M29" s="300">
        <f t="shared" si="4"/>
        <v>10.811796064461756</v>
      </c>
    </row>
    <row r="30" spans="2:13" x14ac:dyDescent="0.3">
      <c r="B30" s="70">
        <f t="shared" si="3"/>
        <v>15</v>
      </c>
      <c r="C30" s="304" t="s">
        <v>812</v>
      </c>
      <c r="D30" s="315"/>
      <c r="E30" s="315"/>
      <c r="F30" s="315"/>
      <c r="G30" s="315"/>
      <c r="H30" s="315">
        <f t="shared" si="0"/>
        <v>0</v>
      </c>
      <c r="I30" s="300">
        <f t="shared" si="1"/>
        <v>0</v>
      </c>
      <c r="J30" s="315"/>
      <c r="K30" s="300"/>
      <c r="L30" s="315"/>
      <c r="M30" s="300">
        <f t="shared" si="4"/>
        <v>0</v>
      </c>
    </row>
    <row r="31" spans="2:13" x14ac:dyDescent="0.3">
      <c r="B31" s="70">
        <f t="shared" si="3"/>
        <v>16</v>
      </c>
      <c r="C31" s="304" t="s">
        <v>763</v>
      </c>
      <c r="D31" s="315"/>
      <c r="E31" s="315"/>
      <c r="F31" s="315"/>
      <c r="G31" s="315"/>
      <c r="H31" s="315">
        <f t="shared" si="0"/>
        <v>0</v>
      </c>
      <c r="I31" s="300">
        <f t="shared" si="1"/>
        <v>0</v>
      </c>
      <c r="J31" s="315"/>
      <c r="K31" s="300"/>
      <c r="L31" s="315"/>
      <c r="M31" s="300">
        <f t="shared" si="4"/>
        <v>0</v>
      </c>
    </row>
    <row r="32" spans="2:13" x14ac:dyDescent="0.3">
      <c r="B32" s="70">
        <f t="shared" si="3"/>
        <v>17</v>
      </c>
      <c r="C32" s="304" t="s">
        <v>813</v>
      </c>
      <c r="D32" s="315"/>
      <c r="E32" s="315"/>
      <c r="F32" s="315"/>
      <c r="G32" s="315"/>
      <c r="H32" s="315">
        <f t="shared" si="0"/>
        <v>0</v>
      </c>
      <c r="I32" s="300">
        <f t="shared" si="1"/>
        <v>0</v>
      </c>
      <c r="J32" s="315"/>
      <c r="K32" s="300"/>
      <c r="L32" s="315"/>
      <c r="M32" s="300">
        <f t="shared" si="4"/>
        <v>0</v>
      </c>
    </row>
    <row r="33" spans="1:33" ht="16" x14ac:dyDescent="0.3">
      <c r="B33" s="61"/>
      <c r="C33" s="71" t="s">
        <v>267</v>
      </c>
      <c r="D33" s="1036">
        <f>SUM(D16:D32)</f>
        <v>0</v>
      </c>
      <c r="E33" s="1036">
        <f>SUM(E16:E32)</f>
        <v>5836.060836691081</v>
      </c>
      <c r="F33" s="1036">
        <f t="shared" ref="F33:H33" si="5">SUM(F16:F32)</f>
        <v>0</v>
      </c>
      <c r="G33" s="237">
        <f t="shared" si="5"/>
        <v>0</v>
      </c>
      <c r="H33" s="237">
        <f t="shared" si="5"/>
        <v>5836.060836691081</v>
      </c>
      <c r="I33" s="237">
        <f t="shared" ref="I33:M33" si="6">SUM(I16:I32)</f>
        <v>5836.060836691081</v>
      </c>
      <c r="J33" s="1036">
        <f t="shared" si="6"/>
        <v>0</v>
      </c>
      <c r="K33" s="1036">
        <f t="shared" si="6"/>
        <v>0</v>
      </c>
      <c r="L33" s="237">
        <f t="shared" si="6"/>
        <v>0</v>
      </c>
      <c r="M33" s="237">
        <f t="shared" si="6"/>
        <v>5836.060836691081</v>
      </c>
    </row>
    <row r="34" spans="1:33" x14ac:dyDescent="0.3">
      <c r="B34" s="42"/>
      <c r="C34" s="6"/>
      <c r="D34" s="6"/>
      <c r="E34" s="1035">
        <f>F14.2!E22+F14.7!E32-E33</f>
        <v>0</v>
      </c>
      <c r="F34" s="42"/>
      <c r="G34" s="6"/>
      <c r="H34" s="6"/>
      <c r="J34" s="4"/>
      <c r="M34" s="4"/>
      <c r="N34" s="4"/>
    </row>
    <row r="35" spans="1:33" x14ac:dyDescent="0.3">
      <c r="B35" s="1575" t="s">
        <v>558</v>
      </c>
      <c r="C35" s="1575"/>
      <c r="D35" s="1575"/>
      <c r="E35" s="1575"/>
      <c r="F35" s="1575"/>
      <c r="G35" s="1575"/>
      <c r="H35" s="6"/>
      <c r="J35" s="4"/>
      <c r="M35" s="4"/>
      <c r="N35" s="4"/>
    </row>
    <row r="36" spans="1:33" x14ac:dyDescent="0.3">
      <c r="B36" s="42"/>
      <c r="C36" s="6"/>
      <c r="D36" s="6"/>
      <c r="E36" s="6"/>
      <c r="F36" s="6"/>
      <c r="G36" s="6"/>
      <c r="H36" s="6"/>
      <c r="J36" s="4"/>
      <c r="M36" s="4"/>
      <c r="N36" s="4"/>
    </row>
    <row r="37" spans="1:33" ht="15.75" customHeight="1" x14ac:dyDescent="0.3">
      <c r="B37" s="42"/>
      <c r="C37" s="6"/>
      <c r="D37" s="6"/>
      <c r="E37" s="6"/>
      <c r="F37" s="6"/>
      <c r="G37" s="6"/>
      <c r="H37" s="6"/>
      <c r="J37" s="4"/>
      <c r="M37" s="4"/>
      <c r="N37" s="4"/>
      <c r="AG37" s="50" t="s">
        <v>10</v>
      </c>
    </row>
    <row r="38" spans="1:33" ht="15.75" customHeight="1" x14ac:dyDescent="0.3">
      <c r="B38" s="1481" t="s">
        <v>327</v>
      </c>
      <c r="C38" s="1481" t="s">
        <v>35</v>
      </c>
      <c r="D38" s="1576" t="s">
        <v>850</v>
      </c>
      <c r="E38" s="1577"/>
      <c r="F38" s="1577"/>
      <c r="G38" s="1577"/>
      <c r="H38" s="1578"/>
      <c r="I38" s="1576" t="s">
        <v>851</v>
      </c>
      <c r="J38" s="1577"/>
      <c r="K38" s="1577"/>
      <c r="L38" s="1577"/>
      <c r="M38" s="1578"/>
      <c r="N38" s="1570" t="s">
        <v>852</v>
      </c>
      <c r="O38" s="1570"/>
      <c r="P38" s="1570"/>
      <c r="Q38" s="1570"/>
      <c r="R38" s="1570"/>
      <c r="S38" s="1570" t="s">
        <v>853</v>
      </c>
      <c r="T38" s="1570"/>
      <c r="U38" s="1570"/>
      <c r="V38" s="1570"/>
      <c r="W38" s="1570"/>
    </row>
    <row r="39" spans="1:33" x14ac:dyDescent="0.3">
      <c r="B39" s="1481"/>
      <c r="C39" s="1481"/>
      <c r="D39" s="1579" t="s">
        <v>20</v>
      </c>
      <c r="E39" s="1580"/>
      <c r="F39" s="1580"/>
      <c r="G39" s="1580"/>
      <c r="H39" s="1581"/>
      <c r="I39" s="1579" t="s">
        <v>20</v>
      </c>
      <c r="J39" s="1580"/>
      <c r="K39" s="1580"/>
      <c r="L39" s="1580"/>
      <c r="M39" s="1581"/>
      <c r="N39" s="1573" t="s">
        <v>20</v>
      </c>
      <c r="O39" s="1574"/>
      <c r="P39" s="1574"/>
      <c r="Q39" s="1574"/>
      <c r="R39" s="1574"/>
      <c r="S39" s="1573" t="s">
        <v>20</v>
      </c>
      <c r="T39" s="1574"/>
      <c r="U39" s="1574"/>
      <c r="V39" s="1574"/>
      <c r="W39" s="1574"/>
    </row>
    <row r="40" spans="1:33" s="29" customFormat="1" ht="42" x14ac:dyDescent="0.25">
      <c r="B40" s="1481"/>
      <c r="C40" s="1481"/>
      <c r="D40" s="250" t="s">
        <v>263</v>
      </c>
      <c r="E40" s="250" t="s">
        <v>264</v>
      </c>
      <c r="F40" s="250" t="s">
        <v>265</v>
      </c>
      <c r="G40" s="64" t="s">
        <v>548</v>
      </c>
      <c r="H40" s="250" t="s">
        <v>266</v>
      </c>
      <c r="I40" s="250" t="s">
        <v>263</v>
      </c>
      <c r="J40" s="250" t="s">
        <v>264</v>
      </c>
      <c r="K40" s="250" t="s">
        <v>265</v>
      </c>
      <c r="L40" s="64" t="s">
        <v>548</v>
      </c>
      <c r="M40" s="250" t="s">
        <v>266</v>
      </c>
      <c r="N40" s="250" t="s">
        <v>263</v>
      </c>
      <c r="O40" s="250" t="s">
        <v>264</v>
      </c>
      <c r="P40" s="250" t="s">
        <v>265</v>
      </c>
      <c r="Q40" s="64" t="s">
        <v>548</v>
      </c>
      <c r="R40" s="250" t="s">
        <v>266</v>
      </c>
      <c r="S40" s="250" t="s">
        <v>263</v>
      </c>
      <c r="T40" s="250" t="s">
        <v>264</v>
      </c>
      <c r="U40" s="250" t="s">
        <v>265</v>
      </c>
      <c r="V40" s="64" t="s">
        <v>548</v>
      </c>
      <c r="W40" s="250" t="s">
        <v>266</v>
      </c>
    </row>
    <row r="41" spans="1:33" s="4" customFormat="1" ht="28" x14ac:dyDescent="0.3">
      <c r="B41" s="179"/>
      <c r="C41" s="179"/>
      <c r="D41" s="179" t="s">
        <v>615</v>
      </c>
      <c r="E41" s="179" t="s">
        <v>616</v>
      </c>
      <c r="F41" s="179" t="s">
        <v>617</v>
      </c>
      <c r="G41" s="179" t="s">
        <v>618</v>
      </c>
      <c r="H41" s="179" t="s">
        <v>619</v>
      </c>
      <c r="I41" s="179" t="s">
        <v>615</v>
      </c>
      <c r="J41" s="179" t="s">
        <v>616</v>
      </c>
      <c r="K41" s="179" t="s">
        <v>617</v>
      </c>
      <c r="L41" s="179" t="s">
        <v>618</v>
      </c>
      <c r="M41" s="179" t="s">
        <v>619</v>
      </c>
      <c r="N41" s="179" t="s">
        <v>615</v>
      </c>
      <c r="O41" s="179" t="s">
        <v>616</v>
      </c>
      <c r="P41" s="179" t="s">
        <v>617</v>
      </c>
      <c r="Q41" s="179" t="s">
        <v>618</v>
      </c>
      <c r="R41" s="179" t="s">
        <v>619</v>
      </c>
      <c r="S41" s="179" t="s">
        <v>615</v>
      </c>
      <c r="T41" s="179" t="s">
        <v>616</v>
      </c>
      <c r="U41" s="179" t="s">
        <v>617</v>
      </c>
      <c r="V41" s="179" t="s">
        <v>618</v>
      </c>
      <c r="W41" s="179" t="s">
        <v>619</v>
      </c>
    </row>
    <row r="42" spans="1:33" s="4" customFormat="1" x14ac:dyDescent="0.3">
      <c r="B42" s="70">
        <v>1</v>
      </c>
      <c r="C42" s="304" t="s">
        <v>755</v>
      </c>
      <c r="D42" s="300">
        <f t="shared" ref="D42:D58" si="7">M16</f>
        <v>31.731225228927713</v>
      </c>
      <c r="E42" s="315"/>
      <c r="F42" s="300"/>
      <c r="G42" s="315"/>
      <c r="H42" s="300">
        <f>D42+E42-F42-G42</f>
        <v>31.731225228927713</v>
      </c>
      <c r="I42" s="300">
        <f>H42</f>
        <v>31.731225228927713</v>
      </c>
      <c r="J42" s="315"/>
      <c r="K42" s="300"/>
      <c r="L42" s="315"/>
      <c r="M42" s="300">
        <f>I42+J42-K42-L42</f>
        <v>31.731225228927713</v>
      </c>
      <c r="N42" s="300">
        <f>M42</f>
        <v>31.731225228927713</v>
      </c>
      <c r="O42" s="315"/>
      <c r="P42" s="300"/>
      <c r="Q42" s="315"/>
      <c r="R42" s="300">
        <f>N42+O42-P42-Q42</f>
        <v>31.731225228927713</v>
      </c>
      <c r="S42" s="300">
        <f>R42</f>
        <v>31.731225228927713</v>
      </c>
      <c r="T42" s="315"/>
      <c r="U42" s="300"/>
      <c r="V42" s="315"/>
      <c r="W42" s="300">
        <f>S42+T42-U42-V42</f>
        <v>31.731225228927713</v>
      </c>
    </row>
    <row r="43" spans="1:33" s="4" customFormat="1" x14ac:dyDescent="0.3">
      <c r="B43" s="70">
        <f>B42+1</f>
        <v>2</v>
      </c>
      <c r="C43" s="304" t="s">
        <v>756</v>
      </c>
      <c r="D43" s="300">
        <f t="shared" si="7"/>
        <v>188.54627358788375</v>
      </c>
      <c r="E43" s="315"/>
      <c r="F43" s="300"/>
      <c r="G43" s="315"/>
      <c r="H43" s="300">
        <f t="shared" ref="H43:H58" si="8">D43+E43-F43-G43</f>
        <v>188.54627358788375</v>
      </c>
      <c r="I43" s="300">
        <f t="shared" ref="I43:I58" si="9">H43</f>
        <v>188.54627358788375</v>
      </c>
      <c r="J43" s="315"/>
      <c r="K43" s="300"/>
      <c r="L43" s="315"/>
      <c r="M43" s="300">
        <f t="shared" ref="M43:M58" si="10">I43+J43-K43-L43</f>
        <v>188.54627358788375</v>
      </c>
      <c r="N43" s="300">
        <f t="shared" ref="N43:N58" si="11">M43</f>
        <v>188.54627358788375</v>
      </c>
      <c r="O43" s="315"/>
      <c r="P43" s="300"/>
      <c r="Q43" s="315"/>
      <c r="R43" s="300">
        <f t="shared" ref="R43:R58" si="12">N43+O43-P43-Q43</f>
        <v>188.54627358788375</v>
      </c>
      <c r="S43" s="300">
        <f t="shared" ref="S43:S58" si="13">R43</f>
        <v>188.54627358788375</v>
      </c>
      <c r="T43" s="315"/>
      <c r="U43" s="300"/>
      <c r="V43" s="315"/>
      <c r="W43" s="300">
        <f t="shared" ref="W43:W58" si="14">S43+T43-U43-V43</f>
        <v>188.54627358788375</v>
      </c>
    </row>
    <row r="44" spans="1:33" x14ac:dyDescent="0.3">
      <c r="A44" s="4"/>
      <c r="B44" s="70">
        <f t="shared" ref="B44:B58" si="15">B43+1</f>
        <v>3</v>
      </c>
      <c r="C44" s="304" t="s">
        <v>757</v>
      </c>
      <c r="D44" s="300">
        <f t="shared" si="7"/>
        <v>0</v>
      </c>
      <c r="E44" s="315"/>
      <c r="F44" s="300"/>
      <c r="G44" s="315"/>
      <c r="H44" s="300">
        <f t="shared" si="8"/>
        <v>0</v>
      </c>
      <c r="I44" s="300">
        <f t="shared" si="9"/>
        <v>0</v>
      </c>
      <c r="J44" s="315"/>
      <c r="K44" s="300"/>
      <c r="L44" s="315"/>
      <c r="M44" s="300">
        <f t="shared" si="10"/>
        <v>0</v>
      </c>
      <c r="N44" s="300">
        <f t="shared" si="11"/>
        <v>0</v>
      </c>
      <c r="O44" s="315"/>
      <c r="P44" s="300"/>
      <c r="Q44" s="315"/>
      <c r="R44" s="300">
        <f t="shared" si="12"/>
        <v>0</v>
      </c>
      <c r="S44" s="300">
        <f t="shared" si="13"/>
        <v>0</v>
      </c>
      <c r="T44" s="315"/>
      <c r="U44" s="300"/>
      <c r="V44" s="315"/>
      <c r="W44" s="300">
        <f t="shared" si="14"/>
        <v>0</v>
      </c>
    </row>
    <row r="45" spans="1:33" x14ac:dyDescent="0.3">
      <c r="A45" s="4"/>
      <c r="B45" s="70">
        <f t="shared" si="15"/>
        <v>4</v>
      </c>
      <c r="C45" s="304" t="s">
        <v>758</v>
      </c>
      <c r="D45" s="300">
        <f t="shared" si="7"/>
        <v>0</v>
      </c>
      <c r="E45" s="315"/>
      <c r="F45" s="300"/>
      <c r="G45" s="315"/>
      <c r="H45" s="300">
        <f t="shared" si="8"/>
        <v>0</v>
      </c>
      <c r="I45" s="300">
        <f t="shared" si="9"/>
        <v>0</v>
      </c>
      <c r="J45" s="315"/>
      <c r="K45" s="300"/>
      <c r="L45" s="315"/>
      <c r="M45" s="300">
        <f t="shared" si="10"/>
        <v>0</v>
      </c>
      <c r="N45" s="300">
        <f t="shared" si="11"/>
        <v>0</v>
      </c>
      <c r="O45" s="315"/>
      <c r="P45" s="300"/>
      <c r="Q45" s="315"/>
      <c r="R45" s="300">
        <f t="shared" si="12"/>
        <v>0</v>
      </c>
      <c r="S45" s="300">
        <f t="shared" si="13"/>
        <v>0</v>
      </c>
      <c r="T45" s="315"/>
      <c r="U45" s="300"/>
      <c r="V45" s="315"/>
      <c r="W45" s="300">
        <f t="shared" si="14"/>
        <v>0</v>
      </c>
    </row>
    <row r="46" spans="1:33" x14ac:dyDescent="0.3">
      <c r="A46" s="4"/>
      <c r="B46" s="70">
        <f t="shared" si="15"/>
        <v>5</v>
      </c>
      <c r="C46" s="304" t="s">
        <v>759</v>
      </c>
      <c r="D46" s="300">
        <f t="shared" si="7"/>
        <v>173.87986323491808</v>
      </c>
      <c r="E46" s="315"/>
      <c r="F46" s="300"/>
      <c r="G46" s="315"/>
      <c r="H46" s="300">
        <f t="shared" si="8"/>
        <v>173.87986323491808</v>
      </c>
      <c r="I46" s="300">
        <f t="shared" si="9"/>
        <v>173.87986323491808</v>
      </c>
      <c r="J46" s="315"/>
      <c r="K46" s="300"/>
      <c r="L46" s="315"/>
      <c r="M46" s="300">
        <f t="shared" si="10"/>
        <v>173.87986323491808</v>
      </c>
      <c r="N46" s="300">
        <f t="shared" si="11"/>
        <v>173.87986323491808</v>
      </c>
      <c r="O46" s="315"/>
      <c r="P46" s="300"/>
      <c r="Q46" s="315"/>
      <c r="R46" s="300">
        <f t="shared" si="12"/>
        <v>173.87986323491808</v>
      </c>
      <c r="S46" s="300">
        <f t="shared" si="13"/>
        <v>173.87986323491808</v>
      </c>
      <c r="T46" s="315"/>
      <c r="U46" s="300"/>
      <c r="V46" s="315"/>
      <c r="W46" s="300">
        <f t="shared" si="14"/>
        <v>173.87986323491808</v>
      </c>
    </row>
    <row r="47" spans="1:33" x14ac:dyDescent="0.3">
      <c r="A47" s="4"/>
      <c r="B47" s="70">
        <f t="shared" si="15"/>
        <v>6</v>
      </c>
      <c r="C47" s="304" t="s">
        <v>251</v>
      </c>
      <c r="D47" s="300">
        <f t="shared" si="7"/>
        <v>5424.9950601549072</v>
      </c>
      <c r="E47" s="315"/>
      <c r="F47" s="300"/>
      <c r="G47" s="315"/>
      <c r="H47" s="300">
        <f t="shared" si="8"/>
        <v>5424.9950601549072</v>
      </c>
      <c r="I47" s="300">
        <f t="shared" si="9"/>
        <v>5424.9950601549072</v>
      </c>
      <c r="J47" s="315"/>
      <c r="K47" s="300"/>
      <c r="L47" s="315"/>
      <c r="M47" s="300">
        <f t="shared" si="10"/>
        <v>5424.9950601549072</v>
      </c>
      <c r="N47" s="300">
        <f t="shared" si="11"/>
        <v>5424.9950601549072</v>
      </c>
      <c r="O47" s="315"/>
      <c r="P47" s="300"/>
      <c r="Q47" s="315"/>
      <c r="R47" s="300">
        <f t="shared" si="12"/>
        <v>5424.9950601549072</v>
      </c>
      <c r="S47" s="300">
        <f t="shared" si="13"/>
        <v>5424.9950601549072</v>
      </c>
      <c r="T47" s="315"/>
      <c r="U47" s="300"/>
      <c r="V47" s="315"/>
      <c r="W47" s="300">
        <f t="shared" si="14"/>
        <v>5424.9950601549072</v>
      </c>
    </row>
    <row r="48" spans="1:33" x14ac:dyDescent="0.3">
      <c r="A48" s="4"/>
      <c r="B48" s="70">
        <f t="shared" si="15"/>
        <v>7</v>
      </c>
      <c r="C48" s="304" t="s">
        <v>760</v>
      </c>
      <c r="D48" s="300">
        <f t="shared" si="7"/>
        <v>6.0966184199835345</v>
      </c>
      <c r="E48" s="315"/>
      <c r="F48" s="300"/>
      <c r="G48" s="315"/>
      <c r="H48" s="300">
        <f t="shared" si="8"/>
        <v>6.0966184199835345</v>
      </c>
      <c r="I48" s="300">
        <f t="shared" si="9"/>
        <v>6.0966184199835345</v>
      </c>
      <c r="J48" s="315"/>
      <c r="K48" s="300"/>
      <c r="L48" s="315"/>
      <c r="M48" s="300">
        <f t="shared" si="10"/>
        <v>6.0966184199835345</v>
      </c>
      <c r="N48" s="300">
        <f t="shared" si="11"/>
        <v>6.0966184199835345</v>
      </c>
      <c r="O48" s="315"/>
      <c r="P48" s="300"/>
      <c r="Q48" s="315"/>
      <c r="R48" s="300">
        <f t="shared" si="12"/>
        <v>6.0966184199835345</v>
      </c>
      <c r="S48" s="300">
        <f t="shared" si="13"/>
        <v>6.0966184199835345</v>
      </c>
      <c r="T48" s="315"/>
      <c r="U48" s="300"/>
      <c r="V48" s="315"/>
      <c r="W48" s="300">
        <f t="shared" si="14"/>
        <v>6.0966184199835345</v>
      </c>
    </row>
    <row r="49" spans="1:23" x14ac:dyDescent="0.3">
      <c r="A49" s="4"/>
      <c r="B49" s="70">
        <f t="shared" si="15"/>
        <v>8</v>
      </c>
      <c r="C49" s="304" t="s">
        <v>761</v>
      </c>
      <c r="D49" s="300">
        <f t="shared" si="7"/>
        <v>0</v>
      </c>
      <c r="E49" s="315"/>
      <c r="F49" s="300"/>
      <c r="G49" s="315"/>
      <c r="H49" s="300">
        <f t="shared" si="8"/>
        <v>0</v>
      </c>
      <c r="I49" s="300">
        <f t="shared" si="9"/>
        <v>0</v>
      </c>
      <c r="J49" s="315"/>
      <c r="K49" s="300"/>
      <c r="L49" s="315"/>
      <c r="M49" s="300">
        <f t="shared" si="10"/>
        <v>0</v>
      </c>
      <c r="N49" s="300">
        <f t="shared" si="11"/>
        <v>0</v>
      </c>
      <c r="O49" s="315"/>
      <c r="P49" s="300"/>
      <c r="Q49" s="315"/>
      <c r="R49" s="300">
        <f t="shared" si="12"/>
        <v>0</v>
      </c>
      <c r="S49" s="300">
        <f t="shared" si="13"/>
        <v>0</v>
      </c>
      <c r="T49" s="315"/>
      <c r="U49" s="300"/>
      <c r="V49" s="315"/>
      <c r="W49" s="300">
        <f t="shared" si="14"/>
        <v>0</v>
      </c>
    </row>
    <row r="50" spans="1:23" x14ac:dyDescent="0.3">
      <c r="A50" s="4"/>
      <c r="B50" s="70">
        <f t="shared" si="15"/>
        <v>9</v>
      </c>
      <c r="C50" s="304" t="s">
        <v>762</v>
      </c>
      <c r="D50" s="300">
        <f t="shared" si="7"/>
        <v>0</v>
      </c>
      <c r="E50" s="315"/>
      <c r="F50" s="300"/>
      <c r="G50" s="315"/>
      <c r="H50" s="300">
        <f t="shared" si="8"/>
        <v>0</v>
      </c>
      <c r="I50" s="300">
        <f t="shared" si="9"/>
        <v>0</v>
      </c>
      <c r="J50" s="315"/>
      <c r="K50" s="300"/>
      <c r="L50" s="315"/>
      <c r="M50" s="300">
        <f t="shared" si="10"/>
        <v>0</v>
      </c>
      <c r="N50" s="300">
        <f t="shared" si="11"/>
        <v>0</v>
      </c>
      <c r="O50" s="315"/>
      <c r="P50" s="300"/>
      <c r="Q50" s="315"/>
      <c r="R50" s="300">
        <f t="shared" si="12"/>
        <v>0</v>
      </c>
      <c r="S50" s="300">
        <f t="shared" si="13"/>
        <v>0</v>
      </c>
      <c r="T50" s="315"/>
      <c r="U50" s="300"/>
      <c r="V50" s="315"/>
      <c r="W50" s="300">
        <f t="shared" si="14"/>
        <v>0</v>
      </c>
    </row>
    <row r="51" spans="1:23" x14ac:dyDescent="0.3">
      <c r="A51" s="4"/>
      <c r="B51" s="70">
        <f t="shared" si="15"/>
        <v>10</v>
      </c>
      <c r="C51" s="304" t="s">
        <v>254</v>
      </c>
      <c r="D51" s="300">
        <f t="shared" si="7"/>
        <v>0</v>
      </c>
      <c r="E51" s="315"/>
      <c r="F51" s="300"/>
      <c r="G51" s="315"/>
      <c r="H51" s="300">
        <f t="shared" si="8"/>
        <v>0</v>
      </c>
      <c r="I51" s="300">
        <f t="shared" si="9"/>
        <v>0</v>
      </c>
      <c r="J51" s="315"/>
      <c r="K51" s="300"/>
      <c r="L51" s="315"/>
      <c r="M51" s="300">
        <f t="shared" si="10"/>
        <v>0</v>
      </c>
      <c r="N51" s="300">
        <f t="shared" si="11"/>
        <v>0</v>
      </c>
      <c r="O51" s="315"/>
      <c r="P51" s="300"/>
      <c r="Q51" s="315"/>
      <c r="R51" s="300">
        <f t="shared" si="12"/>
        <v>0</v>
      </c>
      <c r="S51" s="300">
        <f t="shared" si="13"/>
        <v>0</v>
      </c>
      <c r="T51" s="315"/>
      <c r="U51" s="300"/>
      <c r="V51" s="315"/>
      <c r="W51" s="300">
        <f t="shared" si="14"/>
        <v>0</v>
      </c>
    </row>
    <row r="52" spans="1:23" x14ac:dyDescent="0.3">
      <c r="A52" s="4"/>
      <c r="B52" s="70">
        <f t="shared" si="15"/>
        <v>11</v>
      </c>
      <c r="C52" s="304" t="s">
        <v>255</v>
      </c>
      <c r="D52" s="300">
        <f t="shared" si="7"/>
        <v>0</v>
      </c>
      <c r="E52" s="315"/>
      <c r="F52" s="300"/>
      <c r="G52" s="315"/>
      <c r="H52" s="300">
        <f t="shared" si="8"/>
        <v>0</v>
      </c>
      <c r="I52" s="300">
        <f t="shared" si="9"/>
        <v>0</v>
      </c>
      <c r="J52" s="315"/>
      <c r="K52" s="300"/>
      <c r="L52" s="315"/>
      <c r="M52" s="300">
        <f t="shared" si="10"/>
        <v>0</v>
      </c>
      <c r="N52" s="300">
        <f t="shared" si="11"/>
        <v>0</v>
      </c>
      <c r="O52" s="315"/>
      <c r="P52" s="300"/>
      <c r="Q52" s="315"/>
      <c r="R52" s="300">
        <f t="shared" si="12"/>
        <v>0</v>
      </c>
      <c r="S52" s="300">
        <f t="shared" si="13"/>
        <v>0</v>
      </c>
      <c r="T52" s="315"/>
      <c r="U52" s="300"/>
      <c r="V52" s="315"/>
      <c r="W52" s="300">
        <f t="shared" si="14"/>
        <v>0</v>
      </c>
    </row>
    <row r="53" spans="1:23" x14ac:dyDescent="0.3">
      <c r="A53" s="4"/>
      <c r="B53" s="70">
        <f t="shared" si="15"/>
        <v>12</v>
      </c>
      <c r="C53" s="304" t="s">
        <v>256</v>
      </c>
      <c r="D53" s="300">
        <f t="shared" si="7"/>
        <v>0</v>
      </c>
      <c r="E53" s="315"/>
      <c r="F53" s="300"/>
      <c r="G53" s="315"/>
      <c r="H53" s="300">
        <f t="shared" si="8"/>
        <v>0</v>
      </c>
      <c r="I53" s="300">
        <f t="shared" si="9"/>
        <v>0</v>
      </c>
      <c r="J53" s="315"/>
      <c r="K53" s="300"/>
      <c r="L53" s="315"/>
      <c r="M53" s="300">
        <f t="shared" si="10"/>
        <v>0</v>
      </c>
      <c r="N53" s="300">
        <f t="shared" si="11"/>
        <v>0</v>
      </c>
      <c r="O53" s="315"/>
      <c r="P53" s="300"/>
      <c r="Q53" s="315"/>
      <c r="R53" s="300">
        <f t="shared" si="12"/>
        <v>0</v>
      </c>
      <c r="S53" s="300">
        <f t="shared" si="13"/>
        <v>0</v>
      </c>
      <c r="T53" s="315"/>
      <c r="U53" s="300"/>
      <c r="V53" s="315"/>
      <c r="W53" s="300">
        <f t="shared" si="14"/>
        <v>0</v>
      </c>
    </row>
    <row r="54" spans="1:23" x14ac:dyDescent="0.3">
      <c r="A54" s="4"/>
      <c r="B54" s="70">
        <f t="shared" si="15"/>
        <v>13</v>
      </c>
      <c r="C54" s="304" t="s">
        <v>810</v>
      </c>
      <c r="D54" s="300">
        <f t="shared" si="7"/>
        <v>0</v>
      </c>
      <c r="E54" s="315"/>
      <c r="F54" s="300"/>
      <c r="G54" s="315"/>
      <c r="H54" s="300">
        <f t="shared" si="8"/>
        <v>0</v>
      </c>
      <c r="I54" s="300">
        <f t="shared" si="9"/>
        <v>0</v>
      </c>
      <c r="J54" s="315"/>
      <c r="K54" s="300"/>
      <c r="L54" s="315"/>
      <c r="M54" s="300">
        <f t="shared" si="10"/>
        <v>0</v>
      </c>
      <c r="N54" s="300">
        <f t="shared" si="11"/>
        <v>0</v>
      </c>
      <c r="O54" s="315"/>
      <c r="P54" s="300"/>
      <c r="Q54" s="315"/>
      <c r="R54" s="300">
        <f t="shared" si="12"/>
        <v>0</v>
      </c>
      <c r="S54" s="300">
        <f t="shared" si="13"/>
        <v>0</v>
      </c>
      <c r="T54" s="315"/>
      <c r="U54" s="300"/>
      <c r="V54" s="315"/>
      <c r="W54" s="300">
        <f t="shared" si="14"/>
        <v>0</v>
      </c>
    </row>
    <row r="55" spans="1:23" x14ac:dyDescent="0.3">
      <c r="A55" s="4"/>
      <c r="B55" s="70">
        <f t="shared" si="15"/>
        <v>14</v>
      </c>
      <c r="C55" s="304" t="s">
        <v>811</v>
      </c>
      <c r="D55" s="300">
        <f t="shared" si="7"/>
        <v>10.811796064461756</v>
      </c>
      <c r="E55" s="315"/>
      <c r="F55" s="300"/>
      <c r="G55" s="315"/>
      <c r="H55" s="300">
        <f t="shared" si="8"/>
        <v>10.811796064461756</v>
      </c>
      <c r="I55" s="300">
        <f t="shared" si="9"/>
        <v>10.811796064461756</v>
      </c>
      <c r="J55" s="315"/>
      <c r="K55" s="300"/>
      <c r="L55" s="315"/>
      <c r="M55" s="300">
        <f t="shared" si="10"/>
        <v>10.811796064461756</v>
      </c>
      <c r="N55" s="300">
        <f t="shared" si="11"/>
        <v>10.811796064461756</v>
      </c>
      <c r="O55" s="315"/>
      <c r="P55" s="300"/>
      <c r="Q55" s="315"/>
      <c r="R55" s="300">
        <f t="shared" si="12"/>
        <v>10.811796064461756</v>
      </c>
      <c r="S55" s="300">
        <f t="shared" si="13"/>
        <v>10.811796064461756</v>
      </c>
      <c r="T55" s="315"/>
      <c r="U55" s="300"/>
      <c r="V55" s="315"/>
      <c r="W55" s="300">
        <f t="shared" si="14"/>
        <v>10.811796064461756</v>
      </c>
    </row>
    <row r="56" spans="1:23" x14ac:dyDescent="0.3">
      <c r="A56" s="4"/>
      <c r="B56" s="70">
        <f t="shared" si="15"/>
        <v>15</v>
      </c>
      <c r="C56" s="304" t="s">
        <v>812</v>
      </c>
      <c r="D56" s="300">
        <f t="shared" si="7"/>
        <v>0</v>
      </c>
      <c r="E56" s="315"/>
      <c r="F56" s="300"/>
      <c r="G56" s="315"/>
      <c r="H56" s="300">
        <f t="shared" si="8"/>
        <v>0</v>
      </c>
      <c r="I56" s="300">
        <f t="shared" si="9"/>
        <v>0</v>
      </c>
      <c r="J56" s="315"/>
      <c r="K56" s="300"/>
      <c r="L56" s="315"/>
      <c r="M56" s="300">
        <f t="shared" si="10"/>
        <v>0</v>
      </c>
      <c r="N56" s="300">
        <f t="shared" si="11"/>
        <v>0</v>
      </c>
      <c r="O56" s="315"/>
      <c r="P56" s="300"/>
      <c r="Q56" s="315"/>
      <c r="R56" s="300">
        <f t="shared" si="12"/>
        <v>0</v>
      </c>
      <c r="S56" s="300">
        <f t="shared" si="13"/>
        <v>0</v>
      </c>
      <c r="T56" s="315"/>
      <c r="U56" s="300"/>
      <c r="V56" s="315"/>
      <c r="W56" s="300">
        <f t="shared" si="14"/>
        <v>0</v>
      </c>
    </row>
    <row r="57" spans="1:23" x14ac:dyDescent="0.3">
      <c r="A57" s="4"/>
      <c r="B57" s="70">
        <f t="shared" si="15"/>
        <v>16</v>
      </c>
      <c r="C57" s="304" t="s">
        <v>763</v>
      </c>
      <c r="D57" s="300">
        <f t="shared" si="7"/>
        <v>0</v>
      </c>
      <c r="E57" s="315"/>
      <c r="F57" s="300"/>
      <c r="G57" s="315"/>
      <c r="H57" s="300">
        <f t="shared" si="8"/>
        <v>0</v>
      </c>
      <c r="I57" s="300">
        <f t="shared" si="9"/>
        <v>0</v>
      </c>
      <c r="J57" s="315"/>
      <c r="K57" s="300"/>
      <c r="L57" s="315"/>
      <c r="M57" s="300">
        <f t="shared" si="10"/>
        <v>0</v>
      </c>
      <c r="N57" s="300">
        <f t="shared" si="11"/>
        <v>0</v>
      </c>
      <c r="O57" s="315"/>
      <c r="P57" s="300"/>
      <c r="Q57" s="315"/>
      <c r="R57" s="300">
        <f t="shared" si="12"/>
        <v>0</v>
      </c>
      <c r="S57" s="300">
        <f t="shared" si="13"/>
        <v>0</v>
      </c>
      <c r="T57" s="315"/>
      <c r="U57" s="300"/>
      <c r="V57" s="315"/>
      <c r="W57" s="300">
        <f t="shared" si="14"/>
        <v>0</v>
      </c>
    </row>
    <row r="58" spans="1:23" x14ac:dyDescent="0.3">
      <c r="A58" s="4"/>
      <c r="B58" s="70">
        <f t="shared" si="15"/>
        <v>17</v>
      </c>
      <c r="C58" s="304" t="s">
        <v>813</v>
      </c>
      <c r="D58" s="300">
        <f t="shared" si="7"/>
        <v>0</v>
      </c>
      <c r="E58" s="315"/>
      <c r="F58" s="300"/>
      <c r="G58" s="315"/>
      <c r="H58" s="300">
        <f t="shared" si="8"/>
        <v>0</v>
      </c>
      <c r="I58" s="300">
        <f t="shared" si="9"/>
        <v>0</v>
      </c>
      <c r="J58" s="315"/>
      <c r="K58" s="300"/>
      <c r="L58" s="315"/>
      <c r="M58" s="300">
        <f t="shared" si="10"/>
        <v>0</v>
      </c>
      <c r="N58" s="300">
        <f t="shared" si="11"/>
        <v>0</v>
      </c>
      <c r="O58" s="315"/>
      <c r="P58" s="300"/>
      <c r="Q58" s="315"/>
      <c r="R58" s="300">
        <f t="shared" si="12"/>
        <v>0</v>
      </c>
      <c r="S58" s="300">
        <f t="shared" si="13"/>
        <v>0</v>
      </c>
      <c r="T58" s="315"/>
      <c r="U58" s="300"/>
      <c r="V58" s="315"/>
      <c r="W58" s="300">
        <f t="shared" si="14"/>
        <v>0</v>
      </c>
    </row>
    <row r="59" spans="1:23" ht="16" x14ac:dyDescent="0.3">
      <c r="B59" s="61"/>
      <c r="C59" s="71" t="s">
        <v>267</v>
      </c>
      <c r="D59" s="237">
        <f>SUM(D42:D58)</f>
        <v>5836.060836691081</v>
      </c>
      <c r="E59" s="237">
        <f>SUM(E42:E58)</f>
        <v>0</v>
      </c>
      <c r="F59" s="237">
        <f>SUM(F42:F58)</f>
        <v>0</v>
      </c>
      <c r="G59" s="237">
        <f>SUM(G42:G58)</f>
        <v>0</v>
      </c>
      <c r="H59" s="237">
        <f>SUM(H42:H58)</f>
        <v>5836.060836691081</v>
      </c>
      <c r="I59" s="237">
        <f t="shared" ref="I59:M59" si="16">SUM(I42:I58)</f>
        <v>5836.060836691081</v>
      </c>
      <c r="J59" s="237">
        <f t="shared" si="16"/>
        <v>0</v>
      </c>
      <c r="K59" s="237">
        <f t="shared" si="16"/>
        <v>0</v>
      </c>
      <c r="L59" s="237">
        <f t="shared" si="16"/>
        <v>0</v>
      </c>
      <c r="M59" s="237">
        <f t="shared" si="16"/>
        <v>5836.060836691081</v>
      </c>
      <c r="N59" s="237">
        <f t="shared" ref="N59:W59" si="17">SUM(N42:N58)</f>
        <v>5836.060836691081</v>
      </c>
      <c r="O59" s="237">
        <f t="shared" si="17"/>
        <v>0</v>
      </c>
      <c r="P59" s="237">
        <f t="shared" si="17"/>
        <v>0</v>
      </c>
      <c r="Q59" s="237">
        <f t="shared" si="17"/>
        <v>0</v>
      </c>
      <c r="R59" s="237">
        <f t="shared" si="17"/>
        <v>5836.060836691081</v>
      </c>
      <c r="S59" s="237">
        <f t="shared" si="17"/>
        <v>5836.060836691081</v>
      </c>
      <c r="T59" s="237">
        <f t="shared" si="17"/>
        <v>0</v>
      </c>
      <c r="U59" s="237">
        <f t="shared" si="17"/>
        <v>0</v>
      </c>
      <c r="V59" s="237">
        <f t="shared" si="17"/>
        <v>0</v>
      </c>
      <c r="W59" s="237">
        <f t="shared" si="17"/>
        <v>5836.060836691081</v>
      </c>
    </row>
    <row r="60" spans="1:23" ht="16" x14ac:dyDescent="0.3">
      <c r="B60" s="34"/>
      <c r="C60" s="34"/>
      <c r="D60" s="34"/>
      <c r="E60" s="34"/>
      <c r="F60" s="34"/>
      <c r="G60" s="34"/>
      <c r="H60" s="34"/>
      <c r="I60" s="34"/>
      <c r="J60" s="34"/>
      <c r="K60" s="34"/>
      <c r="L60" s="34"/>
      <c r="M60" s="34"/>
      <c r="N60" s="34"/>
      <c r="O60" s="34"/>
    </row>
    <row r="61" spans="1:23" ht="16" x14ac:dyDescent="0.3">
      <c r="B61" s="34"/>
      <c r="C61" s="34"/>
      <c r="D61" s="34"/>
      <c r="E61" s="34"/>
      <c r="F61" s="34"/>
      <c r="G61" s="34"/>
      <c r="H61" s="34"/>
      <c r="I61" s="34"/>
      <c r="J61" s="34"/>
      <c r="K61" s="34"/>
      <c r="L61" s="34"/>
      <c r="M61" s="34"/>
      <c r="N61" s="34"/>
      <c r="O61" s="34"/>
    </row>
    <row r="63" spans="1:23" x14ac:dyDescent="0.3">
      <c r="B63" s="42" t="s">
        <v>268</v>
      </c>
    </row>
    <row r="64" spans="1:23" x14ac:dyDescent="0.3">
      <c r="B64" s="42"/>
    </row>
    <row r="65" spans="1:18" ht="15" customHeight="1" x14ac:dyDescent="0.3">
      <c r="D65" s="6"/>
      <c r="E65" s="6"/>
      <c r="F65" s="6"/>
      <c r="G65" s="6"/>
      <c r="H65" s="6"/>
      <c r="J65" s="4"/>
      <c r="M65" s="50" t="s">
        <v>10</v>
      </c>
      <c r="N65" s="4"/>
    </row>
    <row r="66" spans="1:18" ht="15" customHeight="1" x14ac:dyDescent="0.3">
      <c r="B66" s="1481" t="s">
        <v>327</v>
      </c>
      <c r="C66" s="1481" t="s">
        <v>35</v>
      </c>
      <c r="D66" s="1579" t="s">
        <v>477</v>
      </c>
      <c r="E66" s="1580"/>
      <c r="F66" s="1580"/>
      <c r="G66" s="1580"/>
      <c r="H66" s="1581"/>
      <c r="I66" s="1570" t="s">
        <v>849</v>
      </c>
      <c r="J66" s="1570"/>
      <c r="K66" s="1570"/>
      <c r="L66" s="1570"/>
      <c r="M66" s="1570"/>
    </row>
    <row r="67" spans="1:18" x14ac:dyDescent="0.3">
      <c r="B67" s="1481"/>
      <c r="C67" s="1481"/>
      <c r="D67" s="1571" t="s">
        <v>7</v>
      </c>
      <c r="E67" s="1572"/>
      <c r="F67" s="1572"/>
      <c r="G67" s="1572"/>
      <c r="H67" s="1572"/>
      <c r="I67" s="1573" t="s">
        <v>20</v>
      </c>
      <c r="J67" s="1574"/>
      <c r="K67" s="1574"/>
      <c r="L67" s="1574"/>
      <c r="M67" s="1574"/>
    </row>
    <row r="68" spans="1:18" ht="56" x14ac:dyDescent="0.3">
      <c r="A68" s="791" t="s">
        <v>2829</v>
      </c>
      <c r="B68" s="1481"/>
      <c r="C68" s="1481"/>
      <c r="D68" s="250" t="s">
        <v>269</v>
      </c>
      <c r="E68" s="250" t="s">
        <v>264</v>
      </c>
      <c r="F68" s="181" t="s">
        <v>270</v>
      </c>
      <c r="G68" s="64" t="s">
        <v>548</v>
      </c>
      <c r="H68" s="250" t="s">
        <v>271</v>
      </c>
      <c r="I68" s="250" t="s">
        <v>269</v>
      </c>
      <c r="J68" s="250" t="s">
        <v>264</v>
      </c>
      <c r="K68" s="181" t="s">
        <v>270</v>
      </c>
      <c r="L68" s="64" t="s">
        <v>548</v>
      </c>
      <c r="M68" s="250" t="s">
        <v>271</v>
      </c>
      <c r="O68" s="4" t="s">
        <v>2828</v>
      </c>
    </row>
    <row r="69" spans="1:18" x14ac:dyDescent="0.3">
      <c r="B69" s="179"/>
      <c r="C69" s="179"/>
      <c r="D69" s="179" t="s">
        <v>78</v>
      </c>
      <c r="E69" s="179" t="s">
        <v>79</v>
      </c>
      <c r="F69" s="179" t="s">
        <v>435</v>
      </c>
      <c r="G69" s="179" t="s">
        <v>378</v>
      </c>
      <c r="H69" s="179" t="s">
        <v>549</v>
      </c>
      <c r="I69" s="179" t="s">
        <v>610</v>
      </c>
      <c r="J69" s="179" t="s">
        <v>611</v>
      </c>
      <c r="K69" s="179" t="s">
        <v>612</v>
      </c>
      <c r="L69" s="179" t="s">
        <v>613</v>
      </c>
      <c r="M69" s="179" t="s">
        <v>614</v>
      </c>
    </row>
    <row r="70" spans="1:18" x14ac:dyDescent="0.3">
      <c r="A70" s="310"/>
      <c r="B70" s="70">
        <v>1</v>
      </c>
      <c r="C70" s="304" t="s">
        <v>755</v>
      </c>
      <c r="D70" s="315"/>
      <c r="E70" s="238">
        <f>IF((IFERROR(D70/((D16+E16)*90%),0))&lt;70%,MIN((MAX((D16+E16)*90%-D70,0)),(D16+E16)*$O6*38/365),MAX((E16+D16)*90%-D70,0)/E$88)</f>
        <v>0</v>
      </c>
      <c r="F70" s="238">
        <f>IFERROR(IF(D70=0,0,D70/D16*F16),0)</f>
        <v>0</v>
      </c>
      <c r="G70" s="239"/>
      <c r="H70" s="238">
        <f>D70+E70-F70-G70</f>
        <v>0</v>
      </c>
      <c r="I70" s="235">
        <f>H70</f>
        <v>0</v>
      </c>
      <c r="J70" s="238">
        <f>IF((IFERROR(I70/((I16+J16)*90%),0))&lt;70%,MIN((MAX((I16+J16)*90%-I70,0)),(I16+J16/2)*$A97),MAX((J16+I16)*90%-I70,0)/J$88)</f>
        <v>0</v>
      </c>
      <c r="K70" s="238">
        <f t="shared" ref="K70:K86" si="18">IFERROR(IF(I70=0,0,I70/I16*K16),0)</f>
        <v>0</v>
      </c>
      <c r="L70" s="239"/>
      <c r="M70" s="235">
        <f>I70+J70-K70-L70</f>
        <v>0</v>
      </c>
      <c r="O70" s="310">
        <v>0</v>
      </c>
      <c r="P70" s="901" t="b">
        <f>O70=A70</f>
        <v>1</v>
      </c>
      <c r="Q70" s="1" t="b">
        <f>O70=A97</f>
        <v>1</v>
      </c>
      <c r="R70" s="1" t="b">
        <f>A70=A97</f>
        <v>1</v>
      </c>
    </row>
    <row r="71" spans="1:18" x14ac:dyDescent="0.3">
      <c r="A71" s="310"/>
      <c r="B71" s="70">
        <f>B70+1</f>
        <v>2</v>
      </c>
      <c r="C71" s="304" t="s">
        <v>756</v>
      </c>
      <c r="D71" s="315"/>
      <c r="E71" s="238">
        <f t="shared" ref="E71:E86" si="19">IF((IFERROR(D71/((D17+E17)*90%),0))&lt;70%,MIN((MAX((D17+E17)*90%-D71,0)),(D17+E17)*38/365*$O71),MAX((E17+D17)*90%-D71,0)/E$88)</f>
        <v>0.65562446695271792</v>
      </c>
      <c r="F71" s="238">
        <f t="shared" ref="F71:F86" si="20">IFERROR(IF(D71=0,0,D71/D17*F17),0)</f>
        <v>0</v>
      </c>
      <c r="G71" s="239"/>
      <c r="H71" s="238">
        <f>D71+E71-F71-G71</f>
        <v>0.65562446695271792</v>
      </c>
      <c r="I71" s="235">
        <f t="shared" ref="I71:I86" si="21">H71</f>
        <v>0.65562446695271792</v>
      </c>
      <c r="J71" s="238">
        <f t="shared" ref="J71:J82" si="22">IF((IFERROR(I71/((I17+J17)*90%),0))&lt;70%,MIN((MAX((I17+J17)*90%-I71,0)),(I17+J17/2)*$A98),MAX((J17+I17)*90%-I71,0)/J$88)</f>
        <v>6.2974455378353174</v>
      </c>
      <c r="K71" s="238">
        <f t="shared" si="18"/>
        <v>0</v>
      </c>
      <c r="L71" s="239"/>
      <c r="M71" s="235">
        <f t="shared" ref="M71:M81" si="23">I71+J71-K71-L71</f>
        <v>6.9530700047880352</v>
      </c>
      <c r="O71" s="310">
        <v>3.3399999999999999E-2</v>
      </c>
      <c r="P71" s="901" t="b">
        <f t="shared" ref="P71:P86" si="24">O71=A71</f>
        <v>0</v>
      </c>
      <c r="Q71" s="1" t="b">
        <f t="shared" ref="Q71:Q86" si="25">O71=A98</f>
        <v>1</v>
      </c>
      <c r="R71" s="1" t="b">
        <f t="shared" ref="R71:R86" si="26">A71=A98</f>
        <v>0</v>
      </c>
    </row>
    <row r="72" spans="1:18" x14ac:dyDescent="0.3">
      <c r="A72" s="310"/>
      <c r="B72" s="70">
        <f t="shared" ref="B72:B86" si="27">B71+1</f>
        <v>3</v>
      </c>
      <c r="C72" s="304" t="s">
        <v>757</v>
      </c>
      <c r="D72" s="315"/>
      <c r="E72" s="238">
        <f t="shared" si="19"/>
        <v>0</v>
      </c>
      <c r="F72" s="238">
        <f t="shared" si="20"/>
        <v>0</v>
      </c>
      <c r="G72" s="239"/>
      <c r="H72" s="238">
        <f t="shared" ref="H72:H86" si="28">D72+E72-F72-G72</f>
        <v>0</v>
      </c>
      <c r="I72" s="235">
        <f t="shared" si="21"/>
        <v>0</v>
      </c>
      <c r="J72" s="238">
        <f t="shared" si="22"/>
        <v>0</v>
      </c>
      <c r="K72" s="238">
        <f t="shared" si="18"/>
        <v>0</v>
      </c>
      <c r="L72" s="239"/>
      <c r="M72" s="235">
        <f t="shared" si="23"/>
        <v>0</v>
      </c>
      <c r="O72" s="310">
        <v>5.28E-2</v>
      </c>
      <c r="P72" s="901" t="b">
        <f t="shared" si="24"/>
        <v>0</v>
      </c>
      <c r="Q72" s="1" t="b">
        <f t="shared" si="25"/>
        <v>1</v>
      </c>
      <c r="R72" s="1" t="b">
        <f t="shared" si="26"/>
        <v>0</v>
      </c>
    </row>
    <row r="73" spans="1:18" x14ac:dyDescent="0.3">
      <c r="A73" s="310"/>
      <c r="B73" s="70">
        <f t="shared" si="27"/>
        <v>4</v>
      </c>
      <c r="C73" s="304" t="s">
        <v>758</v>
      </c>
      <c r="D73" s="315"/>
      <c r="E73" s="238">
        <f t="shared" si="19"/>
        <v>0</v>
      </c>
      <c r="F73" s="238">
        <f t="shared" si="20"/>
        <v>0</v>
      </c>
      <c r="G73" s="239"/>
      <c r="H73" s="238">
        <f t="shared" si="28"/>
        <v>0</v>
      </c>
      <c r="I73" s="235">
        <f t="shared" si="21"/>
        <v>0</v>
      </c>
      <c r="J73" s="238">
        <f t="shared" si="22"/>
        <v>0</v>
      </c>
      <c r="K73" s="238">
        <f t="shared" si="18"/>
        <v>0</v>
      </c>
      <c r="L73" s="239"/>
      <c r="M73" s="235">
        <f t="shared" si="23"/>
        <v>0</v>
      </c>
      <c r="O73" s="310">
        <v>5.28E-2</v>
      </c>
      <c r="P73" s="901" t="b">
        <f t="shared" si="24"/>
        <v>0</v>
      </c>
      <c r="Q73" s="1" t="b">
        <f t="shared" si="25"/>
        <v>1</v>
      </c>
      <c r="R73" s="1" t="b">
        <f t="shared" si="26"/>
        <v>0</v>
      </c>
    </row>
    <row r="74" spans="1:18" x14ac:dyDescent="0.3">
      <c r="A74" s="310"/>
      <c r="B74" s="70">
        <f t="shared" si="27"/>
        <v>5</v>
      </c>
      <c r="C74" s="304" t="s">
        <v>759</v>
      </c>
      <c r="D74" s="315"/>
      <c r="E74" s="238">
        <f t="shared" si="19"/>
        <v>0.60462554087056986</v>
      </c>
      <c r="F74" s="238">
        <f t="shared" si="20"/>
        <v>0</v>
      </c>
      <c r="G74" s="239"/>
      <c r="H74" s="238">
        <f t="shared" si="28"/>
        <v>0.60462554087056986</v>
      </c>
      <c r="I74" s="235">
        <f t="shared" si="21"/>
        <v>0.60462554087056986</v>
      </c>
      <c r="J74" s="238">
        <f t="shared" si="22"/>
        <v>5.8075874320462635</v>
      </c>
      <c r="K74" s="238">
        <f t="shared" si="18"/>
        <v>0</v>
      </c>
      <c r="L74" s="239"/>
      <c r="M74" s="235">
        <f t="shared" si="23"/>
        <v>6.4122129729168336</v>
      </c>
      <c r="O74" s="310">
        <v>3.3399999999999999E-2</v>
      </c>
      <c r="P74" s="901" t="b">
        <f t="shared" si="24"/>
        <v>0</v>
      </c>
      <c r="Q74" s="1" t="b">
        <f t="shared" si="25"/>
        <v>1</v>
      </c>
      <c r="R74" s="1" t="b">
        <f t="shared" si="26"/>
        <v>0</v>
      </c>
    </row>
    <row r="75" spans="1:18" x14ac:dyDescent="0.3">
      <c r="A75" s="310"/>
      <c r="B75" s="70">
        <f t="shared" si="27"/>
        <v>6</v>
      </c>
      <c r="C75" s="304" t="s">
        <v>251</v>
      </c>
      <c r="D75" s="315"/>
      <c r="E75" s="238">
        <f t="shared" si="19"/>
        <v>29.821123530670697</v>
      </c>
      <c r="F75" s="238">
        <f>IFERROR(IF(D75=0,0,D75/D21*F21),0)</f>
        <v>0</v>
      </c>
      <c r="G75" s="239"/>
      <c r="H75" s="238">
        <f t="shared" si="28"/>
        <v>29.821123530670697</v>
      </c>
      <c r="I75" s="235">
        <f t="shared" si="21"/>
        <v>29.821123530670697</v>
      </c>
      <c r="J75" s="238">
        <f t="shared" si="22"/>
        <v>286.4397391761791</v>
      </c>
      <c r="K75" s="238">
        <f t="shared" si="18"/>
        <v>0</v>
      </c>
      <c r="L75" s="239"/>
      <c r="M75" s="235">
        <f t="shared" si="23"/>
        <v>316.26086270684982</v>
      </c>
      <c r="O75" s="310">
        <v>5.28E-2</v>
      </c>
      <c r="P75" s="901" t="b">
        <f t="shared" si="24"/>
        <v>0</v>
      </c>
      <c r="Q75" s="1" t="b">
        <f t="shared" si="25"/>
        <v>1</v>
      </c>
      <c r="R75" s="1" t="b">
        <f t="shared" si="26"/>
        <v>0</v>
      </c>
    </row>
    <row r="76" spans="1:18" x14ac:dyDescent="0.3">
      <c r="A76" s="310"/>
      <c r="B76" s="70">
        <f t="shared" si="27"/>
        <v>7</v>
      </c>
      <c r="C76" s="304" t="s">
        <v>760</v>
      </c>
      <c r="D76" s="315"/>
      <c r="E76" s="238">
        <f t="shared" si="19"/>
        <v>0.11424895888407499</v>
      </c>
      <c r="F76" s="238">
        <f t="shared" si="20"/>
        <v>0</v>
      </c>
      <c r="G76" s="239"/>
      <c r="H76" s="238">
        <f t="shared" si="28"/>
        <v>0.11424895888407499</v>
      </c>
      <c r="I76" s="235">
        <f t="shared" si="21"/>
        <v>0.11424895888407499</v>
      </c>
      <c r="J76" s="238">
        <f t="shared" si="22"/>
        <v>1.0973913155970361</v>
      </c>
      <c r="K76" s="238">
        <f t="shared" si="18"/>
        <v>0</v>
      </c>
      <c r="L76" s="239"/>
      <c r="M76" s="235">
        <f t="shared" si="23"/>
        <v>1.211640274481111</v>
      </c>
      <c r="O76" s="310">
        <v>0.18</v>
      </c>
      <c r="P76" s="901" t="b">
        <f t="shared" si="24"/>
        <v>0</v>
      </c>
      <c r="Q76" s="1" t="b">
        <f t="shared" si="25"/>
        <v>1</v>
      </c>
      <c r="R76" s="1" t="b">
        <f t="shared" si="26"/>
        <v>0</v>
      </c>
    </row>
    <row r="77" spans="1:18" x14ac:dyDescent="0.3">
      <c r="A77" s="310"/>
      <c r="B77" s="70">
        <f t="shared" si="27"/>
        <v>8</v>
      </c>
      <c r="C77" s="304" t="s">
        <v>761</v>
      </c>
      <c r="D77" s="315"/>
      <c r="E77" s="238">
        <f t="shared" si="19"/>
        <v>0</v>
      </c>
      <c r="F77" s="238">
        <f t="shared" si="20"/>
        <v>0</v>
      </c>
      <c r="G77" s="239"/>
      <c r="H77" s="238">
        <f t="shared" si="28"/>
        <v>0</v>
      </c>
      <c r="I77" s="235">
        <f t="shared" si="21"/>
        <v>0</v>
      </c>
      <c r="J77" s="238">
        <f t="shared" si="22"/>
        <v>0</v>
      </c>
      <c r="K77" s="238">
        <f t="shared" si="18"/>
        <v>0</v>
      </c>
      <c r="L77" s="239"/>
      <c r="M77" s="235">
        <f t="shared" si="23"/>
        <v>0</v>
      </c>
      <c r="O77" s="310">
        <v>5.28E-2</v>
      </c>
      <c r="P77" s="901" t="b">
        <f t="shared" si="24"/>
        <v>0</v>
      </c>
      <c r="Q77" s="1" t="b">
        <f t="shared" si="25"/>
        <v>1</v>
      </c>
      <c r="R77" s="1" t="b">
        <f t="shared" si="26"/>
        <v>0</v>
      </c>
    </row>
    <row r="78" spans="1:18" x14ac:dyDescent="0.3">
      <c r="A78" s="310"/>
      <c r="B78" s="70">
        <f t="shared" si="27"/>
        <v>9</v>
      </c>
      <c r="C78" s="304" t="s">
        <v>762</v>
      </c>
      <c r="D78" s="315"/>
      <c r="E78" s="238">
        <f t="shared" si="19"/>
        <v>0</v>
      </c>
      <c r="F78" s="238">
        <f t="shared" si="20"/>
        <v>0</v>
      </c>
      <c r="G78" s="239"/>
      <c r="H78" s="238">
        <f t="shared" si="28"/>
        <v>0</v>
      </c>
      <c r="I78" s="235">
        <f t="shared" si="21"/>
        <v>0</v>
      </c>
      <c r="J78" s="238">
        <f t="shared" si="22"/>
        <v>0</v>
      </c>
      <c r="K78" s="238">
        <f t="shared" si="18"/>
        <v>0</v>
      </c>
      <c r="L78" s="239"/>
      <c r="M78" s="235">
        <f t="shared" si="23"/>
        <v>0</v>
      </c>
      <c r="O78" s="310">
        <v>5.28E-2</v>
      </c>
      <c r="P78" s="901" t="b">
        <f t="shared" si="24"/>
        <v>0</v>
      </c>
      <c r="Q78" s="1" t="b">
        <f t="shared" si="25"/>
        <v>1</v>
      </c>
      <c r="R78" s="1" t="b">
        <f t="shared" si="26"/>
        <v>0</v>
      </c>
    </row>
    <row r="79" spans="1:18" x14ac:dyDescent="0.3">
      <c r="A79" s="310"/>
      <c r="B79" s="70">
        <f t="shared" si="27"/>
        <v>10</v>
      </c>
      <c r="C79" s="304" t="s">
        <v>254</v>
      </c>
      <c r="D79" s="315"/>
      <c r="E79" s="238">
        <f t="shared" si="19"/>
        <v>0</v>
      </c>
      <c r="F79" s="238">
        <f t="shared" si="20"/>
        <v>0</v>
      </c>
      <c r="G79" s="239"/>
      <c r="H79" s="238">
        <f t="shared" si="28"/>
        <v>0</v>
      </c>
      <c r="I79" s="235">
        <f t="shared" si="21"/>
        <v>0</v>
      </c>
      <c r="J79" s="238">
        <f t="shared" si="22"/>
        <v>0</v>
      </c>
      <c r="K79" s="238">
        <f t="shared" si="18"/>
        <v>0</v>
      </c>
      <c r="L79" s="239"/>
      <c r="M79" s="235">
        <f t="shared" si="23"/>
        <v>0</v>
      </c>
      <c r="O79" s="310">
        <v>9.5000000000000001E-2</v>
      </c>
      <c r="P79" s="901" t="b">
        <f t="shared" si="24"/>
        <v>0</v>
      </c>
      <c r="Q79" s="1" t="b">
        <f t="shared" si="25"/>
        <v>1</v>
      </c>
      <c r="R79" s="1" t="b">
        <f t="shared" si="26"/>
        <v>0</v>
      </c>
    </row>
    <row r="80" spans="1:18" x14ac:dyDescent="0.3">
      <c r="A80" s="310"/>
      <c r="B80" s="70">
        <f t="shared" si="27"/>
        <v>11</v>
      </c>
      <c r="C80" s="304" t="s">
        <v>255</v>
      </c>
      <c r="D80" s="315"/>
      <c r="E80" s="238">
        <f t="shared" si="19"/>
        <v>0</v>
      </c>
      <c r="F80" s="238">
        <f t="shared" si="20"/>
        <v>0</v>
      </c>
      <c r="G80" s="239"/>
      <c r="H80" s="238">
        <f t="shared" si="28"/>
        <v>0</v>
      </c>
      <c r="I80" s="235">
        <f t="shared" si="21"/>
        <v>0</v>
      </c>
      <c r="J80" s="238">
        <f t="shared" si="22"/>
        <v>0</v>
      </c>
      <c r="K80" s="238">
        <f t="shared" si="18"/>
        <v>0</v>
      </c>
      <c r="L80" s="239"/>
      <c r="M80" s="235">
        <f t="shared" si="23"/>
        <v>0</v>
      </c>
      <c r="O80" s="310">
        <v>6.3299999999999995E-2</v>
      </c>
      <c r="P80" s="901" t="b">
        <f t="shared" si="24"/>
        <v>0</v>
      </c>
      <c r="Q80" s="1" t="b">
        <f t="shared" si="25"/>
        <v>1</v>
      </c>
      <c r="R80" s="1" t="b">
        <f t="shared" si="26"/>
        <v>0</v>
      </c>
    </row>
    <row r="81" spans="1:33" x14ac:dyDescent="0.3">
      <c r="A81" s="310"/>
      <c r="B81" s="70">
        <f t="shared" si="27"/>
        <v>12</v>
      </c>
      <c r="C81" s="304" t="s">
        <v>256</v>
      </c>
      <c r="D81" s="315"/>
      <c r="E81" s="238">
        <f t="shared" si="19"/>
        <v>0</v>
      </c>
      <c r="F81" s="238">
        <f t="shared" si="20"/>
        <v>0</v>
      </c>
      <c r="G81" s="240"/>
      <c r="H81" s="238">
        <f t="shared" si="28"/>
        <v>0</v>
      </c>
      <c r="I81" s="235">
        <f t="shared" si="21"/>
        <v>0</v>
      </c>
      <c r="J81" s="238">
        <f t="shared" si="22"/>
        <v>0</v>
      </c>
      <c r="K81" s="238">
        <f t="shared" si="18"/>
        <v>0</v>
      </c>
      <c r="L81" s="239"/>
      <c r="M81" s="235">
        <f t="shared" si="23"/>
        <v>0</v>
      </c>
      <c r="O81" s="310">
        <v>6.3299999999999995E-2</v>
      </c>
      <c r="P81" s="901" t="b">
        <f t="shared" si="24"/>
        <v>0</v>
      </c>
      <c r="Q81" s="1" t="b">
        <f t="shared" si="25"/>
        <v>1</v>
      </c>
      <c r="R81" s="1" t="b">
        <f t="shared" si="26"/>
        <v>0</v>
      </c>
    </row>
    <row r="82" spans="1:33" x14ac:dyDescent="0.3">
      <c r="A82" s="310"/>
      <c r="B82" s="70">
        <f t="shared" si="27"/>
        <v>13</v>
      </c>
      <c r="C82" s="304" t="s">
        <v>810</v>
      </c>
      <c r="D82" s="315"/>
      <c r="E82" s="238">
        <f t="shared" si="19"/>
        <v>0</v>
      </c>
      <c r="F82" s="238">
        <f t="shared" si="20"/>
        <v>0</v>
      </c>
      <c r="G82" s="240"/>
      <c r="H82" s="238">
        <f t="shared" si="28"/>
        <v>0</v>
      </c>
      <c r="I82" s="235">
        <f t="shared" si="21"/>
        <v>0</v>
      </c>
      <c r="J82" s="238">
        <f t="shared" si="22"/>
        <v>0</v>
      </c>
      <c r="K82" s="238">
        <f t="shared" si="18"/>
        <v>0</v>
      </c>
      <c r="L82" s="239"/>
      <c r="M82" s="235">
        <f t="shared" ref="M82:M86" si="29">I82+J82-K82-L82</f>
        <v>0</v>
      </c>
      <c r="O82" s="310">
        <v>6.3299999999999995E-2</v>
      </c>
      <c r="P82" s="901" t="b">
        <f t="shared" si="24"/>
        <v>0</v>
      </c>
      <c r="Q82" s="1" t="b">
        <f t="shared" si="25"/>
        <v>1</v>
      </c>
      <c r="R82" s="1" t="b">
        <f t="shared" si="26"/>
        <v>0</v>
      </c>
    </row>
    <row r="83" spans="1:33" x14ac:dyDescent="0.3">
      <c r="A83" s="310"/>
      <c r="B83" s="70">
        <f t="shared" si="27"/>
        <v>14</v>
      </c>
      <c r="C83" s="304" t="s">
        <v>811</v>
      </c>
      <c r="D83" s="315"/>
      <c r="E83" s="238">
        <f t="shared" si="19"/>
        <v>0.1688417467600877</v>
      </c>
      <c r="F83" s="238">
        <f t="shared" si="20"/>
        <v>0</v>
      </c>
      <c r="G83" s="240"/>
      <c r="H83" s="238">
        <f t="shared" si="28"/>
        <v>0.1688417467600877</v>
      </c>
      <c r="I83" s="235">
        <f t="shared" si="21"/>
        <v>0.1688417467600877</v>
      </c>
      <c r="J83" s="238">
        <f>IF((IFERROR(I83/((I29+J29)*100%),0))&lt;70%,MIN((MAX((I29+J29)*100%-I83,0)),(I29+J29/2)*$A110),MAX((J29+I29)*100%-I83,0)/J$88)</f>
        <v>1.6217694096692634</v>
      </c>
      <c r="K83" s="238">
        <f t="shared" si="18"/>
        <v>0</v>
      </c>
      <c r="L83" s="239"/>
      <c r="M83" s="235">
        <f t="shared" si="29"/>
        <v>1.7906111564293512</v>
      </c>
      <c r="N83" s="1002"/>
      <c r="O83" s="310">
        <v>0.15</v>
      </c>
      <c r="P83" s="901" t="b">
        <f t="shared" si="24"/>
        <v>0</v>
      </c>
      <c r="Q83" s="1" t="b">
        <f t="shared" si="25"/>
        <v>1</v>
      </c>
      <c r="R83" s="1" t="b">
        <f t="shared" si="26"/>
        <v>0</v>
      </c>
    </row>
    <row r="84" spans="1:33" x14ac:dyDescent="0.3">
      <c r="A84" s="310"/>
      <c r="B84" s="70">
        <f t="shared" si="27"/>
        <v>15</v>
      </c>
      <c r="C84" s="304" t="s">
        <v>812</v>
      </c>
      <c r="D84" s="315"/>
      <c r="E84" s="238">
        <f t="shared" si="19"/>
        <v>0</v>
      </c>
      <c r="F84" s="238">
        <f t="shared" si="20"/>
        <v>0</v>
      </c>
      <c r="G84" s="240"/>
      <c r="H84" s="238">
        <f t="shared" si="28"/>
        <v>0</v>
      </c>
      <c r="I84" s="235">
        <f t="shared" si="21"/>
        <v>0</v>
      </c>
      <c r="J84" s="238">
        <f>IF((IFERROR(I84/((I30+J30)*100%),0))&lt;70%,MIN((MAX((I30+J30)*100%-I84,0)),(I30+J30/2)*$A111),MAX((J30+I30)*100%-I84,0)/J$88)</f>
        <v>0</v>
      </c>
      <c r="K84" s="238">
        <f t="shared" si="18"/>
        <v>0</v>
      </c>
      <c r="L84" s="239"/>
      <c r="M84" s="235">
        <f t="shared" si="29"/>
        <v>0</v>
      </c>
      <c r="O84" s="310">
        <v>0.3</v>
      </c>
      <c r="P84" s="901" t="b">
        <f t="shared" si="24"/>
        <v>0</v>
      </c>
      <c r="Q84" s="1" t="b">
        <f t="shared" si="25"/>
        <v>1</v>
      </c>
      <c r="R84" s="1" t="b">
        <f t="shared" si="26"/>
        <v>0</v>
      </c>
    </row>
    <row r="85" spans="1:33" x14ac:dyDescent="0.3">
      <c r="A85" s="310"/>
      <c r="B85" s="70">
        <f t="shared" si="27"/>
        <v>16</v>
      </c>
      <c r="C85" s="304" t="s">
        <v>763</v>
      </c>
      <c r="D85" s="315"/>
      <c r="E85" s="238">
        <f t="shared" si="19"/>
        <v>0</v>
      </c>
      <c r="F85" s="238">
        <f t="shared" si="20"/>
        <v>0</v>
      </c>
      <c r="G85" s="239"/>
      <c r="H85" s="238">
        <f t="shared" si="28"/>
        <v>0</v>
      </c>
      <c r="I85" s="235">
        <f t="shared" si="21"/>
        <v>0</v>
      </c>
      <c r="J85" s="238">
        <f>IF((IFERROR(I85/((I31+J31)*100%),0))&lt;70%,MIN((MAX((I31+J31)*100%-I85,0)),(I31+J31/2)*$A112),MAX((J31+I31)*100%-I85,0)/J$88)</f>
        <v>0</v>
      </c>
      <c r="K85" s="238">
        <f t="shared" si="18"/>
        <v>0</v>
      </c>
      <c r="L85" s="239"/>
      <c r="M85" s="235">
        <f t="shared" si="29"/>
        <v>0</v>
      </c>
      <c r="O85" s="310">
        <v>0.3</v>
      </c>
      <c r="P85" s="901" t="b">
        <f t="shared" si="24"/>
        <v>0</v>
      </c>
      <c r="Q85" s="1" t="b">
        <f t="shared" si="25"/>
        <v>1</v>
      </c>
      <c r="R85" s="1" t="b">
        <f t="shared" si="26"/>
        <v>0</v>
      </c>
    </row>
    <row r="86" spans="1:33" x14ac:dyDescent="0.3">
      <c r="A86" s="310"/>
      <c r="B86" s="70">
        <f t="shared" si="27"/>
        <v>17</v>
      </c>
      <c r="C86" s="304" t="s">
        <v>813</v>
      </c>
      <c r="D86" s="315"/>
      <c r="E86" s="238">
        <f t="shared" si="19"/>
        <v>0</v>
      </c>
      <c r="F86" s="238">
        <f t="shared" si="20"/>
        <v>0</v>
      </c>
      <c r="G86" s="239"/>
      <c r="H86" s="238">
        <f t="shared" si="28"/>
        <v>0</v>
      </c>
      <c r="I86" s="235">
        <f t="shared" si="21"/>
        <v>0</v>
      </c>
      <c r="J86" s="238">
        <f>IF((IFERROR(I86/((I32+J32)*90%),0))&lt;70%,MIN((MAX((I32+J32)*90%-I86,0)),(I32+J32/2)*$A113),MAX((J32+I32)*90%-I86,0)/J$88)</f>
        <v>0</v>
      </c>
      <c r="K86" s="238">
        <f t="shared" si="18"/>
        <v>0</v>
      </c>
      <c r="L86" s="239"/>
      <c r="M86" s="235">
        <f t="shared" si="29"/>
        <v>0</v>
      </c>
      <c r="O86" s="310">
        <v>3.3399999999999999E-2</v>
      </c>
      <c r="P86" s="901" t="b">
        <f t="shared" si="24"/>
        <v>0</v>
      </c>
      <c r="Q86" s="1" t="b">
        <f t="shared" si="25"/>
        <v>1</v>
      </c>
      <c r="R86" s="1" t="b">
        <f t="shared" si="26"/>
        <v>0</v>
      </c>
    </row>
    <row r="87" spans="1:33" ht="16" x14ac:dyDescent="0.3">
      <c r="A87" s="311"/>
      <c r="B87" s="61"/>
      <c r="C87" s="71" t="s">
        <v>267</v>
      </c>
      <c r="D87" s="237">
        <f>SUM(D70:D86)</f>
        <v>0</v>
      </c>
      <c r="E87" s="237">
        <f>SUM(E70:E86)</f>
        <v>31.364464244138148</v>
      </c>
      <c r="F87" s="237">
        <f t="shared" ref="F87:H87" si="30">SUM(F70:F86)</f>
        <v>0</v>
      </c>
      <c r="G87" s="237">
        <f t="shared" si="30"/>
        <v>0</v>
      </c>
      <c r="H87" s="237">
        <f t="shared" si="30"/>
        <v>31.364464244138148</v>
      </c>
      <c r="I87" s="237">
        <f t="shared" ref="I87:M87" si="31">SUM(I70:I86)</f>
        <v>31.364464244138148</v>
      </c>
      <c r="J87" s="237">
        <f t="shared" si="31"/>
        <v>301.26393287132692</v>
      </c>
      <c r="K87" s="237">
        <f t="shared" si="31"/>
        <v>0</v>
      </c>
      <c r="L87" s="237">
        <f t="shared" si="31"/>
        <v>0</v>
      </c>
      <c r="M87" s="237">
        <f t="shared" si="31"/>
        <v>332.62839711546513</v>
      </c>
    </row>
    <row r="88" spans="1:33" ht="16" x14ac:dyDescent="0.3">
      <c r="A88" s="311"/>
      <c r="B88" s="34"/>
      <c r="C88" s="41" t="s">
        <v>733</v>
      </c>
      <c r="D88" s="328"/>
      <c r="E88" s="329">
        <v>25</v>
      </c>
      <c r="F88" s="328">
        <f>E87-F87</f>
        <v>31.364464244138148</v>
      </c>
      <c r="G88" s="328"/>
      <c r="H88" s="328"/>
      <c r="I88" s="330"/>
      <c r="J88" s="329">
        <f>(25*12-2)/12</f>
        <v>24.833333333333332</v>
      </c>
      <c r="K88" s="330"/>
      <c r="L88" s="330"/>
      <c r="M88" s="330"/>
      <c r="N88" s="34"/>
      <c r="O88" s="34"/>
      <c r="P88" s="34"/>
      <c r="Q88" s="34"/>
      <c r="R88" s="34"/>
      <c r="S88" s="34"/>
      <c r="T88" s="34"/>
      <c r="U88" s="34"/>
      <c r="V88" s="34"/>
      <c r="W88" s="34"/>
    </row>
    <row r="89" spans="1:33" ht="16" x14ac:dyDescent="0.3">
      <c r="A89" s="311"/>
      <c r="B89" s="180" t="s">
        <v>559</v>
      </c>
      <c r="C89" s="182"/>
      <c r="D89" s="183"/>
      <c r="E89" s="183"/>
      <c r="F89" s="183"/>
      <c r="G89" s="183"/>
      <c r="H89" s="183"/>
      <c r="I89" s="184"/>
      <c r="J89" s="184"/>
      <c r="K89" s="34"/>
      <c r="L89" s="34"/>
      <c r="M89" s="34"/>
      <c r="N89" s="34"/>
      <c r="O89" s="34"/>
      <c r="P89" s="34"/>
      <c r="Q89" s="34"/>
      <c r="R89" s="34"/>
      <c r="S89" s="34"/>
      <c r="T89" s="34"/>
      <c r="U89" s="34"/>
      <c r="V89" s="34"/>
      <c r="W89" s="34"/>
      <c r="X89" s="34"/>
      <c r="Y89" s="34"/>
      <c r="Z89" s="34"/>
      <c r="AA89" s="34"/>
      <c r="AB89" s="34"/>
      <c r="AC89" s="34"/>
      <c r="AD89" s="34"/>
      <c r="AE89" s="34"/>
      <c r="AF89" s="34"/>
      <c r="AG89" s="34"/>
    </row>
    <row r="90" spans="1:33" ht="16" x14ac:dyDescent="0.3">
      <c r="A90" s="311"/>
      <c r="B90" s="180" t="s">
        <v>657</v>
      </c>
      <c r="C90" s="182"/>
      <c r="D90" s="183"/>
      <c r="E90" s="183"/>
      <c r="F90" s="183"/>
      <c r="G90" s="183"/>
      <c r="H90" s="183"/>
      <c r="I90" s="184"/>
      <c r="J90" s="184"/>
      <c r="K90" s="34"/>
      <c r="L90" s="34"/>
      <c r="M90" s="34"/>
      <c r="N90" s="34"/>
      <c r="O90" s="34"/>
      <c r="P90" s="34"/>
      <c r="Q90" s="34"/>
      <c r="R90" s="34"/>
      <c r="S90" s="34"/>
      <c r="T90" s="34"/>
      <c r="U90" s="34"/>
      <c r="V90" s="34"/>
      <c r="W90" s="34"/>
      <c r="X90" s="34"/>
      <c r="Y90" s="34"/>
      <c r="Z90" s="34"/>
      <c r="AA90" s="34"/>
      <c r="AB90" s="34"/>
      <c r="AC90" s="34"/>
      <c r="AD90" s="34"/>
      <c r="AE90" s="34"/>
      <c r="AF90" s="34"/>
      <c r="AG90" s="34"/>
    </row>
    <row r="91" spans="1:33" ht="15" customHeight="1" x14ac:dyDescent="0.3">
      <c r="A91" s="311"/>
      <c r="B91" s="34"/>
      <c r="C91" s="41"/>
      <c r="D91" s="41"/>
      <c r="E91" s="41"/>
      <c r="F91" s="41"/>
      <c r="G91" s="41"/>
      <c r="H91" s="41"/>
      <c r="I91" s="34"/>
      <c r="J91" s="34"/>
      <c r="K91" s="34"/>
      <c r="L91" s="34"/>
      <c r="M91" s="34"/>
      <c r="N91" s="34"/>
      <c r="O91" s="34"/>
      <c r="P91" s="34"/>
      <c r="Q91" s="34"/>
      <c r="R91" s="34"/>
    </row>
    <row r="92" spans="1:33" ht="16" x14ac:dyDescent="0.3">
      <c r="A92" s="311"/>
      <c r="B92" s="34"/>
      <c r="C92" s="41"/>
      <c r="D92" s="6"/>
      <c r="E92" s="6"/>
      <c r="F92" s="6"/>
      <c r="G92" s="6"/>
      <c r="H92" s="6"/>
      <c r="J92" s="4"/>
      <c r="M92" s="4"/>
      <c r="N92" s="4"/>
      <c r="AG92" s="50" t="s">
        <v>10</v>
      </c>
    </row>
    <row r="93" spans="1:33" ht="13.75" customHeight="1" x14ac:dyDescent="0.3">
      <c r="A93" s="311"/>
      <c r="B93" s="1481" t="s">
        <v>327</v>
      </c>
      <c r="C93" s="1481" t="s">
        <v>35</v>
      </c>
      <c r="D93" s="1576" t="s">
        <v>850</v>
      </c>
      <c r="E93" s="1577"/>
      <c r="F93" s="1577"/>
      <c r="G93" s="1577"/>
      <c r="H93" s="1578"/>
      <c r="I93" s="1576" t="s">
        <v>851</v>
      </c>
      <c r="J93" s="1577"/>
      <c r="K93" s="1577"/>
      <c r="L93" s="1577"/>
      <c r="M93" s="1578"/>
      <c r="N93" s="1570" t="s">
        <v>852</v>
      </c>
      <c r="O93" s="1570"/>
      <c r="P93" s="1570"/>
      <c r="Q93" s="1570"/>
      <c r="R93" s="1570"/>
      <c r="S93" s="1570" t="s">
        <v>853</v>
      </c>
      <c r="T93" s="1570"/>
      <c r="U93" s="1570"/>
      <c r="V93" s="1570"/>
      <c r="W93" s="1570"/>
    </row>
    <row r="94" spans="1:33" x14ac:dyDescent="0.3">
      <c r="A94" s="311"/>
      <c r="B94" s="1481"/>
      <c r="C94" s="1481"/>
      <c r="D94" s="1579" t="s">
        <v>20</v>
      </c>
      <c r="E94" s="1580"/>
      <c r="F94" s="1580"/>
      <c r="G94" s="1580"/>
      <c r="H94" s="1581"/>
      <c r="I94" s="1579" t="s">
        <v>20</v>
      </c>
      <c r="J94" s="1580"/>
      <c r="K94" s="1580"/>
      <c r="L94" s="1580"/>
      <c r="M94" s="1581"/>
      <c r="N94" s="1573" t="s">
        <v>20</v>
      </c>
      <c r="O94" s="1574"/>
      <c r="P94" s="1574"/>
      <c r="Q94" s="1574"/>
      <c r="R94" s="1574"/>
      <c r="S94" s="1573" t="s">
        <v>20</v>
      </c>
      <c r="T94" s="1574"/>
      <c r="U94" s="1574"/>
      <c r="V94" s="1574"/>
      <c r="W94" s="1574"/>
    </row>
    <row r="95" spans="1:33" ht="56" x14ac:dyDescent="0.3">
      <c r="A95" s="1169" t="s">
        <v>2829</v>
      </c>
      <c r="B95" s="1481"/>
      <c r="C95" s="1481"/>
      <c r="D95" s="250" t="s">
        <v>269</v>
      </c>
      <c r="E95" s="250" t="s">
        <v>264</v>
      </c>
      <c r="F95" s="181" t="s">
        <v>270</v>
      </c>
      <c r="G95" s="64" t="s">
        <v>548</v>
      </c>
      <c r="H95" s="250" t="s">
        <v>271</v>
      </c>
      <c r="I95" s="250" t="s">
        <v>263</v>
      </c>
      <c r="J95" s="250" t="s">
        <v>264</v>
      </c>
      <c r="K95" s="250" t="s">
        <v>265</v>
      </c>
      <c r="L95" s="64" t="s">
        <v>548</v>
      </c>
      <c r="M95" s="250" t="s">
        <v>266</v>
      </c>
      <c r="N95" s="250" t="s">
        <v>263</v>
      </c>
      <c r="O95" s="250" t="s">
        <v>264</v>
      </c>
      <c r="P95" s="250" t="s">
        <v>265</v>
      </c>
      <c r="Q95" s="64" t="s">
        <v>548</v>
      </c>
      <c r="R95" s="250" t="s">
        <v>266</v>
      </c>
      <c r="S95" s="250" t="s">
        <v>263</v>
      </c>
      <c r="T95" s="250" t="s">
        <v>264</v>
      </c>
      <c r="U95" s="250" t="s">
        <v>265</v>
      </c>
      <c r="V95" s="64" t="s">
        <v>548</v>
      </c>
      <c r="W95" s="250" t="s">
        <v>266</v>
      </c>
    </row>
    <row r="96" spans="1:33" ht="28" x14ac:dyDescent="0.3">
      <c r="A96" s="311"/>
      <c r="B96" s="179"/>
      <c r="C96" s="179"/>
      <c r="D96" s="179" t="s">
        <v>615</v>
      </c>
      <c r="E96" s="179" t="s">
        <v>616</v>
      </c>
      <c r="F96" s="179" t="s">
        <v>617</v>
      </c>
      <c r="G96" s="179" t="s">
        <v>618</v>
      </c>
      <c r="H96" s="179" t="s">
        <v>619</v>
      </c>
      <c r="I96" s="179" t="s">
        <v>615</v>
      </c>
      <c r="J96" s="179" t="s">
        <v>616</v>
      </c>
      <c r="K96" s="179" t="s">
        <v>617</v>
      </c>
      <c r="L96" s="179" t="s">
        <v>618</v>
      </c>
      <c r="M96" s="179" t="s">
        <v>619</v>
      </c>
      <c r="N96" s="179" t="s">
        <v>615</v>
      </c>
      <c r="O96" s="179" t="s">
        <v>616</v>
      </c>
      <c r="P96" s="179" t="s">
        <v>617</v>
      </c>
      <c r="Q96" s="179" t="s">
        <v>618</v>
      </c>
      <c r="R96" s="179" t="s">
        <v>619</v>
      </c>
      <c r="S96" s="179" t="s">
        <v>615</v>
      </c>
      <c r="T96" s="179" t="s">
        <v>616</v>
      </c>
      <c r="U96" s="179" t="s">
        <v>617</v>
      </c>
      <c r="V96" s="179" t="s">
        <v>618</v>
      </c>
      <c r="W96" s="179" t="s">
        <v>619</v>
      </c>
    </row>
    <row r="97" spans="1:23" x14ac:dyDescent="0.3">
      <c r="A97" s="1215">
        <v>0</v>
      </c>
      <c r="B97" s="70">
        <v>1</v>
      </c>
      <c r="C97" s="304" t="s">
        <v>755</v>
      </c>
      <c r="D97" s="235">
        <f t="shared" ref="D97:D113" si="32">M70</f>
        <v>0</v>
      </c>
      <c r="E97" s="452">
        <f>IF((IFERROR(D97/((D42+E42)*90%),0))&lt;70%,MIN((MAX((D42+E42)*90%-D97,0)),(D42+E42/2)*$A97),MAX((E42+D42)*90%-D97,0)/E$115)</f>
        <v>0</v>
      </c>
      <c r="F97" s="238">
        <f t="shared" ref="F97:F113" si="33">IFERROR(IF(D97=0,0,D97/D42*F42),0)</f>
        <v>0</v>
      </c>
      <c r="G97" s="239"/>
      <c r="H97" s="235">
        <f>D97+E97-F97-G97</f>
        <v>0</v>
      </c>
      <c r="I97" s="300">
        <f>H97</f>
        <v>0</v>
      </c>
      <c r="J97" s="452">
        <f t="shared" ref="J97:J109" si="34">IF((IFERROR(I97/((I42+J42)*90%),0))&lt;70%,MIN((MAX((I42+J42)*90%-I97,0)),(I42+J42/2)*$A97),MAX((J42+I42)*90%-I97,0)/J$115)</f>
        <v>0</v>
      </c>
      <c r="K97" s="238">
        <f t="shared" ref="K97:K113" si="35">IFERROR(IF(I97=0,0,I97/I42*K42),0)</f>
        <v>0</v>
      </c>
      <c r="L97" s="315"/>
      <c r="M97" s="300">
        <f>I97+J97-K97-L97</f>
        <v>0</v>
      </c>
      <c r="N97" s="300">
        <f>M97</f>
        <v>0</v>
      </c>
      <c r="O97" s="452">
        <f t="shared" ref="O97:O109" si="36">IF((IFERROR(N97/((N42+O42)*90%),0))&lt;70%,MIN((MAX((N42+O42)*90%-N97,0)),(N42+O42/2)*$A97),MAX((O42+N42)*90%-N97,0)/O$115)</f>
        <v>0</v>
      </c>
      <c r="P97" s="238">
        <f t="shared" ref="P97:P113" si="37">IFERROR(IF(N97=0,0,N97/N42*P42),0)</f>
        <v>0</v>
      </c>
      <c r="Q97" s="315"/>
      <c r="R97" s="300">
        <f>N97+O97-P97-Q97</f>
        <v>0</v>
      </c>
      <c r="S97" s="300">
        <f>R97</f>
        <v>0</v>
      </c>
      <c r="T97" s="452">
        <f t="shared" ref="T97:T109" si="38">IF((IFERROR(S97/((S42+T42)*90%),0))&lt;70%,MIN((MAX((S42+T42)*90%-S97,0)),(S42+T42/2)*$A97),MAX((T42+S42)*90%-S97,0)/T$115)</f>
        <v>0</v>
      </c>
      <c r="U97" s="238">
        <f t="shared" ref="U97:U113" si="39">IFERROR(IF(S97=0,0,S97/S42*U42),0)</f>
        <v>0</v>
      </c>
      <c r="V97" s="315"/>
      <c r="W97" s="300">
        <f>S97+T97-U97-V97</f>
        <v>0</v>
      </c>
    </row>
    <row r="98" spans="1:23" x14ac:dyDescent="0.3">
      <c r="A98" s="1215">
        <v>3.3399999999999999E-2</v>
      </c>
      <c r="B98" s="70">
        <f>B97+1</f>
        <v>2</v>
      </c>
      <c r="C98" s="304" t="s">
        <v>756</v>
      </c>
      <c r="D98" s="235">
        <f t="shared" si="32"/>
        <v>6.9530700047880352</v>
      </c>
      <c r="E98" s="452">
        <f t="shared" ref="E98:E113" si="40">IF((IFERROR(D98/((D43+E43)*90%),0))&lt;70%,MIN((MAX((D43+E43)*90%-D98,0)),(D43+E43/2)*$A98),MAX((E43+D43)*90%-D98,0)/E$115)</f>
        <v>6.2974455378353174</v>
      </c>
      <c r="F98" s="238">
        <f t="shared" si="33"/>
        <v>0</v>
      </c>
      <c r="G98" s="239"/>
      <c r="H98" s="235">
        <f t="shared" ref="H98:H108" si="41">D98+E98-F98-G98</f>
        <v>13.250515542623353</v>
      </c>
      <c r="I98" s="300">
        <f t="shared" ref="I98:I113" si="42">H98</f>
        <v>13.250515542623353</v>
      </c>
      <c r="J98" s="452">
        <f t="shared" si="34"/>
        <v>6.2974455378353174</v>
      </c>
      <c r="K98" s="238">
        <f t="shared" si="35"/>
        <v>0</v>
      </c>
      <c r="L98" s="315"/>
      <c r="M98" s="300">
        <f t="shared" ref="M98:M113" si="43">I98+J98-K98-L98</f>
        <v>19.54796108045867</v>
      </c>
      <c r="N98" s="300">
        <f t="shared" ref="N98:N113" si="44">M98</f>
        <v>19.54796108045867</v>
      </c>
      <c r="O98" s="452">
        <f t="shared" si="36"/>
        <v>6.2974455378353174</v>
      </c>
      <c r="P98" s="238">
        <f t="shared" si="37"/>
        <v>0</v>
      </c>
      <c r="Q98" s="315"/>
      <c r="R98" s="300">
        <f t="shared" ref="R98:R113" si="45">N98+O98-P98-Q98</f>
        <v>25.845406618293985</v>
      </c>
      <c r="S98" s="300">
        <f t="shared" ref="S98:S113" si="46">R98</f>
        <v>25.845406618293985</v>
      </c>
      <c r="T98" s="452">
        <f>IF((IFERROR(S98/((S43+T43)*90%),0))&lt;70%,MIN((MAX((S43+T43)*90%-S98,0)),(S43+T43/2)*$A98),MAX((T43+S43)*90%-S98,0)/T$115)</f>
        <v>6.2974455378353174</v>
      </c>
      <c r="U98" s="238">
        <f t="shared" si="39"/>
        <v>0</v>
      </c>
      <c r="V98" s="315"/>
      <c r="W98" s="300">
        <f t="shared" ref="W98:W113" si="47">S98+T98-U98-V98</f>
        <v>32.142852156129301</v>
      </c>
    </row>
    <row r="99" spans="1:23" x14ac:dyDescent="0.3">
      <c r="A99" s="1215">
        <v>5.28E-2</v>
      </c>
      <c r="B99" s="70">
        <f t="shared" ref="B99:B113" si="48">B98+1</f>
        <v>3</v>
      </c>
      <c r="C99" s="304" t="s">
        <v>757</v>
      </c>
      <c r="D99" s="235">
        <f t="shared" si="32"/>
        <v>0</v>
      </c>
      <c r="E99" s="452">
        <f t="shared" si="40"/>
        <v>0</v>
      </c>
      <c r="F99" s="238">
        <f t="shared" si="33"/>
        <v>0</v>
      </c>
      <c r="G99" s="239"/>
      <c r="H99" s="235">
        <f t="shared" si="41"/>
        <v>0</v>
      </c>
      <c r="I99" s="300">
        <f t="shared" si="42"/>
        <v>0</v>
      </c>
      <c r="J99" s="452">
        <f t="shared" si="34"/>
        <v>0</v>
      </c>
      <c r="K99" s="238">
        <f t="shared" si="35"/>
        <v>0</v>
      </c>
      <c r="L99" s="315"/>
      <c r="M99" s="300">
        <f t="shared" si="43"/>
        <v>0</v>
      </c>
      <c r="N99" s="300">
        <f t="shared" si="44"/>
        <v>0</v>
      </c>
      <c r="O99" s="452">
        <f t="shared" si="36"/>
        <v>0</v>
      </c>
      <c r="P99" s="238">
        <f t="shared" si="37"/>
        <v>0</v>
      </c>
      <c r="Q99" s="315"/>
      <c r="R99" s="300">
        <f t="shared" si="45"/>
        <v>0</v>
      </c>
      <c r="S99" s="300">
        <f t="shared" si="46"/>
        <v>0</v>
      </c>
      <c r="T99" s="452">
        <f t="shared" si="38"/>
        <v>0</v>
      </c>
      <c r="U99" s="238">
        <f t="shared" si="39"/>
        <v>0</v>
      </c>
      <c r="V99" s="315"/>
      <c r="W99" s="300">
        <f t="shared" si="47"/>
        <v>0</v>
      </c>
    </row>
    <row r="100" spans="1:23" x14ac:dyDescent="0.3">
      <c r="A100" s="1215">
        <v>5.28E-2</v>
      </c>
      <c r="B100" s="70">
        <f t="shared" si="48"/>
        <v>4</v>
      </c>
      <c r="C100" s="304" t="s">
        <v>758</v>
      </c>
      <c r="D100" s="235">
        <f t="shared" si="32"/>
        <v>0</v>
      </c>
      <c r="E100" s="452">
        <f t="shared" si="40"/>
        <v>0</v>
      </c>
      <c r="F100" s="238">
        <f t="shared" si="33"/>
        <v>0</v>
      </c>
      <c r="G100" s="239"/>
      <c r="H100" s="235">
        <f t="shared" si="41"/>
        <v>0</v>
      </c>
      <c r="I100" s="300">
        <f t="shared" si="42"/>
        <v>0</v>
      </c>
      <c r="J100" s="452">
        <f t="shared" si="34"/>
        <v>0</v>
      </c>
      <c r="K100" s="238">
        <f t="shared" si="35"/>
        <v>0</v>
      </c>
      <c r="L100" s="315"/>
      <c r="M100" s="300">
        <f t="shared" si="43"/>
        <v>0</v>
      </c>
      <c r="N100" s="300">
        <f t="shared" si="44"/>
        <v>0</v>
      </c>
      <c r="O100" s="452">
        <f t="shared" si="36"/>
        <v>0</v>
      </c>
      <c r="P100" s="238">
        <f t="shared" si="37"/>
        <v>0</v>
      </c>
      <c r="Q100" s="315"/>
      <c r="R100" s="300">
        <f t="shared" si="45"/>
        <v>0</v>
      </c>
      <c r="S100" s="300">
        <f t="shared" si="46"/>
        <v>0</v>
      </c>
      <c r="T100" s="452">
        <f t="shared" si="38"/>
        <v>0</v>
      </c>
      <c r="U100" s="238">
        <f t="shared" si="39"/>
        <v>0</v>
      </c>
      <c r="V100" s="315"/>
      <c r="W100" s="300">
        <f t="shared" si="47"/>
        <v>0</v>
      </c>
    </row>
    <row r="101" spans="1:23" x14ac:dyDescent="0.3">
      <c r="A101" s="1215">
        <v>3.3399999999999999E-2</v>
      </c>
      <c r="B101" s="70">
        <f t="shared" si="48"/>
        <v>5</v>
      </c>
      <c r="C101" s="304" t="s">
        <v>759</v>
      </c>
      <c r="D101" s="235">
        <f t="shared" si="32"/>
        <v>6.4122129729168336</v>
      </c>
      <c r="E101" s="452">
        <f t="shared" si="40"/>
        <v>5.8075874320462635</v>
      </c>
      <c r="F101" s="238">
        <f t="shared" si="33"/>
        <v>0</v>
      </c>
      <c r="G101" s="239"/>
      <c r="H101" s="235">
        <f t="shared" si="41"/>
        <v>12.219800404963097</v>
      </c>
      <c r="I101" s="300">
        <f t="shared" si="42"/>
        <v>12.219800404963097</v>
      </c>
      <c r="J101" s="452">
        <f t="shared" si="34"/>
        <v>5.8075874320462635</v>
      </c>
      <c r="K101" s="238">
        <f t="shared" si="35"/>
        <v>0</v>
      </c>
      <c r="L101" s="315"/>
      <c r="M101" s="300">
        <f t="shared" si="43"/>
        <v>18.027387837009361</v>
      </c>
      <c r="N101" s="300">
        <f t="shared" si="44"/>
        <v>18.027387837009361</v>
      </c>
      <c r="O101" s="452">
        <f t="shared" si="36"/>
        <v>5.8075874320462635</v>
      </c>
      <c r="P101" s="238">
        <f t="shared" si="37"/>
        <v>0</v>
      </c>
      <c r="Q101" s="315"/>
      <c r="R101" s="300">
        <f t="shared" si="45"/>
        <v>23.834975269055626</v>
      </c>
      <c r="S101" s="300">
        <f t="shared" si="46"/>
        <v>23.834975269055626</v>
      </c>
      <c r="T101" s="452">
        <f t="shared" si="38"/>
        <v>5.8075874320462635</v>
      </c>
      <c r="U101" s="238">
        <f t="shared" si="39"/>
        <v>0</v>
      </c>
      <c r="V101" s="315"/>
      <c r="W101" s="300">
        <f t="shared" si="47"/>
        <v>29.642562701101888</v>
      </c>
    </row>
    <row r="102" spans="1:23" x14ac:dyDescent="0.3">
      <c r="A102" s="1215">
        <v>5.28E-2</v>
      </c>
      <c r="B102" s="70">
        <f t="shared" si="48"/>
        <v>6</v>
      </c>
      <c r="C102" s="304" t="s">
        <v>251</v>
      </c>
      <c r="D102" s="235">
        <f t="shared" si="32"/>
        <v>316.26086270684982</v>
      </c>
      <c r="E102" s="452">
        <f t="shared" si="40"/>
        <v>286.4397391761791</v>
      </c>
      <c r="F102" s="238">
        <f t="shared" si="33"/>
        <v>0</v>
      </c>
      <c r="G102" s="239"/>
      <c r="H102" s="235">
        <f t="shared" si="41"/>
        <v>602.70060188302887</v>
      </c>
      <c r="I102" s="300">
        <f t="shared" si="42"/>
        <v>602.70060188302887</v>
      </c>
      <c r="J102" s="452">
        <f t="shared" si="34"/>
        <v>286.4397391761791</v>
      </c>
      <c r="K102" s="238">
        <f t="shared" si="35"/>
        <v>0</v>
      </c>
      <c r="L102" s="315"/>
      <c r="M102" s="300">
        <f t="shared" si="43"/>
        <v>889.14034105920791</v>
      </c>
      <c r="N102" s="300">
        <f t="shared" si="44"/>
        <v>889.14034105920791</v>
      </c>
      <c r="O102" s="452">
        <f t="shared" si="36"/>
        <v>286.4397391761791</v>
      </c>
      <c r="P102" s="238">
        <f t="shared" si="37"/>
        <v>0</v>
      </c>
      <c r="Q102" s="315"/>
      <c r="R102" s="300">
        <f t="shared" si="45"/>
        <v>1175.580080235387</v>
      </c>
      <c r="S102" s="300">
        <f t="shared" si="46"/>
        <v>1175.580080235387</v>
      </c>
      <c r="T102" s="452">
        <f t="shared" si="38"/>
        <v>286.4397391761791</v>
      </c>
      <c r="U102" s="238">
        <f t="shared" si="39"/>
        <v>0</v>
      </c>
      <c r="V102" s="315"/>
      <c r="W102" s="300">
        <f t="shared" si="47"/>
        <v>1462.019819411566</v>
      </c>
    </row>
    <row r="103" spans="1:23" x14ac:dyDescent="0.3">
      <c r="A103" s="1215">
        <v>0.18</v>
      </c>
      <c r="B103" s="70">
        <f t="shared" si="48"/>
        <v>7</v>
      </c>
      <c r="C103" s="304" t="s">
        <v>760</v>
      </c>
      <c r="D103" s="235">
        <f t="shared" si="32"/>
        <v>1.211640274481111</v>
      </c>
      <c r="E103" s="452">
        <f t="shared" si="40"/>
        <v>1.0973913155970361</v>
      </c>
      <c r="F103" s="238">
        <f t="shared" si="33"/>
        <v>0</v>
      </c>
      <c r="G103" s="239"/>
      <c r="H103" s="235">
        <f t="shared" si="41"/>
        <v>2.3090315900781473</v>
      </c>
      <c r="I103" s="300">
        <f t="shared" si="42"/>
        <v>2.3090315900781473</v>
      </c>
      <c r="J103" s="452">
        <f t="shared" si="34"/>
        <v>1.0973913155970361</v>
      </c>
      <c r="K103" s="238">
        <f t="shared" si="35"/>
        <v>0</v>
      </c>
      <c r="L103" s="315"/>
      <c r="M103" s="300">
        <f t="shared" si="43"/>
        <v>3.4064229056751834</v>
      </c>
      <c r="N103" s="300">
        <f t="shared" si="44"/>
        <v>3.4064229056751834</v>
      </c>
      <c r="O103" s="452">
        <f t="shared" si="36"/>
        <v>1.0973913155970361</v>
      </c>
      <c r="P103" s="238">
        <f t="shared" si="37"/>
        <v>0</v>
      </c>
      <c r="Q103" s="315"/>
      <c r="R103" s="300">
        <f t="shared" si="45"/>
        <v>4.5038142212722194</v>
      </c>
      <c r="S103" s="300">
        <f t="shared" si="46"/>
        <v>4.5038142212722194</v>
      </c>
      <c r="T103" s="452">
        <f t="shared" si="38"/>
        <v>4.7190833122222151E-2</v>
      </c>
      <c r="U103" s="238">
        <f t="shared" si="39"/>
        <v>0</v>
      </c>
      <c r="V103" s="315"/>
      <c r="W103" s="300">
        <f t="shared" si="47"/>
        <v>4.5510050543944418</v>
      </c>
    </row>
    <row r="104" spans="1:23" x14ac:dyDescent="0.3">
      <c r="A104" s="1215">
        <v>5.28E-2</v>
      </c>
      <c r="B104" s="70">
        <f t="shared" si="48"/>
        <v>8</v>
      </c>
      <c r="C104" s="304" t="s">
        <v>761</v>
      </c>
      <c r="D104" s="235">
        <f t="shared" si="32"/>
        <v>0</v>
      </c>
      <c r="E104" s="452">
        <f t="shared" si="40"/>
        <v>0</v>
      </c>
      <c r="F104" s="238">
        <f t="shared" si="33"/>
        <v>0</v>
      </c>
      <c r="G104" s="239"/>
      <c r="H104" s="235">
        <f t="shared" si="41"/>
        <v>0</v>
      </c>
      <c r="I104" s="300">
        <f t="shared" si="42"/>
        <v>0</v>
      </c>
      <c r="J104" s="452">
        <f t="shared" si="34"/>
        <v>0</v>
      </c>
      <c r="K104" s="238">
        <f t="shared" si="35"/>
        <v>0</v>
      </c>
      <c r="L104" s="315"/>
      <c r="M104" s="300">
        <f t="shared" si="43"/>
        <v>0</v>
      </c>
      <c r="N104" s="300">
        <f t="shared" si="44"/>
        <v>0</v>
      </c>
      <c r="O104" s="452">
        <f t="shared" si="36"/>
        <v>0</v>
      </c>
      <c r="P104" s="238">
        <f t="shared" si="37"/>
        <v>0</v>
      </c>
      <c r="Q104" s="315"/>
      <c r="R104" s="300">
        <f t="shared" si="45"/>
        <v>0</v>
      </c>
      <c r="S104" s="300">
        <f t="shared" si="46"/>
        <v>0</v>
      </c>
      <c r="T104" s="452">
        <f t="shared" si="38"/>
        <v>0</v>
      </c>
      <c r="U104" s="238">
        <f t="shared" si="39"/>
        <v>0</v>
      </c>
      <c r="V104" s="315"/>
      <c r="W104" s="300">
        <f t="shared" si="47"/>
        <v>0</v>
      </c>
    </row>
    <row r="105" spans="1:23" x14ac:dyDescent="0.3">
      <c r="A105" s="1215">
        <v>5.28E-2</v>
      </c>
      <c r="B105" s="70">
        <f t="shared" si="48"/>
        <v>9</v>
      </c>
      <c r="C105" s="304" t="s">
        <v>762</v>
      </c>
      <c r="D105" s="235">
        <f t="shared" si="32"/>
        <v>0</v>
      </c>
      <c r="E105" s="452">
        <f t="shared" si="40"/>
        <v>0</v>
      </c>
      <c r="F105" s="238">
        <f t="shared" si="33"/>
        <v>0</v>
      </c>
      <c r="G105" s="239"/>
      <c r="H105" s="235">
        <f t="shared" si="41"/>
        <v>0</v>
      </c>
      <c r="I105" s="300">
        <f t="shared" si="42"/>
        <v>0</v>
      </c>
      <c r="J105" s="452">
        <f t="shared" si="34"/>
        <v>0</v>
      </c>
      <c r="K105" s="238">
        <f t="shared" si="35"/>
        <v>0</v>
      </c>
      <c r="L105" s="315"/>
      <c r="M105" s="300">
        <f t="shared" si="43"/>
        <v>0</v>
      </c>
      <c r="N105" s="300">
        <f t="shared" si="44"/>
        <v>0</v>
      </c>
      <c r="O105" s="452">
        <f t="shared" si="36"/>
        <v>0</v>
      </c>
      <c r="P105" s="238">
        <f t="shared" si="37"/>
        <v>0</v>
      </c>
      <c r="Q105" s="315"/>
      <c r="R105" s="300">
        <f t="shared" si="45"/>
        <v>0</v>
      </c>
      <c r="S105" s="300">
        <f t="shared" si="46"/>
        <v>0</v>
      </c>
      <c r="T105" s="452">
        <f t="shared" si="38"/>
        <v>0</v>
      </c>
      <c r="U105" s="238">
        <f t="shared" si="39"/>
        <v>0</v>
      </c>
      <c r="V105" s="315"/>
      <c r="W105" s="300">
        <f t="shared" si="47"/>
        <v>0</v>
      </c>
    </row>
    <row r="106" spans="1:23" x14ac:dyDescent="0.3">
      <c r="A106" s="1215">
        <v>9.5000000000000001E-2</v>
      </c>
      <c r="B106" s="70">
        <f t="shared" si="48"/>
        <v>10</v>
      </c>
      <c r="C106" s="304" t="s">
        <v>254</v>
      </c>
      <c r="D106" s="235">
        <f t="shared" si="32"/>
        <v>0</v>
      </c>
      <c r="E106" s="452">
        <f t="shared" si="40"/>
        <v>0</v>
      </c>
      <c r="F106" s="238">
        <f t="shared" si="33"/>
        <v>0</v>
      </c>
      <c r="G106" s="239"/>
      <c r="H106" s="235">
        <f t="shared" si="41"/>
        <v>0</v>
      </c>
      <c r="I106" s="300">
        <f t="shared" si="42"/>
        <v>0</v>
      </c>
      <c r="J106" s="452">
        <f t="shared" si="34"/>
        <v>0</v>
      </c>
      <c r="K106" s="238">
        <f t="shared" si="35"/>
        <v>0</v>
      </c>
      <c r="L106" s="315"/>
      <c r="M106" s="300">
        <f t="shared" si="43"/>
        <v>0</v>
      </c>
      <c r="N106" s="300">
        <f t="shared" si="44"/>
        <v>0</v>
      </c>
      <c r="O106" s="452">
        <f t="shared" si="36"/>
        <v>0</v>
      </c>
      <c r="P106" s="238">
        <f t="shared" si="37"/>
        <v>0</v>
      </c>
      <c r="Q106" s="315"/>
      <c r="R106" s="300">
        <f t="shared" si="45"/>
        <v>0</v>
      </c>
      <c r="S106" s="300">
        <f t="shared" si="46"/>
        <v>0</v>
      </c>
      <c r="T106" s="452">
        <f t="shared" si="38"/>
        <v>0</v>
      </c>
      <c r="U106" s="238">
        <f t="shared" si="39"/>
        <v>0</v>
      </c>
      <c r="V106" s="315"/>
      <c r="W106" s="300">
        <f t="shared" si="47"/>
        <v>0</v>
      </c>
    </row>
    <row r="107" spans="1:23" x14ac:dyDescent="0.3">
      <c r="A107" s="1215">
        <v>6.3299999999999995E-2</v>
      </c>
      <c r="B107" s="70">
        <f t="shared" si="48"/>
        <v>11</v>
      </c>
      <c r="C107" s="304" t="s">
        <v>255</v>
      </c>
      <c r="D107" s="235">
        <f t="shared" si="32"/>
        <v>0</v>
      </c>
      <c r="E107" s="452">
        <f t="shared" si="40"/>
        <v>0</v>
      </c>
      <c r="F107" s="238">
        <f t="shared" si="33"/>
        <v>0</v>
      </c>
      <c r="G107" s="239"/>
      <c r="H107" s="235">
        <f t="shared" si="41"/>
        <v>0</v>
      </c>
      <c r="I107" s="300">
        <f t="shared" si="42"/>
        <v>0</v>
      </c>
      <c r="J107" s="452">
        <f t="shared" si="34"/>
        <v>0</v>
      </c>
      <c r="K107" s="238">
        <f t="shared" si="35"/>
        <v>0</v>
      </c>
      <c r="L107" s="315"/>
      <c r="M107" s="300">
        <f t="shared" si="43"/>
        <v>0</v>
      </c>
      <c r="N107" s="300">
        <f t="shared" si="44"/>
        <v>0</v>
      </c>
      <c r="O107" s="452">
        <f t="shared" si="36"/>
        <v>0</v>
      </c>
      <c r="P107" s="238">
        <f t="shared" si="37"/>
        <v>0</v>
      </c>
      <c r="Q107" s="315"/>
      <c r="R107" s="300">
        <f t="shared" si="45"/>
        <v>0</v>
      </c>
      <c r="S107" s="300">
        <f t="shared" si="46"/>
        <v>0</v>
      </c>
      <c r="T107" s="452">
        <f t="shared" si="38"/>
        <v>0</v>
      </c>
      <c r="U107" s="238">
        <f t="shared" si="39"/>
        <v>0</v>
      </c>
      <c r="V107" s="315"/>
      <c r="W107" s="300">
        <f t="shared" si="47"/>
        <v>0</v>
      </c>
    </row>
    <row r="108" spans="1:23" x14ac:dyDescent="0.3">
      <c r="A108" s="1215">
        <v>6.3299999999999995E-2</v>
      </c>
      <c r="B108" s="70">
        <f t="shared" si="48"/>
        <v>12</v>
      </c>
      <c r="C108" s="304" t="s">
        <v>256</v>
      </c>
      <c r="D108" s="235">
        <f t="shared" si="32"/>
        <v>0</v>
      </c>
      <c r="E108" s="452">
        <f t="shared" si="40"/>
        <v>0</v>
      </c>
      <c r="F108" s="238">
        <f t="shared" si="33"/>
        <v>0</v>
      </c>
      <c r="G108" s="239"/>
      <c r="H108" s="235">
        <f t="shared" si="41"/>
        <v>0</v>
      </c>
      <c r="I108" s="300">
        <f t="shared" si="42"/>
        <v>0</v>
      </c>
      <c r="J108" s="452">
        <f t="shared" si="34"/>
        <v>0</v>
      </c>
      <c r="K108" s="238">
        <f t="shared" si="35"/>
        <v>0</v>
      </c>
      <c r="L108" s="315"/>
      <c r="M108" s="300">
        <f t="shared" si="43"/>
        <v>0</v>
      </c>
      <c r="N108" s="300">
        <f t="shared" si="44"/>
        <v>0</v>
      </c>
      <c r="O108" s="452">
        <f t="shared" si="36"/>
        <v>0</v>
      </c>
      <c r="P108" s="238">
        <f t="shared" si="37"/>
        <v>0</v>
      </c>
      <c r="Q108" s="315"/>
      <c r="R108" s="300">
        <f t="shared" si="45"/>
        <v>0</v>
      </c>
      <c r="S108" s="300">
        <f t="shared" si="46"/>
        <v>0</v>
      </c>
      <c r="T108" s="452">
        <f t="shared" si="38"/>
        <v>0</v>
      </c>
      <c r="U108" s="238">
        <f t="shared" si="39"/>
        <v>0</v>
      </c>
      <c r="V108" s="315"/>
      <c r="W108" s="300">
        <f t="shared" si="47"/>
        <v>0</v>
      </c>
    </row>
    <row r="109" spans="1:23" x14ac:dyDescent="0.3">
      <c r="A109" s="1215">
        <v>6.3299999999999995E-2</v>
      </c>
      <c r="B109" s="70">
        <f t="shared" si="48"/>
        <v>13</v>
      </c>
      <c r="C109" s="304" t="s">
        <v>810</v>
      </c>
      <c r="D109" s="235">
        <f t="shared" si="32"/>
        <v>0</v>
      </c>
      <c r="E109" s="452">
        <f t="shared" si="40"/>
        <v>0</v>
      </c>
      <c r="F109" s="238">
        <f t="shared" si="33"/>
        <v>0</v>
      </c>
      <c r="G109" s="239"/>
      <c r="H109" s="235">
        <f t="shared" ref="H109:H113" si="49">D109+E109-F109-G109</f>
        <v>0</v>
      </c>
      <c r="I109" s="300">
        <f t="shared" si="42"/>
        <v>0</v>
      </c>
      <c r="J109" s="452">
        <f t="shared" si="34"/>
        <v>0</v>
      </c>
      <c r="K109" s="238">
        <f t="shared" si="35"/>
        <v>0</v>
      </c>
      <c r="L109" s="315"/>
      <c r="M109" s="300">
        <f t="shared" si="43"/>
        <v>0</v>
      </c>
      <c r="N109" s="300">
        <f t="shared" si="44"/>
        <v>0</v>
      </c>
      <c r="O109" s="452">
        <f t="shared" si="36"/>
        <v>0</v>
      </c>
      <c r="P109" s="238">
        <f t="shared" si="37"/>
        <v>0</v>
      </c>
      <c r="Q109" s="315"/>
      <c r="R109" s="300">
        <f t="shared" si="45"/>
        <v>0</v>
      </c>
      <c r="S109" s="300">
        <f t="shared" si="46"/>
        <v>0</v>
      </c>
      <c r="T109" s="452">
        <f t="shared" si="38"/>
        <v>0</v>
      </c>
      <c r="U109" s="238">
        <f t="shared" si="39"/>
        <v>0</v>
      </c>
      <c r="V109" s="315"/>
      <c r="W109" s="300">
        <f t="shared" si="47"/>
        <v>0</v>
      </c>
    </row>
    <row r="110" spans="1:23" x14ac:dyDescent="0.3">
      <c r="A110" s="1215">
        <v>0.15</v>
      </c>
      <c r="B110" s="70">
        <f t="shared" si="48"/>
        <v>14</v>
      </c>
      <c r="C110" s="304" t="s">
        <v>811</v>
      </c>
      <c r="D110" s="235">
        <f t="shared" si="32"/>
        <v>1.7906111564293512</v>
      </c>
      <c r="E110" s="452">
        <f>IF((IFERROR(D110/((D55+E55)*100%),0))&lt;70%,MIN((MAX((D55+E55)*100%-D110,0)),(D55+E55/2)*$A110),MAX((E55+D55)*100%-D110,0)/E$115)</f>
        <v>1.6217694096692634</v>
      </c>
      <c r="F110" s="238">
        <f t="shared" si="33"/>
        <v>0</v>
      </c>
      <c r="G110" s="239"/>
      <c r="H110" s="235">
        <f t="shared" si="49"/>
        <v>3.4123805660986148</v>
      </c>
      <c r="I110" s="300">
        <f t="shared" si="42"/>
        <v>3.4123805660986148</v>
      </c>
      <c r="J110" s="452">
        <f>IF((IFERROR(I110/((I55+J55)*100%),0))&lt;70%,MIN((MAX((I55+J55)*100%-I110,0)),(I55+J55/2)*$A110),MAX((J55+I55)*100%-I110,0)/J$115)</f>
        <v>1.6217694096692634</v>
      </c>
      <c r="K110" s="238">
        <f t="shared" si="35"/>
        <v>0</v>
      </c>
      <c r="L110" s="315"/>
      <c r="M110" s="300">
        <f t="shared" si="43"/>
        <v>5.0341499757678783</v>
      </c>
      <c r="N110" s="300">
        <f t="shared" si="44"/>
        <v>5.0341499757678783</v>
      </c>
      <c r="O110" s="452">
        <f>IF((IFERROR(N110/((N55+O55)*100%),0))&lt;70%,MIN((MAX((N55+O55)*100%-N110,0)),(N55+O55/2)*$A110),MAX((O55+N55)*100%-N110,0)/O$115)</f>
        <v>1.6217694096692634</v>
      </c>
      <c r="P110" s="238">
        <f t="shared" si="37"/>
        <v>0</v>
      </c>
      <c r="Q110" s="315"/>
      <c r="R110" s="300">
        <f t="shared" si="45"/>
        <v>6.6559193854371417</v>
      </c>
      <c r="S110" s="300">
        <f t="shared" si="46"/>
        <v>6.6559193854371417</v>
      </c>
      <c r="T110" s="452">
        <f>IF((IFERROR(S110/((S55+T55)*100%),0))&lt;70%,MIN((MAX((S55+T55)*100%-S110,0)),(S55+T55/2)*$A110),MAX((T55+S55)*100%-S110,0)/T$115)</f>
        <v>1.6217694096692634</v>
      </c>
      <c r="U110" s="238">
        <f t="shared" si="39"/>
        <v>0</v>
      </c>
      <c r="V110" s="315"/>
      <c r="W110" s="300">
        <f t="shared" si="47"/>
        <v>8.2776887951064051</v>
      </c>
    </row>
    <row r="111" spans="1:23" x14ac:dyDescent="0.3">
      <c r="A111" s="1215">
        <v>0.3</v>
      </c>
      <c r="B111" s="70">
        <f t="shared" si="48"/>
        <v>15</v>
      </c>
      <c r="C111" s="304" t="s">
        <v>812</v>
      </c>
      <c r="D111" s="235">
        <f t="shared" si="32"/>
        <v>0</v>
      </c>
      <c r="E111" s="452">
        <f>IF((IFERROR(D111/((D56+E56)*100%),0))&lt;70%,MIN((MAX((D56+E56)*100%-D111,0)),(D56+E56/2)*$A111),MAX((E56+D56)*100%-D111,0)/E$115)</f>
        <v>0</v>
      </c>
      <c r="F111" s="238">
        <f t="shared" si="33"/>
        <v>0</v>
      </c>
      <c r="G111" s="239"/>
      <c r="H111" s="235">
        <f t="shared" si="49"/>
        <v>0</v>
      </c>
      <c r="I111" s="300">
        <f t="shared" si="42"/>
        <v>0</v>
      </c>
      <c r="J111" s="452">
        <f>IF((IFERROR(I111/((I56+J56)*100%),0))&lt;70%,MIN((MAX((I56+J56)*100%-I111,0)),(I56+J56/2)*$A111),MAX((J56+I56)*100%-I111,0)/J$115)</f>
        <v>0</v>
      </c>
      <c r="K111" s="238">
        <f t="shared" si="35"/>
        <v>0</v>
      </c>
      <c r="L111" s="315"/>
      <c r="M111" s="300">
        <f t="shared" si="43"/>
        <v>0</v>
      </c>
      <c r="N111" s="300">
        <f t="shared" si="44"/>
        <v>0</v>
      </c>
      <c r="O111" s="452">
        <f>IF((IFERROR(N111/((N56+O56)*100%),0))&lt;70%,MIN((MAX((N56+O56)*100%-N111,0)),(N56+O56/2)*$A111),MAX((O56+N56)*100%-N111,0)/O$115)</f>
        <v>0</v>
      </c>
      <c r="P111" s="238">
        <f t="shared" si="37"/>
        <v>0</v>
      </c>
      <c r="Q111" s="315"/>
      <c r="R111" s="300">
        <f t="shared" si="45"/>
        <v>0</v>
      </c>
      <c r="S111" s="300">
        <f t="shared" si="46"/>
        <v>0</v>
      </c>
      <c r="T111" s="452">
        <f>IF((IFERROR(S111/((S56+T56)*100%),0))&lt;70%,MIN((MAX((S56+T56)*100%-S111,0)),(S56+T56/2)*$A111),MAX((T56+S56)*100%-S111,0)/T$115)</f>
        <v>0</v>
      </c>
      <c r="U111" s="238">
        <f t="shared" si="39"/>
        <v>0</v>
      </c>
      <c r="V111" s="315"/>
      <c r="W111" s="300">
        <f t="shared" si="47"/>
        <v>0</v>
      </c>
    </row>
    <row r="112" spans="1:23" x14ac:dyDescent="0.3">
      <c r="A112" s="1215">
        <v>0.3</v>
      </c>
      <c r="B112" s="70">
        <f t="shared" si="48"/>
        <v>16</v>
      </c>
      <c r="C112" s="304" t="s">
        <v>763</v>
      </c>
      <c r="D112" s="235">
        <f t="shared" si="32"/>
        <v>0</v>
      </c>
      <c r="E112" s="452">
        <f>IF((IFERROR(D112/((D57+E57)*100%),0))&lt;70%,MIN((MAX((D57+E57)*100%-D112,0)),(D57+E57/2)*$A112),MAX((E57+D57)*100%-D112,0)/E$115)</f>
        <v>0</v>
      </c>
      <c r="F112" s="238">
        <f t="shared" si="33"/>
        <v>0</v>
      </c>
      <c r="G112" s="239"/>
      <c r="H112" s="235">
        <f t="shared" si="49"/>
        <v>0</v>
      </c>
      <c r="I112" s="300">
        <f t="shared" si="42"/>
        <v>0</v>
      </c>
      <c r="J112" s="452">
        <f>IF((IFERROR(I112/((I57+J57)*100%),0))&lt;70%,MIN((MAX((I57+J57)*100%-I112,0)),(I57+J57/2)*$A112),MAX((J57+I57)*100%-I112,0)/J$115)</f>
        <v>0</v>
      </c>
      <c r="K112" s="238">
        <f t="shared" si="35"/>
        <v>0</v>
      </c>
      <c r="L112" s="315"/>
      <c r="M112" s="300">
        <f t="shared" si="43"/>
        <v>0</v>
      </c>
      <c r="N112" s="300">
        <f t="shared" si="44"/>
        <v>0</v>
      </c>
      <c r="O112" s="452">
        <f>IF((IFERROR(N112/((N57+O57)*100%),0))&lt;70%,MIN((MAX((N57+O57)*100%-N112,0)),(N57+O57/2)*$A112),MAX((O57+N57)*100%-N112,0)/O$115)</f>
        <v>0</v>
      </c>
      <c r="P112" s="238">
        <f t="shared" si="37"/>
        <v>0</v>
      </c>
      <c r="Q112" s="315"/>
      <c r="R112" s="300">
        <f t="shared" si="45"/>
        <v>0</v>
      </c>
      <c r="S112" s="300">
        <f t="shared" si="46"/>
        <v>0</v>
      </c>
      <c r="T112" s="452">
        <f>IF((IFERROR(S112/((S57+T57)*100%),0))&lt;70%,MIN((MAX((S57+T57)*100%-S112,0)),(S57+T57/2)*$A112),MAX((T57+S57)*100%-S112,0)/T$115)</f>
        <v>0</v>
      </c>
      <c r="U112" s="238">
        <f t="shared" si="39"/>
        <v>0</v>
      </c>
      <c r="V112" s="315"/>
      <c r="W112" s="300">
        <f t="shared" si="47"/>
        <v>0</v>
      </c>
    </row>
    <row r="113" spans="1:23" x14ac:dyDescent="0.3">
      <c r="A113" s="1215">
        <v>3.3399999999999999E-2</v>
      </c>
      <c r="B113" s="70">
        <f t="shared" si="48"/>
        <v>17</v>
      </c>
      <c r="C113" s="304" t="s">
        <v>813</v>
      </c>
      <c r="D113" s="235">
        <f t="shared" si="32"/>
        <v>0</v>
      </c>
      <c r="E113" s="452">
        <f t="shared" si="40"/>
        <v>0</v>
      </c>
      <c r="F113" s="238">
        <f t="shared" si="33"/>
        <v>0</v>
      </c>
      <c r="G113" s="239"/>
      <c r="H113" s="235">
        <f t="shared" si="49"/>
        <v>0</v>
      </c>
      <c r="I113" s="300">
        <f t="shared" si="42"/>
        <v>0</v>
      </c>
      <c r="J113" s="452">
        <f t="shared" ref="J113" si="50">IF((IFERROR(I113/((I58+J58)*90%),0))&lt;70%,MIN((MAX((I58+J58)*90%-I113,0)),(I58+J58/2)*$A113),MAX((J58+I58)*90%-I113,0)/J$115)</f>
        <v>0</v>
      </c>
      <c r="K113" s="238">
        <f t="shared" si="35"/>
        <v>0</v>
      </c>
      <c r="L113" s="315"/>
      <c r="M113" s="300">
        <f t="shared" si="43"/>
        <v>0</v>
      </c>
      <c r="N113" s="300">
        <f t="shared" si="44"/>
        <v>0</v>
      </c>
      <c r="O113" s="452">
        <f t="shared" ref="O113" si="51">IF((IFERROR(N113/((N58+O58)*90%),0))&lt;70%,MIN((MAX((N58+O58)*90%-N113,0)),(N58+O58/2)*$A113),MAX((O58+N58)*90%-N113,0)/O$115)</f>
        <v>0</v>
      </c>
      <c r="P113" s="238">
        <f t="shared" si="37"/>
        <v>0</v>
      </c>
      <c r="Q113" s="315"/>
      <c r="R113" s="300">
        <f t="shared" si="45"/>
        <v>0</v>
      </c>
      <c r="S113" s="300">
        <f t="shared" si="46"/>
        <v>0</v>
      </c>
      <c r="T113" s="452">
        <f t="shared" ref="T113" si="52">IF((IFERROR(S113/((S58+T58)*90%),0))&lt;70%,MIN((MAX((S58+T58)*90%-S113,0)),(S58+T58/2)*$A113),MAX((T58+S58)*90%-S113,0)/T$115)</f>
        <v>0</v>
      </c>
      <c r="U113" s="238">
        <f t="shared" si="39"/>
        <v>0</v>
      </c>
      <c r="V113" s="315"/>
      <c r="W113" s="300">
        <f t="shared" si="47"/>
        <v>0</v>
      </c>
    </row>
    <row r="114" spans="1:23" ht="16" x14ac:dyDescent="0.3">
      <c r="B114" s="61"/>
      <c r="C114" s="71" t="s">
        <v>267</v>
      </c>
      <c r="D114" s="237">
        <f t="shared" ref="D114:W114" si="53">SUM(D97:D113)</f>
        <v>332.62839711546513</v>
      </c>
      <c r="E114" s="237">
        <f t="shared" si="53"/>
        <v>301.26393287132692</v>
      </c>
      <c r="F114" s="237">
        <f t="shared" si="53"/>
        <v>0</v>
      </c>
      <c r="G114" s="237">
        <f t="shared" si="53"/>
        <v>0</v>
      </c>
      <c r="H114" s="237">
        <f t="shared" si="53"/>
        <v>633.89232998679199</v>
      </c>
      <c r="I114" s="237">
        <f t="shared" si="53"/>
        <v>633.89232998679199</v>
      </c>
      <c r="J114" s="237">
        <f t="shared" ref="J114:K114" si="54">SUM(J97:J113)</f>
        <v>301.26393287132692</v>
      </c>
      <c r="K114" s="237">
        <f t="shared" si="54"/>
        <v>0</v>
      </c>
      <c r="L114" s="237">
        <f t="shared" si="53"/>
        <v>0</v>
      </c>
      <c r="M114" s="237">
        <f t="shared" si="53"/>
        <v>935.15626285811902</v>
      </c>
      <c r="N114" s="237">
        <f t="shared" si="53"/>
        <v>935.15626285811902</v>
      </c>
      <c r="O114" s="237">
        <f t="shared" ref="O114:P114" si="55">SUM(O97:O113)</f>
        <v>301.26393287132692</v>
      </c>
      <c r="P114" s="237">
        <f t="shared" si="55"/>
        <v>0</v>
      </c>
      <c r="Q114" s="237">
        <f t="shared" si="53"/>
        <v>0</v>
      </c>
      <c r="R114" s="237">
        <f t="shared" si="53"/>
        <v>1236.4201957294458</v>
      </c>
      <c r="S114" s="237">
        <f t="shared" si="53"/>
        <v>1236.4201957294458</v>
      </c>
      <c r="T114" s="237">
        <f t="shared" ref="T114:U114" si="56">SUM(T97:T113)</f>
        <v>300.21373238885212</v>
      </c>
      <c r="U114" s="237">
        <f t="shared" si="56"/>
        <v>0</v>
      </c>
      <c r="V114" s="237">
        <f t="shared" si="53"/>
        <v>0</v>
      </c>
      <c r="W114" s="237">
        <f t="shared" si="53"/>
        <v>1536.6339281182979</v>
      </c>
    </row>
    <row r="115" spans="1:23" ht="16" x14ac:dyDescent="0.3">
      <c r="B115" s="34"/>
      <c r="C115" s="41"/>
      <c r="D115" s="330"/>
      <c r="E115" s="329">
        <f>J88-1</f>
        <v>23.833333333333332</v>
      </c>
      <c r="F115" s="330"/>
      <c r="G115" s="330"/>
      <c r="H115" s="330"/>
      <c r="J115" s="329">
        <f>E115-1</f>
        <v>22.833333333333332</v>
      </c>
      <c r="O115" s="329">
        <f>J115-1</f>
        <v>21.833333333333332</v>
      </c>
      <c r="T115" s="329">
        <f>O115-1</f>
        <v>20.833333333333332</v>
      </c>
    </row>
    <row r="117" spans="1:23" x14ac:dyDescent="0.3">
      <c r="B117" s="42" t="s">
        <v>328</v>
      </c>
    </row>
    <row r="118" spans="1:23" x14ac:dyDescent="0.3">
      <c r="B118" s="42"/>
    </row>
    <row r="119" spans="1:23" x14ac:dyDescent="0.3">
      <c r="D119" s="6"/>
      <c r="E119" s="6"/>
      <c r="F119" s="6"/>
      <c r="G119" s="6"/>
      <c r="H119" s="6"/>
      <c r="J119" s="4"/>
      <c r="M119" s="50" t="s">
        <v>10</v>
      </c>
    </row>
    <row r="120" spans="1:23" ht="15" customHeight="1" x14ac:dyDescent="0.3">
      <c r="B120" s="1481" t="s">
        <v>327</v>
      </c>
      <c r="C120" s="1481" t="s">
        <v>35</v>
      </c>
      <c r="D120" s="1579" t="s">
        <v>477</v>
      </c>
      <c r="E120" s="1580"/>
      <c r="F120" s="1580"/>
      <c r="G120" s="1580"/>
      <c r="H120" s="1581"/>
      <c r="I120" s="1570" t="s">
        <v>849</v>
      </c>
      <c r="J120" s="1570"/>
      <c r="K120" s="1570"/>
      <c r="L120" s="1570"/>
      <c r="M120" s="1570"/>
    </row>
    <row r="121" spans="1:23" x14ac:dyDescent="0.3">
      <c r="B121" s="1481"/>
      <c r="C121" s="1481"/>
      <c r="D121" s="1571" t="s">
        <v>7</v>
      </c>
      <c r="E121" s="1572"/>
      <c r="F121" s="1572"/>
      <c r="G121" s="1572"/>
      <c r="H121" s="1572"/>
      <c r="I121" s="1573" t="s">
        <v>20</v>
      </c>
      <c r="J121" s="1574"/>
      <c r="K121" s="1574"/>
      <c r="L121" s="1574"/>
      <c r="M121" s="1574"/>
    </row>
    <row r="122" spans="1:23" ht="42" x14ac:dyDescent="0.3">
      <c r="B122" s="1481"/>
      <c r="C122" s="1481"/>
      <c r="D122" s="250" t="s">
        <v>263</v>
      </c>
      <c r="E122" s="250" t="s">
        <v>264</v>
      </c>
      <c r="F122" s="181" t="s">
        <v>270</v>
      </c>
      <c r="G122" s="64" t="s">
        <v>548</v>
      </c>
      <c r="H122" s="250" t="s">
        <v>266</v>
      </c>
      <c r="I122" s="250" t="s">
        <v>263</v>
      </c>
      <c r="J122" s="250" t="s">
        <v>264</v>
      </c>
      <c r="K122" s="181" t="s">
        <v>270</v>
      </c>
      <c r="L122" s="64" t="s">
        <v>548</v>
      </c>
      <c r="M122" s="250" t="s">
        <v>266</v>
      </c>
    </row>
    <row r="123" spans="1:23" x14ac:dyDescent="0.3">
      <c r="B123" s="179"/>
      <c r="C123" s="179"/>
      <c r="D123" s="179" t="s">
        <v>78</v>
      </c>
      <c r="E123" s="179" t="s">
        <v>79</v>
      </c>
      <c r="F123" s="179" t="s">
        <v>435</v>
      </c>
      <c r="G123" s="179" t="s">
        <v>378</v>
      </c>
      <c r="H123" s="179" t="s">
        <v>549</v>
      </c>
      <c r="I123" s="179" t="s">
        <v>610</v>
      </c>
      <c r="J123" s="179" t="s">
        <v>611</v>
      </c>
      <c r="K123" s="179" t="s">
        <v>612</v>
      </c>
      <c r="L123" s="179" t="s">
        <v>613</v>
      </c>
      <c r="M123" s="179" t="s">
        <v>614</v>
      </c>
    </row>
    <row r="124" spans="1:23" x14ac:dyDescent="0.3">
      <c r="B124" s="70">
        <v>1</v>
      </c>
      <c r="C124" s="304" t="s">
        <v>755</v>
      </c>
      <c r="D124" s="238">
        <f t="shared" ref="D124:G135" si="57">D16-D70</f>
        <v>0</v>
      </c>
      <c r="E124" s="238">
        <f>E16-E70</f>
        <v>31.731225228927713</v>
      </c>
      <c r="F124" s="238">
        <f t="shared" si="57"/>
        <v>0</v>
      </c>
      <c r="G124" s="238">
        <f t="shared" si="57"/>
        <v>0</v>
      </c>
      <c r="H124" s="238">
        <f>D124+E124-F124-G124</f>
        <v>31.731225228927713</v>
      </c>
      <c r="I124" s="238">
        <f t="shared" ref="I124:L140" si="58">I16-I70</f>
        <v>31.731225228927713</v>
      </c>
      <c r="J124" s="238">
        <f t="shared" si="58"/>
        <v>0</v>
      </c>
      <c r="K124" s="238">
        <f t="shared" si="58"/>
        <v>0</v>
      </c>
      <c r="L124" s="238">
        <f t="shared" si="58"/>
        <v>0</v>
      </c>
      <c r="M124" s="235">
        <f>I124+J124-K124-L124</f>
        <v>31.731225228927713</v>
      </c>
    </row>
    <row r="125" spans="1:23" x14ac:dyDescent="0.3">
      <c r="B125" s="70">
        <f>B124+1</f>
        <v>2</v>
      </c>
      <c r="C125" s="304" t="s">
        <v>756</v>
      </c>
      <c r="D125" s="238">
        <f t="shared" si="57"/>
        <v>0</v>
      </c>
      <c r="E125" s="238">
        <f t="shared" si="57"/>
        <v>187.89064912093102</v>
      </c>
      <c r="F125" s="238">
        <f t="shared" si="57"/>
        <v>0</v>
      </c>
      <c r="G125" s="238">
        <f t="shared" si="57"/>
        <v>0</v>
      </c>
      <c r="H125" s="238">
        <f t="shared" ref="H125:H135" si="59">D125+E125-F125-G125</f>
        <v>187.89064912093102</v>
      </c>
      <c r="I125" s="238">
        <f t="shared" si="58"/>
        <v>187.89064912093102</v>
      </c>
      <c r="J125" s="238">
        <f t="shared" si="58"/>
        <v>-6.2974455378353174</v>
      </c>
      <c r="K125" s="238">
        <f t="shared" si="58"/>
        <v>0</v>
      </c>
      <c r="L125" s="238">
        <f t="shared" si="58"/>
        <v>0</v>
      </c>
      <c r="M125" s="235">
        <f t="shared" ref="M125:M135" si="60">I125+J125-K125-L125</f>
        <v>181.59320358309569</v>
      </c>
    </row>
    <row r="126" spans="1:23" x14ac:dyDescent="0.3">
      <c r="B126" s="70">
        <f t="shared" ref="B126:B140" si="61">B125+1</f>
        <v>3</v>
      </c>
      <c r="C126" s="304" t="s">
        <v>757</v>
      </c>
      <c r="D126" s="238">
        <f t="shared" si="57"/>
        <v>0</v>
      </c>
      <c r="E126" s="238">
        <f t="shared" si="57"/>
        <v>0</v>
      </c>
      <c r="F126" s="238">
        <f t="shared" si="57"/>
        <v>0</v>
      </c>
      <c r="G126" s="238">
        <f t="shared" si="57"/>
        <v>0</v>
      </c>
      <c r="H126" s="238">
        <f t="shared" si="59"/>
        <v>0</v>
      </c>
      <c r="I126" s="238">
        <f t="shared" si="58"/>
        <v>0</v>
      </c>
      <c r="J126" s="238">
        <f t="shared" si="58"/>
        <v>0</v>
      </c>
      <c r="K126" s="238">
        <f t="shared" si="58"/>
        <v>0</v>
      </c>
      <c r="L126" s="238">
        <f t="shared" si="58"/>
        <v>0</v>
      </c>
      <c r="M126" s="235">
        <f t="shared" si="60"/>
        <v>0</v>
      </c>
    </row>
    <row r="127" spans="1:23" x14ac:dyDescent="0.3">
      <c r="B127" s="70">
        <f t="shared" si="61"/>
        <v>4</v>
      </c>
      <c r="C127" s="304" t="s">
        <v>758</v>
      </c>
      <c r="D127" s="238">
        <f t="shared" si="57"/>
        <v>0</v>
      </c>
      <c r="E127" s="238">
        <f t="shared" si="57"/>
        <v>0</v>
      </c>
      <c r="F127" s="238">
        <f t="shared" si="57"/>
        <v>0</v>
      </c>
      <c r="G127" s="238">
        <f t="shared" si="57"/>
        <v>0</v>
      </c>
      <c r="H127" s="238">
        <f t="shared" si="59"/>
        <v>0</v>
      </c>
      <c r="I127" s="238">
        <f t="shared" si="58"/>
        <v>0</v>
      </c>
      <c r="J127" s="238">
        <f t="shared" si="58"/>
        <v>0</v>
      </c>
      <c r="K127" s="238">
        <f t="shared" si="58"/>
        <v>0</v>
      </c>
      <c r="L127" s="238">
        <f t="shared" si="58"/>
        <v>0</v>
      </c>
      <c r="M127" s="235">
        <f t="shared" si="60"/>
        <v>0</v>
      </c>
    </row>
    <row r="128" spans="1:23" x14ac:dyDescent="0.3">
      <c r="B128" s="70">
        <f t="shared" si="61"/>
        <v>5</v>
      </c>
      <c r="C128" s="304" t="s">
        <v>759</v>
      </c>
      <c r="D128" s="238">
        <f t="shared" si="57"/>
        <v>0</v>
      </c>
      <c r="E128" s="238">
        <f t="shared" si="57"/>
        <v>173.27523769404752</v>
      </c>
      <c r="F128" s="238">
        <f t="shared" si="57"/>
        <v>0</v>
      </c>
      <c r="G128" s="238">
        <f t="shared" si="57"/>
        <v>0</v>
      </c>
      <c r="H128" s="238">
        <f t="shared" si="59"/>
        <v>173.27523769404752</v>
      </c>
      <c r="I128" s="238">
        <f t="shared" si="58"/>
        <v>173.27523769404752</v>
      </c>
      <c r="J128" s="238">
        <f t="shared" si="58"/>
        <v>-5.8075874320462635</v>
      </c>
      <c r="K128" s="238">
        <f t="shared" si="58"/>
        <v>0</v>
      </c>
      <c r="L128" s="238">
        <f t="shared" si="58"/>
        <v>0</v>
      </c>
      <c r="M128" s="235">
        <f t="shared" si="60"/>
        <v>167.46765026200126</v>
      </c>
    </row>
    <row r="129" spans="2:33" x14ac:dyDescent="0.3">
      <c r="B129" s="70">
        <f t="shared" si="61"/>
        <v>6</v>
      </c>
      <c r="C129" s="304" t="s">
        <v>251</v>
      </c>
      <c r="D129" s="238">
        <f t="shared" si="57"/>
        <v>0</v>
      </c>
      <c r="E129" s="238">
        <f t="shared" si="57"/>
        <v>5395.1739366242364</v>
      </c>
      <c r="F129" s="238">
        <f t="shared" si="57"/>
        <v>0</v>
      </c>
      <c r="G129" s="238">
        <f t="shared" si="57"/>
        <v>0</v>
      </c>
      <c r="H129" s="238">
        <f t="shared" si="59"/>
        <v>5395.1739366242364</v>
      </c>
      <c r="I129" s="238">
        <f t="shared" si="58"/>
        <v>5395.1739366242364</v>
      </c>
      <c r="J129" s="238">
        <f t="shared" si="58"/>
        <v>-286.4397391761791</v>
      </c>
      <c r="K129" s="238">
        <f t="shared" si="58"/>
        <v>0</v>
      </c>
      <c r="L129" s="238">
        <f t="shared" si="58"/>
        <v>0</v>
      </c>
      <c r="M129" s="235">
        <f t="shared" si="60"/>
        <v>5108.7341974480569</v>
      </c>
    </row>
    <row r="130" spans="2:33" x14ac:dyDescent="0.3">
      <c r="B130" s="70">
        <f t="shared" si="61"/>
        <v>7</v>
      </c>
      <c r="C130" s="304" t="s">
        <v>760</v>
      </c>
      <c r="D130" s="238">
        <f t="shared" si="57"/>
        <v>0</v>
      </c>
      <c r="E130" s="238">
        <f t="shared" si="57"/>
        <v>5.9823694610994593</v>
      </c>
      <c r="F130" s="238">
        <f t="shared" si="57"/>
        <v>0</v>
      </c>
      <c r="G130" s="238">
        <f t="shared" si="57"/>
        <v>0</v>
      </c>
      <c r="H130" s="238">
        <f t="shared" si="59"/>
        <v>5.9823694610994593</v>
      </c>
      <c r="I130" s="238">
        <f t="shared" si="58"/>
        <v>5.9823694610994593</v>
      </c>
      <c r="J130" s="238">
        <f t="shared" si="58"/>
        <v>-1.0973913155970361</v>
      </c>
      <c r="K130" s="238">
        <f t="shared" si="58"/>
        <v>0</v>
      </c>
      <c r="L130" s="238">
        <f t="shared" si="58"/>
        <v>0</v>
      </c>
      <c r="M130" s="235">
        <f t="shared" si="60"/>
        <v>4.8849781455024228</v>
      </c>
    </row>
    <row r="131" spans="2:33" x14ac:dyDescent="0.3">
      <c r="B131" s="70">
        <f t="shared" si="61"/>
        <v>8</v>
      </c>
      <c r="C131" s="304" t="s">
        <v>761</v>
      </c>
      <c r="D131" s="238">
        <f t="shared" si="57"/>
        <v>0</v>
      </c>
      <c r="E131" s="238">
        <f t="shared" si="57"/>
        <v>0</v>
      </c>
      <c r="F131" s="238">
        <f t="shared" si="57"/>
        <v>0</v>
      </c>
      <c r="G131" s="238">
        <f t="shared" si="57"/>
        <v>0</v>
      </c>
      <c r="H131" s="238">
        <f t="shared" si="59"/>
        <v>0</v>
      </c>
      <c r="I131" s="238">
        <f t="shared" si="58"/>
        <v>0</v>
      </c>
      <c r="J131" s="238">
        <f t="shared" si="58"/>
        <v>0</v>
      </c>
      <c r="K131" s="238">
        <f t="shared" si="58"/>
        <v>0</v>
      </c>
      <c r="L131" s="238">
        <f t="shared" si="58"/>
        <v>0</v>
      </c>
      <c r="M131" s="235">
        <f t="shared" si="60"/>
        <v>0</v>
      </c>
    </row>
    <row r="132" spans="2:33" x14ac:dyDescent="0.3">
      <c r="B132" s="70">
        <f t="shared" si="61"/>
        <v>9</v>
      </c>
      <c r="C132" s="304" t="s">
        <v>762</v>
      </c>
      <c r="D132" s="238">
        <f t="shared" si="57"/>
        <v>0</v>
      </c>
      <c r="E132" s="238">
        <f t="shared" si="57"/>
        <v>0</v>
      </c>
      <c r="F132" s="238">
        <f t="shared" si="57"/>
        <v>0</v>
      </c>
      <c r="G132" s="238">
        <f t="shared" si="57"/>
        <v>0</v>
      </c>
      <c r="H132" s="238">
        <f t="shared" si="59"/>
        <v>0</v>
      </c>
      <c r="I132" s="238">
        <f t="shared" si="58"/>
        <v>0</v>
      </c>
      <c r="J132" s="238">
        <f t="shared" si="58"/>
        <v>0</v>
      </c>
      <c r="K132" s="238">
        <f t="shared" si="58"/>
        <v>0</v>
      </c>
      <c r="L132" s="238">
        <f t="shared" si="58"/>
        <v>0</v>
      </c>
      <c r="M132" s="235">
        <f t="shared" si="60"/>
        <v>0</v>
      </c>
    </row>
    <row r="133" spans="2:33" x14ac:dyDescent="0.3">
      <c r="B133" s="70">
        <f t="shared" si="61"/>
        <v>10</v>
      </c>
      <c r="C133" s="304" t="s">
        <v>254</v>
      </c>
      <c r="D133" s="238">
        <f t="shared" si="57"/>
        <v>0</v>
      </c>
      <c r="E133" s="238">
        <f t="shared" si="57"/>
        <v>0</v>
      </c>
      <c r="F133" s="238">
        <f t="shared" si="57"/>
        <v>0</v>
      </c>
      <c r="G133" s="238">
        <f t="shared" si="57"/>
        <v>0</v>
      </c>
      <c r="H133" s="238">
        <f t="shared" si="59"/>
        <v>0</v>
      </c>
      <c r="I133" s="238">
        <f t="shared" si="58"/>
        <v>0</v>
      </c>
      <c r="J133" s="238">
        <f t="shared" si="58"/>
        <v>0</v>
      </c>
      <c r="K133" s="238">
        <f t="shared" si="58"/>
        <v>0</v>
      </c>
      <c r="L133" s="238">
        <f t="shared" si="58"/>
        <v>0</v>
      </c>
      <c r="M133" s="235">
        <f t="shared" si="60"/>
        <v>0</v>
      </c>
    </row>
    <row r="134" spans="2:33" x14ac:dyDescent="0.3">
      <c r="B134" s="70">
        <f t="shared" si="61"/>
        <v>11</v>
      </c>
      <c r="C134" s="304" t="s">
        <v>255</v>
      </c>
      <c r="D134" s="238">
        <f t="shared" si="57"/>
        <v>0</v>
      </c>
      <c r="E134" s="238">
        <f t="shared" si="57"/>
        <v>0</v>
      </c>
      <c r="F134" s="238">
        <f t="shared" si="57"/>
        <v>0</v>
      </c>
      <c r="G134" s="238">
        <f t="shared" si="57"/>
        <v>0</v>
      </c>
      <c r="H134" s="238">
        <f t="shared" si="59"/>
        <v>0</v>
      </c>
      <c r="I134" s="238">
        <f t="shared" si="58"/>
        <v>0</v>
      </c>
      <c r="J134" s="238">
        <f t="shared" si="58"/>
        <v>0</v>
      </c>
      <c r="K134" s="238">
        <f t="shared" si="58"/>
        <v>0</v>
      </c>
      <c r="L134" s="238">
        <f t="shared" si="58"/>
        <v>0</v>
      </c>
      <c r="M134" s="235">
        <f t="shared" si="60"/>
        <v>0</v>
      </c>
    </row>
    <row r="135" spans="2:33" x14ac:dyDescent="0.3">
      <c r="B135" s="70">
        <f t="shared" si="61"/>
        <v>12</v>
      </c>
      <c r="C135" s="304" t="s">
        <v>256</v>
      </c>
      <c r="D135" s="238">
        <f t="shared" si="57"/>
        <v>0</v>
      </c>
      <c r="E135" s="238">
        <f t="shared" si="57"/>
        <v>0</v>
      </c>
      <c r="F135" s="238">
        <f t="shared" si="57"/>
        <v>0</v>
      </c>
      <c r="G135" s="238">
        <f t="shared" si="57"/>
        <v>0</v>
      </c>
      <c r="H135" s="238">
        <f t="shared" si="59"/>
        <v>0</v>
      </c>
      <c r="I135" s="238">
        <f t="shared" si="58"/>
        <v>0</v>
      </c>
      <c r="J135" s="238">
        <f t="shared" si="58"/>
        <v>0</v>
      </c>
      <c r="K135" s="238">
        <f t="shared" si="58"/>
        <v>0</v>
      </c>
      <c r="L135" s="238">
        <f t="shared" si="58"/>
        <v>0</v>
      </c>
      <c r="M135" s="235">
        <f t="shared" si="60"/>
        <v>0</v>
      </c>
    </row>
    <row r="136" spans="2:33" x14ac:dyDescent="0.3">
      <c r="B136" s="70">
        <f t="shared" si="61"/>
        <v>13</v>
      </c>
      <c r="C136" s="304" t="s">
        <v>810</v>
      </c>
      <c r="D136" s="238">
        <f t="shared" ref="D136:G136" si="62">D28-D82</f>
        <v>0</v>
      </c>
      <c r="E136" s="238">
        <f t="shared" si="62"/>
        <v>0</v>
      </c>
      <c r="F136" s="238">
        <f t="shared" si="62"/>
        <v>0</v>
      </c>
      <c r="G136" s="238">
        <f t="shared" si="62"/>
        <v>0</v>
      </c>
      <c r="H136" s="238">
        <f t="shared" ref="H136:H140" si="63">D136+E136-F136-G136</f>
        <v>0</v>
      </c>
      <c r="I136" s="238">
        <f t="shared" si="58"/>
        <v>0</v>
      </c>
      <c r="J136" s="238">
        <f t="shared" si="58"/>
        <v>0</v>
      </c>
      <c r="K136" s="238">
        <f t="shared" si="58"/>
        <v>0</v>
      </c>
      <c r="L136" s="238">
        <f t="shared" si="58"/>
        <v>0</v>
      </c>
      <c r="M136" s="235">
        <f t="shared" ref="M136:M140" si="64">I136+J136-K136-L136</f>
        <v>0</v>
      </c>
    </row>
    <row r="137" spans="2:33" x14ac:dyDescent="0.3">
      <c r="B137" s="70">
        <f t="shared" si="61"/>
        <v>14</v>
      </c>
      <c r="C137" s="304" t="s">
        <v>811</v>
      </c>
      <c r="D137" s="238">
        <f t="shared" ref="D137:G137" si="65">D29-D83</f>
        <v>0</v>
      </c>
      <c r="E137" s="238">
        <f t="shared" si="65"/>
        <v>10.642954317701669</v>
      </c>
      <c r="F137" s="238">
        <f t="shared" si="65"/>
        <v>0</v>
      </c>
      <c r="G137" s="238">
        <f t="shared" si="65"/>
        <v>0</v>
      </c>
      <c r="H137" s="238">
        <f t="shared" si="63"/>
        <v>10.642954317701669</v>
      </c>
      <c r="I137" s="238">
        <f t="shared" si="58"/>
        <v>10.642954317701669</v>
      </c>
      <c r="J137" s="238">
        <f t="shared" si="58"/>
        <v>-1.6217694096692634</v>
      </c>
      <c r="K137" s="238">
        <f t="shared" si="58"/>
        <v>0</v>
      </c>
      <c r="L137" s="238">
        <f t="shared" si="58"/>
        <v>0</v>
      </c>
      <c r="M137" s="235">
        <f t="shared" si="64"/>
        <v>9.0211849080324065</v>
      </c>
    </row>
    <row r="138" spans="2:33" x14ac:dyDescent="0.3">
      <c r="B138" s="70">
        <f t="shared" si="61"/>
        <v>15</v>
      </c>
      <c r="C138" s="304" t="s">
        <v>812</v>
      </c>
      <c r="D138" s="238">
        <f t="shared" ref="D138:G138" si="66">D30-D84</f>
        <v>0</v>
      </c>
      <c r="E138" s="238">
        <f t="shared" si="66"/>
        <v>0</v>
      </c>
      <c r="F138" s="238">
        <f t="shared" si="66"/>
        <v>0</v>
      </c>
      <c r="G138" s="238">
        <f t="shared" si="66"/>
        <v>0</v>
      </c>
      <c r="H138" s="238">
        <f t="shared" si="63"/>
        <v>0</v>
      </c>
      <c r="I138" s="238">
        <f t="shared" si="58"/>
        <v>0</v>
      </c>
      <c r="J138" s="238">
        <f t="shared" si="58"/>
        <v>0</v>
      </c>
      <c r="K138" s="238">
        <f t="shared" si="58"/>
        <v>0</v>
      </c>
      <c r="L138" s="238">
        <f t="shared" si="58"/>
        <v>0</v>
      </c>
      <c r="M138" s="235">
        <f t="shared" si="64"/>
        <v>0</v>
      </c>
    </row>
    <row r="139" spans="2:33" x14ac:dyDescent="0.3">
      <c r="B139" s="70">
        <f t="shared" si="61"/>
        <v>16</v>
      </c>
      <c r="C139" s="304" t="s">
        <v>763</v>
      </c>
      <c r="D139" s="238">
        <f t="shared" ref="D139:G139" si="67">D31-D85</f>
        <v>0</v>
      </c>
      <c r="E139" s="238">
        <f t="shared" si="67"/>
        <v>0</v>
      </c>
      <c r="F139" s="238">
        <f t="shared" si="67"/>
        <v>0</v>
      </c>
      <c r="G139" s="238">
        <f t="shared" si="67"/>
        <v>0</v>
      </c>
      <c r="H139" s="238">
        <f t="shared" si="63"/>
        <v>0</v>
      </c>
      <c r="I139" s="238">
        <f t="shared" si="58"/>
        <v>0</v>
      </c>
      <c r="J139" s="238">
        <f t="shared" si="58"/>
        <v>0</v>
      </c>
      <c r="K139" s="238">
        <f t="shared" si="58"/>
        <v>0</v>
      </c>
      <c r="L139" s="238">
        <f t="shared" si="58"/>
        <v>0</v>
      </c>
      <c r="M139" s="235">
        <f t="shared" si="64"/>
        <v>0</v>
      </c>
    </row>
    <row r="140" spans="2:33" x14ac:dyDescent="0.3">
      <c r="B140" s="70">
        <f t="shared" si="61"/>
        <v>17</v>
      </c>
      <c r="C140" s="304" t="s">
        <v>813</v>
      </c>
      <c r="D140" s="238">
        <f t="shared" ref="D140:G140" si="68">D32-D86</f>
        <v>0</v>
      </c>
      <c r="E140" s="238">
        <f t="shared" si="68"/>
        <v>0</v>
      </c>
      <c r="F140" s="238">
        <f t="shared" si="68"/>
        <v>0</v>
      </c>
      <c r="G140" s="238">
        <f t="shared" si="68"/>
        <v>0</v>
      </c>
      <c r="H140" s="238">
        <f t="shared" si="63"/>
        <v>0</v>
      </c>
      <c r="I140" s="238">
        <f t="shared" si="58"/>
        <v>0</v>
      </c>
      <c r="J140" s="238">
        <f t="shared" si="58"/>
        <v>0</v>
      </c>
      <c r="K140" s="238">
        <f t="shared" si="58"/>
        <v>0</v>
      </c>
      <c r="L140" s="238">
        <f t="shared" si="58"/>
        <v>0</v>
      </c>
      <c r="M140" s="235">
        <f t="shared" si="64"/>
        <v>0</v>
      </c>
    </row>
    <row r="141" spans="2:33" ht="16" x14ac:dyDescent="0.3">
      <c r="B141" s="61"/>
      <c r="C141" s="71" t="s">
        <v>267</v>
      </c>
      <c r="D141" s="237">
        <f>SUM(D124:D139)</f>
        <v>0</v>
      </c>
      <c r="E141" s="237">
        <f t="shared" ref="E141:H141" si="69">SUM(E124:E139)</f>
        <v>5804.6963724469442</v>
      </c>
      <c r="F141" s="237">
        <f t="shared" si="69"/>
        <v>0</v>
      </c>
      <c r="G141" s="237">
        <f t="shared" si="69"/>
        <v>0</v>
      </c>
      <c r="H141" s="237">
        <f t="shared" si="69"/>
        <v>5804.6963724469442</v>
      </c>
      <c r="I141" s="237">
        <f t="shared" ref="I141:M141" si="70">SUM(I124:I139)</f>
        <v>5804.6963724469442</v>
      </c>
      <c r="J141" s="237">
        <f t="shared" si="70"/>
        <v>-301.26393287132692</v>
      </c>
      <c r="K141" s="237">
        <f t="shared" si="70"/>
        <v>0</v>
      </c>
      <c r="L141" s="237">
        <f t="shared" si="70"/>
        <v>0</v>
      </c>
      <c r="M141" s="237">
        <f t="shared" si="70"/>
        <v>5503.4324395756166</v>
      </c>
    </row>
    <row r="142" spans="2:33" ht="16" x14ac:dyDescent="0.3">
      <c r="B142" s="34"/>
      <c r="C142" s="41"/>
      <c r="D142" s="41"/>
      <c r="E142" s="41"/>
      <c r="F142" s="41"/>
      <c r="G142" s="41"/>
      <c r="H142" s="41"/>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row>
    <row r="143" spans="2:33" ht="16" x14ac:dyDescent="0.3">
      <c r="B143" s="180" t="s">
        <v>560</v>
      </c>
      <c r="C143" s="183"/>
      <c r="D143" s="183"/>
      <c r="E143" s="183"/>
      <c r="F143" s="183"/>
      <c r="G143" s="41"/>
      <c r="H143" s="41"/>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row>
    <row r="144" spans="2:33" ht="16" x14ac:dyDescent="0.3">
      <c r="B144" s="34"/>
      <c r="C144" s="41"/>
      <c r="D144" s="41"/>
      <c r="E144" s="41"/>
      <c r="F144" s="41"/>
      <c r="G144" s="41"/>
      <c r="H144" s="41"/>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row>
    <row r="145" spans="2:33" ht="15" customHeight="1" x14ac:dyDescent="0.3">
      <c r="B145" s="34"/>
      <c r="C145" s="41"/>
      <c r="D145" s="6"/>
      <c r="E145" s="6"/>
      <c r="F145" s="6"/>
      <c r="G145" s="6"/>
      <c r="H145" s="6"/>
      <c r="J145" s="4"/>
      <c r="M145" s="4"/>
      <c r="N145" s="4"/>
      <c r="AG145" s="50" t="s">
        <v>10</v>
      </c>
    </row>
    <row r="146" spans="2:33" ht="13.75" customHeight="1" x14ac:dyDescent="0.3">
      <c r="B146" s="1481" t="s">
        <v>327</v>
      </c>
      <c r="C146" s="1481" t="s">
        <v>35</v>
      </c>
      <c r="D146" s="1576" t="s">
        <v>850</v>
      </c>
      <c r="E146" s="1577"/>
      <c r="F146" s="1577"/>
      <c r="G146" s="1577"/>
      <c r="H146" s="1578"/>
      <c r="I146" s="1576" t="s">
        <v>851</v>
      </c>
      <c r="J146" s="1577"/>
      <c r="K146" s="1577"/>
      <c r="L146" s="1577"/>
      <c r="M146" s="1578"/>
      <c r="N146" s="1570" t="s">
        <v>852</v>
      </c>
      <c r="O146" s="1570"/>
      <c r="P146" s="1570"/>
      <c r="Q146" s="1570"/>
      <c r="R146" s="1570"/>
      <c r="S146" s="1570" t="s">
        <v>853</v>
      </c>
      <c r="T146" s="1570"/>
      <c r="U146" s="1570"/>
      <c r="V146" s="1570"/>
      <c r="W146" s="1570"/>
    </row>
    <row r="147" spans="2:33" x14ac:dyDescent="0.3">
      <c r="B147" s="1481"/>
      <c r="C147" s="1481"/>
      <c r="D147" s="1579" t="s">
        <v>20</v>
      </c>
      <c r="E147" s="1580"/>
      <c r="F147" s="1580"/>
      <c r="G147" s="1580"/>
      <c r="H147" s="1581"/>
      <c r="I147" s="1579" t="s">
        <v>20</v>
      </c>
      <c r="J147" s="1580"/>
      <c r="K147" s="1580"/>
      <c r="L147" s="1580"/>
      <c r="M147" s="1581"/>
      <c r="N147" s="1573" t="s">
        <v>20</v>
      </c>
      <c r="O147" s="1574"/>
      <c r="P147" s="1574"/>
      <c r="Q147" s="1574"/>
      <c r="R147" s="1574"/>
      <c r="S147" s="1573" t="s">
        <v>20</v>
      </c>
      <c r="T147" s="1574"/>
      <c r="U147" s="1574"/>
      <c r="V147" s="1574"/>
      <c r="W147" s="1574"/>
    </row>
    <row r="148" spans="2:33" ht="42" x14ac:dyDescent="0.3">
      <c r="B148" s="1481"/>
      <c r="C148" s="1481"/>
      <c r="D148" s="250" t="s">
        <v>263</v>
      </c>
      <c r="E148" s="250" t="s">
        <v>264</v>
      </c>
      <c r="F148" s="181" t="s">
        <v>270</v>
      </c>
      <c r="G148" s="64" t="s">
        <v>548</v>
      </c>
      <c r="H148" s="250" t="s">
        <v>266</v>
      </c>
      <c r="I148" s="250" t="s">
        <v>263</v>
      </c>
      <c r="J148" s="250" t="s">
        <v>264</v>
      </c>
      <c r="K148" s="250" t="s">
        <v>265</v>
      </c>
      <c r="L148" s="64" t="s">
        <v>548</v>
      </c>
      <c r="M148" s="250" t="s">
        <v>266</v>
      </c>
      <c r="N148" s="250" t="s">
        <v>263</v>
      </c>
      <c r="O148" s="250" t="s">
        <v>264</v>
      </c>
      <c r="P148" s="250" t="s">
        <v>265</v>
      </c>
      <c r="Q148" s="64" t="s">
        <v>548</v>
      </c>
      <c r="R148" s="250" t="s">
        <v>266</v>
      </c>
      <c r="S148" s="250" t="s">
        <v>263</v>
      </c>
      <c r="T148" s="250" t="s">
        <v>264</v>
      </c>
      <c r="U148" s="250" t="s">
        <v>265</v>
      </c>
      <c r="V148" s="64" t="s">
        <v>548</v>
      </c>
      <c r="W148" s="250" t="s">
        <v>266</v>
      </c>
    </row>
    <row r="149" spans="2:33" ht="28" x14ac:dyDescent="0.3">
      <c r="B149" s="179"/>
      <c r="C149" s="179"/>
      <c r="D149" s="179" t="s">
        <v>615</v>
      </c>
      <c r="E149" s="179" t="s">
        <v>616</v>
      </c>
      <c r="F149" s="179" t="s">
        <v>617</v>
      </c>
      <c r="G149" s="179" t="s">
        <v>618</v>
      </c>
      <c r="H149" s="179" t="s">
        <v>619</v>
      </c>
      <c r="I149" s="179" t="s">
        <v>615</v>
      </c>
      <c r="J149" s="179" t="s">
        <v>616</v>
      </c>
      <c r="K149" s="179" t="s">
        <v>617</v>
      </c>
      <c r="L149" s="179" t="s">
        <v>618</v>
      </c>
      <c r="M149" s="179" t="s">
        <v>619</v>
      </c>
      <c r="N149" s="179" t="s">
        <v>615</v>
      </c>
      <c r="O149" s="179" t="s">
        <v>616</v>
      </c>
      <c r="P149" s="179" t="s">
        <v>617</v>
      </c>
      <c r="Q149" s="179" t="s">
        <v>618</v>
      </c>
      <c r="R149" s="179" t="s">
        <v>619</v>
      </c>
      <c r="S149" s="179" t="s">
        <v>615</v>
      </c>
      <c r="T149" s="179" t="s">
        <v>616</v>
      </c>
      <c r="U149" s="179" t="s">
        <v>617</v>
      </c>
      <c r="V149" s="179" t="s">
        <v>618</v>
      </c>
      <c r="W149" s="179" t="s">
        <v>619</v>
      </c>
    </row>
    <row r="150" spans="2:33" x14ac:dyDescent="0.3">
      <c r="B150" s="70">
        <v>1</v>
      </c>
      <c r="C150" s="304" t="s">
        <v>755</v>
      </c>
      <c r="D150" s="238">
        <f t="shared" ref="D150:G166" si="71">D42-D97</f>
        <v>31.731225228927713</v>
      </c>
      <c r="E150" s="238">
        <f t="shared" si="71"/>
        <v>0</v>
      </c>
      <c r="F150" s="238">
        <f t="shared" si="71"/>
        <v>0</v>
      </c>
      <c r="G150" s="238">
        <f t="shared" si="71"/>
        <v>0</v>
      </c>
      <c r="H150" s="235">
        <f>D150+E150-F150-G150</f>
        <v>31.731225228927713</v>
      </c>
      <c r="I150" s="300">
        <f>H150</f>
        <v>31.731225228927713</v>
      </c>
      <c r="J150" s="315"/>
      <c r="K150" s="300"/>
      <c r="L150" s="315"/>
      <c r="M150" s="300">
        <f>I150+J150-K150-L150</f>
        <v>31.731225228927713</v>
      </c>
      <c r="N150" s="300">
        <f>M150</f>
        <v>31.731225228927713</v>
      </c>
      <c r="O150" s="315"/>
      <c r="P150" s="300"/>
      <c r="Q150" s="315"/>
      <c r="R150" s="300">
        <f>N150+O150-P150-Q150</f>
        <v>31.731225228927713</v>
      </c>
      <c r="S150" s="300">
        <f>R150</f>
        <v>31.731225228927713</v>
      </c>
      <c r="T150" s="315"/>
      <c r="U150" s="300"/>
      <c r="V150" s="315"/>
      <c r="W150" s="300">
        <f>S150+T150-U150-V150</f>
        <v>31.731225228927713</v>
      </c>
    </row>
    <row r="151" spans="2:33" x14ac:dyDescent="0.3">
      <c r="B151" s="70">
        <f>B150+1</f>
        <v>2</v>
      </c>
      <c r="C151" s="304" t="s">
        <v>756</v>
      </c>
      <c r="D151" s="238">
        <f t="shared" si="71"/>
        <v>181.59320358309571</v>
      </c>
      <c r="E151" s="238">
        <f t="shared" si="71"/>
        <v>-6.2974455378353174</v>
      </c>
      <c r="F151" s="238">
        <f t="shared" si="71"/>
        <v>0</v>
      </c>
      <c r="G151" s="238">
        <f t="shared" si="71"/>
        <v>0</v>
      </c>
      <c r="H151" s="235">
        <f t="shared" ref="H151:H161" si="72">D151+E151-F151-G151</f>
        <v>175.29575804526038</v>
      </c>
      <c r="I151" s="300">
        <f t="shared" ref="I151:I166" si="73">H151</f>
        <v>175.29575804526038</v>
      </c>
      <c r="J151" s="315"/>
      <c r="K151" s="300"/>
      <c r="L151" s="315"/>
      <c r="M151" s="300">
        <f t="shared" ref="M151:M166" si="74">I151+J151-K151-L151</f>
        <v>175.29575804526038</v>
      </c>
      <c r="N151" s="300">
        <f t="shared" ref="N151:N166" si="75">M151</f>
        <v>175.29575804526038</v>
      </c>
      <c r="O151" s="315"/>
      <c r="P151" s="300"/>
      <c r="Q151" s="315"/>
      <c r="R151" s="300">
        <f t="shared" ref="R151:R166" si="76">N151+O151-P151-Q151</f>
        <v>175.29575804526038</v>
      </c>
      <c r="S151" s="300">
        <f t="shared" ref="S151:S166" si="77">R151</f>
        <v>175.29575804526038</v>
      </c>
      <c r="T151" s="315"/>
      <c r="U151" s="300"/>
      <c r="V151" s="315"/>
      <c r="W151" s="300">
        <f t="shared" ref="W151:W166" si="78">S151+T151-U151-V151</f>
        <v>175.29575804526038</v>
      </c>
    </row>
    <row r="152" spans="2:33" x14ac:dyDescent="0.3">
      <c r="B152" s="70">
        <f t="shared" ref="B152:B166" si="79">B151+1</f>
        <v>3</v>
      </c>
      <c r="C152" s="304" t="s">
        <v>757</v>
      </c>
      <c r="D152" s="238">
        <f t="shared" si="71"/>
        <v>0</v>
      </c>
      <c r="E152" s="238">
        <f t="shared" si="71"/>
        <v>0</v>
      </c>
      <c r="F152" s="238">
        <f t="shared" si="71"/>
        <v>0</v>
      </c>
      <c r="G152" s="238">
        <f t="shared" si="71"/>
        <v>0</v>
      </c>
      <c r="H152" s="235">
        <f t="shared" si="72"/>
        <v>0</v>
      </c>
      <c r="I152" s="300">
        <f t="shared" si="73"/>
        <v>0</v>
      </c>
      <c r="J152" s="315"/>
      <c r="K152" s="300"/>
      <c r="L152" s="315"/>
      <c r="M152" s="300">
        <f t="shared" si="74"/>
        <v>0</v>
      </c>
      <c r="N152" s="300">
        <f t="shared" si="75"/>
        <v>0</v>
      </c>
      <c r="O152" s="315"/>
      <c r="P152" s="300"/>
      <c r="Q152" s="315"/>
      <c r="R152" s="300">
        <f t="shared" si="76"/>
        <v>0</v>
      </c>
      <c r="S152" s="300">
        <f t="shared" si="77"/>
        <v>0</v>
      </c>
      <c r="T152" s="315"/>
      <c r="U152" s="300"/>
      <c r="V152" s="315"/>
      <c r="W152" s="300">
        <f t="shared" si="78"/>
        <v>0</v>
      </c>
    </row>
    <row r="153" spans="2:33" x14ac:dyDescent="0.3">
      <c r="B153" s="70">
        <f t="shared" si="79"/>
        <v>4</v>
      </c>
      <c r="C153" s="304" t="s">
        <v>758</v>
      </c>
      <c r="D153" s="238">
        <f t="shared" si="71"/>
        <v>0</v>
      </c>
      <c r="E153" s="238">
        <f t="shared" si="71"/>
        <v>0</v>
      </c>
      <c r="F153" s="238">
        <f t="shared" si="71"/>
        <v>0</v>
      </c>
      <c r="G153" s="238">
        <f t="shared" si="71"/>
        <v>0</v>
      </c>
      <c r="H153" s="235">
        <f t="shared" si="72"/>
        <v>0</v>
      </c>
      <c r="I153" s="300">
        <f t="shared" si="73"/>
        <v>0</v>
      </c>
      <c r="J153" s="315"/>
      <c r="K153" s="300"/>
      <c r="L153" s="315"/>
      <c r="M153" s="300">
        <f t="shared" si="74"/>
        <v>0</v>
      </c>
      <c r="N153" s="300">
        <f t="shared" si="75"/>
        <v>0</v>
      </c>
      <c r="O153" s="315"/>
      <c r="P153" s="300"/>
      <c r="Q153" s="315"/>
      <c r="R153" s="300">
        <f t="shared" si="76"/>
        <v>0</v>
      </c>
      <c r="S153" s="300">
        <f t="shared" si="77"/>
        <v>0</v>
      </c>
      <c r="T153" s="315"/>
      <c r="U153" s="300"/>
      <c r="V153" s="315"/>
      <c r="W153" s="300">
        <f t="shared" si="78"/>
        <v>0</v>
      </c>
    </row>
    <row r="154" spans="2:33" x14ac:dyDescent="0.3">
      <c r="B154" s="70">
        <f t="shared" si="79"/>
        <v>5</v>
      </c>
      <c r="C154" s="304" t="s">
        <v>759</v>
      </c>
      <c r="D154" s="238">
        <f t="shared" si="71"/>
        <v>167.46765026200126</v>
      </c>
      <c r="E154" s="238">
        <f t="shared" si="71"/>
        <v>-5.8075874320462635</v>
      </c>
      <c r="F154" s="238">
        <f t="shared" si="71"/>
        <v>0</v>
      </c>
      <c r="G154" s="238">
        <f t="shared" si="71"/>
        <v>0</v>
      </c>
      <c r="H154" s="235">
        <f t="shared" si="72"/>
        <v>161.660062829955</v>
      </c>
      <c r="I154" s="300">
        <f t="shared" si="73"/>
        <v>161.660062829955</v>
      </c>
      <c r="J154" s="315"/>
      <c r="K154" s="300"/>
      <c r="L154" s="315"/>
      <c r="M154" s="300">
        <f t="shared" si="74"/>
        <v>161.660062829955</v>
      </c>
      <c r="N154" s="300">
        <f t="shared" si="75"/>
        <v>161.660062829955</v>
      </c>
      <c r="O154" s="315"/>
      <c r="P154" s="300"/>
      <c r="Q154" s="315"/>
      <c r="R154" s="300">
        <f t="shared" si="76"/>
        <v>161.660062829955</v>
      </c>
      <c r="S154" s="300">
        <f t="shared" si="77"/>
        <v>161.660062829955</v>
      </c>
      <c r="T154" s="315"/>
      <c r="U154" s="300"/>
      <c r="V154" s="315"/>
      <c r="W154" s="300">
        <f t="shared" si="78"/>
        <v>161.660062829955</v>
      </c>
    </row>
    <row r="155" spans="2:33" x14ac:dyDescent="0.3">
      <c r="B155" s="70">
        <f t="shared" si="79"/>
        <v>6</v>
      </c>
      <c r="C155" s="304" t="s">
        <v>251</v>
      </c>
      <c r="D155" s="238">
        <f t="shared" si="71"/>
        <v>5108.7341974480569</v>
      </c>
      <c r="E155" s="238">
        <f t="shared" si="71"/>
        <v>-286.4397391761791</v>
      </c>
      <c r="F155" s="238">
        <f t="shared" si="71"/>
        <v>0</v>
      </c>
      <c r="G155" s="238">
        <f t="shared" si="71"/>
        <v>0</v>
      </c>
      <c r="H155" s="235">
        <f t="shared" si="72"/>
        <v>4822.2944582718774</v>
      </c>
      <c r="I155" s="300">
        <f t="shared" si="73"/>
        <v>4822.2944582718774</v>
      </c>
      <c r="J155" s="315"/>
      <c r="K155" s="300"/>
      <c r="L155" s="315"/>
      <c r="M155" s="300">
        <f t="shared" si="74"/>
        <v>4822.2944582718774</v>
      </c>
      <c r="N155" s="300">
        <f t="shared" si="75"/>
        <v>4822.2944582718774</v>
      </c>
      <c r="O155" s="315"/>
      <c r="P155" s="300"/>
      <c r="Q155" s="315"/>
      <c r="R155" s="300">
        <f t="shared" si="76"/>
        <v>4822.2944582718774</v>
      </c>
      <c r="S155" s="300">
        <f t="shared" si="77"/>
        <v>4822.2944582718774</v>
      </c>
      <c r="T155" s="315"/>
      <c r="U155" s="300"/>
      <c r="V155" s="315"/>
      <c r="W155" s="300">
        <f t="shared" si="78"/>
        <v>4822.2944582718774</v>
      </c>
    </row>
    <row r="156" spans="2:33" x14ac:dyDescent="0.3">
      <c r="B156" s="70">
        <f t="shared" si="79"/>
        <v>7</v>
      </c>
      <c r="C156" s="304" t="s">
        <v>760</v>
      </c>
      <c r="D156" s="238">
        <f t="shared" si="71"/>
        <v>4.8849781455024237</v>
      </c>
      <c r="E156" s="238">
        <f t="shared" si="71"/>
        <v>-1.0973913155970361</v>
      </c>
      <c r="F156" s="238">
        <f t="shared" si="71"/>
        <v>0</v>
      </c>
      <c r="G156" s="238">
        <f t="shared" si="71"/>
        <v>0</v>
      </c>
      <c r="H156" s="235">
        <f t="shared" si="72"/>
        <v>3.7875868299053876</v>
      </c>
      <c r="I156" s="300">
        <f t="shared" si="73"/>
        <v>3.7875868299053876</v>
      </c>
      <c r="J156" s="315"/>
      <c r="K156" s="300"/>
      <c r="L156" s="315"/>
      <c r="M156" s="300">
        <f t="shared" si="74"/>
        <v>3.7875868299053876</v>
      </c>
      <c r="N156" s="300">
        <f t="shared" si="75"/>
        <v>3.7875868299053876</v>
      </c>
      <c r="O156" s="315"/>
      <c r="P156" s="300"/>
      <c r="Q156" s="315"/>
      <c r="R156" s="300">
        <f t="shared" si="76"/>
        <v>3.7875868299053876</v>
      </c>
      <c r="S156" s="300">
        <f t="shared" si="77"/>
        <v>3.7875868299053876</v>
      </c>
      <c r="T156" s="315"/>
      <c r="U156" s="300"/>
      <c r="V156" s="315"/>
      <c r="W156" s="300">
        <f t="shared" si="78"/>
        <v>3.7875868299053876</v>
      </c>
    </row>
    <row r="157" spans="2:33" x14ac:dyDescent="0.3">
      <c r="B157" s="70">
        <f t="shared" si="79"/>
        <v>8</v>
      </c>
      <c r="C157" s="304" t="s">
        <v>761</v>
      </c>
      <c r="D157" s="238">
        <f t="shared" si="71"/>
        <v>0</v>
      </c>
      <c r="E157" s="238">
        <f t="shared" si="71"/>
        <v>0</v>
      </c>
      <c r="F157" s="238">
        <f t="shared" si="71"/>
        <v>0</v>
      </c>
      <c r="G157" s="238">
        <f t="shared" si="71"/>
        <v>0</v>
      </c>
      <c r="H157" s="235">
        <f t="shared" si="72"/>
        <v>0</v>
      </c>
      <c r="I157" s="300">
        <f t="shared" si="73"/>
        <v>0</v>
      </c>
      <c r="J157" s="315"/>
      <c r="K157" s="300"/>
      <c r="L157" s="315"/>
      <c r="M157" s="300">
        <f t="shared" si="74"/>
        <v>0</v>
      </c>
      <c r="N157" s="300">
        <f t="shared" si="75"/>
        <v>0</v>
      </c>
      <c r="O157" s="315"/>
      <c r="P157" s="300"/>
      <c r="Q157" s="315"/>
      <c r="R157" s="300">
        <f t="shared" si="76"/>
        <v>0</v>
      </c>
      <c r="S157" s="300">
        <f t="shared" si="77"/>
        <v>0</v>
      </c>
      <c r="T157" s="315"/>
      <c r="U157" s="300"/>
      <c r="V157" s="315"/>
      <c r="W157" s="300">
        <f t="shared" si="78"/>
        <v>0</v>
      </c>
    </row>
    <row r="158" spans="2:33" x14ac:dyDescent="0.3">
      <c r="B158" s="70">
        <f t="shared" si="79"/>
        <v>9</v>
      </c>
      <c r="C158" s="304" t="s">
        <v>762</v>
      </c>
      <c r="D158" s="238">
        <f t="shared" si="71"/>
        <v>0</v>
      </c>
      <c r="E158" s="238">
        <f t="shared" si="71"/>
        <v>0</v>
      </c>
      <c r="F158" s="238">
        <f t="shared" si="71"/>
        <v>0</v>
      </c>
      <c r="G158" s="238">
        <f t="shared" si="71"/>
        <v>0</v>
      </c>
      <c r="H158" s="235">
        <f t="shared" si="72"/>
        <v>0</v>
      </c>
      <c r="I158" s="300">
        <f t="shared" si="73"/>
        <v>0</v>
      </c>
      <c r="J158" s="315"/>
      <c r="K158" s="300"/>
      <c r="L158" s="315"/>
      <c r="M158" s="300">
        <f t="shared" si="74"/>
        <v>0</v>
      </c>
      <c r="N158" s="300">
        <f t="shared" si="75"/>
        <v>0</v>
      </c>
      <c r="O158" s="315"/>
      <c r="P158" s="300"/>
      <c r="Q158" s="315"/>
      <c r="R158" s="300">
        <f t="shared" si="76"/>
        <v>0</v>
      </c>
      <c r="S158" s="300">
        <f t="shared" si="77"/>
        <v>0</v>
      </c>
      <c r="T158" s="315"/>
      <c r="U158" s="300"/>
      <c r="V158" s="315"/>
      <c r="W158" s="300">
        <f t="shared" si="78"/>
        <v>0</v>
      </c>
    </row>
    <row r="159" spans="2:33" x14ac:dyDescent="0.3">
      <c r="B159" s="70">
        <f t="shared" si="79"/>
        <v>10</v>
      </c>
      <c r="C159" s="304" t="s">
        <v>254</v>
      </c>
      <c r="D159" s="238">
        <f t="shared" si="71"/>
        <v>0</v>
      </c>
      <c r="E159" s="238">
        <f t="shared" si="71"/>
        <v>0</v>
      </c>
      <c r="F159" s="238">
        <f t="shared" si="71"/>
        <v>0</v>
      </c>
      <c r="G159" s="238">
        <f t="shared" si="71"/>
        <v>0</v>
      </c>
      <c r="H159" s="235">
        <f t="shared" si="72"/>
        <v>0</v>
      </c>
      <c r="I159" s="300">
        <f t="shared" si="73"/>
        <v>0</v>
      </c>
      <c r="J159" s="315"/>
      <c r="K159" s="300"/>
      <c r="L159" s="315"/>
      <c r="M159" s="300">
        <f t="shared" si="74"/>
        <v>0</v>
      </c>
      <c r="N159" s="300">
        <f t="shared" si="75"/>
        <v>0</v>
      </c>
      <c r="O159" s="315"/>
      <c r="P159" s="300"/>
      <c r="Q159" s="315"/>
      <c r="R159" s="300">
        <f t="shared" si="76"/>
        <v>0</v>
      </c>
      <c r="S159" s="300">
        <f t="shared" si="77"/>
        <v>0</v>
      </c>
      <c r="T159" s="315"/>
      <c r="U159" s="300"/>
      <c r="V159" s="315"/>
      <c r="W159" s="300">
        <f t="shared" si="78"/>
        <v>0</v>
      </c>
    </row>
    <row r="160" spans="2:33" x14ac:dyDescent="0.3">
      <c r="B160" s="70">
        <f t="shared" si="79"/>
        <v>11</v>
      </c>
      <c r="C160" s="304" t="s">
        <v>255</v>
      </c>
      <c r="D160" s="238">
        <f t="shared" si="71"/>
        <v>0</v>
      </c>
      <c r="E160" s="238">
        <f t="shared" si="71"/>
        <v>0</v>
      </c>
      <c r="F160" s="238">
        <f t="shared" si="71"/>
        <v>0</v>
      </c>
      <c r="G160" s="238">
        <f t="shared" si="71"/>
        <v>0</v>
      </c>
      <c r="H160" s="235">
        <f t="shared" si="72"/>
        <v>0</v>
      </c>
      <c r="I160" s="300">
        <f t="shared" si="73"/>
        <v>0</v>
      </c>
      <c r="J160" s="315"/>
      <c r="K160" s="300"/>
      <c r="L160" s="315"/>
      <c r="M160" s="300">
        <f t="shared" si="74"/>
        <v>0</v>
      </c>
      <c r="N160" s="300">
        <f t="shared" si="75"/>
        <v>0</v>
      </c>
      <c r="O160" s="315"/>
      <c r="P160" s="300"/>
      <c r="Q160" s="315"/>
      <c r="R160" s="300">
        <f t="shared" si="76"/>
        <v>0</v>
      </c>
      <c r="S160" s="300">
        <f t="shared" si="77"/>
        <v>0</v>
      </c>
      <c r="T160" s="315"/>
      <c r="U160" s="300"/>
      <c r="V160" s="315"/>
      <c r="W160" s="300">
        <f t="shared" si="78"/>
        <v>0</v>
      </c>
    </row>
    <row r="161" spans="2:23" x14ac:dyDescent="0.3">
      <c r="B161" s="70">
        <f t="shared" si="79"/>
        <v>12</v>
      </c>
      <c r="C161" s="304" t="s">
        <v>256</v>
      </c>
      <c r="D161" s="238">
        <f t="shared" si="71"/>
        <v>0</v>
      </c>
      <c r="E161" s="238">
        <f t="shared" si="71"/>
        <v>0</v>
      </c>
      <c r="F161" s="238">
        <f t="shared" si="71"/>
        <v>0</v>
      </c>
      <c r="G161" s="238">
        <f t="shared" si="71"/>
        <v>0</v>
      </c>
      <c r="H161" s="235">
        <f t="shared" si="72"/>
        <v>0</v>
      </c>
      <c r="I161" s="300">
        <f t="shared" si="73"/>
        <v>0</v>
      </c>
      <c r="J161" s="315"/>
      <c r="K161" s="300"/>
      <c r="L161" s="315"/>
      <c r="M161" s="300">
        <f t="shared" si="74"/>
        <v>0</v>
      </c>
      <c r="N161" s="300">
        <f t="shared" si="75"/>
        <v>0</v>
      </c>
      <c r="O161" s="315"/>
      <c r="P161" s="300"/>
      <c r="Q161" s="315"/>
      <c r="R161" s="300">
        <f t="shared" si="76"/>
        <v>0</v>
      </c>
      <c r="S161" s="300">
        <f t="shared" si="77"/>
        <v>0</v>
      </c>
      <c r="T161" s="315"/>
      <c r="U161" s="300"/>
      <c r="V161" s="315"/>
      <c r="W161" s="300">
        <f t="shared" si="78"/>
        <v>0</v>
      </c>
    </row>
    <row r="162" spans="2:23" x14ac:dyDescent="0.3">
      <c r="B162" s="70">
        <f t="shared" si="79"/>
        <v>13</v>
      </c>
      <c r="C162" s="304" t="s">
        <v>810</v>
      </c>
      <c r="D162" s="238">
        <f t="shared" si="71"/>
        <v>0</v>
      </c>
      <c r="E162" s="238">
        <f t="shared" si="71"/>
        <v>0</v>
      </c>
      <c r="F162" s="238">
        <f t="shared" si="71"/>
        <v>0</v>
      </c>
      <c r="G162" s="238">
        <f t="shared" si="71"/>
        <v>0</v>
      </c>
      <c r="H162" s="235">
        <f t="shared" ref="H162:H166" si="80">D162+E162-F162-G162</f>
        <v>0</v>
      </c>
      <c r="I162" s="300">
        <f t="shared" si="73"/>
        <v>0</v>
      </c>
      <c r="J162" s="315"/>
      <c r="K162" s="300"/>
      <c r="L162" s="315"/>
      <c r="M162" s="300">
        <f t="shared" si="74"/>
        <v>0</v>
      </c>
      <c r="N162" s="300">
        <f t="shared" si="75"/>
        <v>0</v>
      </c>
      <c r="O162" s="315"/>
      <c r="P162" s="300"/>
      <c r="Q162" s="315"/>
      <c r="R162" s="300">
        <f t="shared" si="76"/>
        <v>0</v>
      </c>
      <c r="S162" s="300">
        <f t="shared" si="77"/>
        <v>0</v>
      </c>
      <c r="T162" s="315"/>
      <c r="U162" s="300"/>
      <c r="V162" s="315"/>
      <c r="W162" s="300">
        <f t="shared" si="78"/>
        <v>0</v>
      </c>
    </row>
    <row r="163" spans="2:23" x14ac:dyDescent="0.3">
      <c r="B163" s="70">
        <f t="shared" si="79"/>
        <v>14</v>
      </c>
      <c r="C163" s="304" t="s">
        <v>811</v>
      </c>
      <c r="D163" s="238">
        <f t="shared" si="71"/>
        <v>9.0211849080324047</v>
      </c>
      <c r="E163" s="238">
        <f t="shared" si="71"/>
        <v>-1.6217694096692634</v>
      </c>
      <c r="F163" s="238">
        <f t="shared" si="71"/>
        <v>0</v>
      </c>
      <c r="G163" s="238">
        <f t="shared" si="71"/>
        <v>0</v>
      </c>
      <c r="H163" s="235">
        <f t="shared" si="80"/>
        <v>7.3994154983631413</v>
      </c>
      <c r="I163" s="300">
        <f t="shared" si="73"/>
        <v>7.3994154983631413</v>
      </c>
      <c r="J163" s="315"/>
      <c r="K163" s="300"/>
      <c r="L163" s="315"/>
      <c r="M163" s="300">
        <f t="shared" si="74"/>
        <v>7.3994154983631413</v>
      </c>
      <c r="N163" s="300">
        <f t="shared" si="75"/>
        <v>7.3994154983631413</v>
      </c>
      <c r="O163" s="315"/>
      <c r="P163" s="300"/>
      <c r="Q163" s="315"/>
      <c r="R163" s="300">
        <f t="shared" si="76"/>
        <v>7.3994154983631413</v>
      </c>
      <c r="S163" s="300">
        <f t="shared" si="77"/>
        <v>7.3994154983631413</v>
      </c>
      <c r="T163" s="315"/>
      <c r="U163" s="300"/>
      <c r="V163" s="315"/>
      <c r="W163" s="300">
        <f t="shared" si="78"/>
        <v>7.3994154983631413</v>
      </c>
    </row>
    <row r="164" spans="2:23" x14ac:dyDescent="0.3">
      <c r="B164" s="70">
        <f t="shared" si="79"/>
        <v>15</v>
      </c>
      <c r="C164" s="304" t="s">
        <v>812</v>
      </c>
      <c r="D164" s="238">
        <f t="shared" si="71"/>
        <v>0</v>
      </c>
      <c r="E164" s="238">
        <f t="shared" si="71"/>
        <v>0</v>
      </c>
      <c r="F164" s="238">
        <f t="shared" si="71"/>
        <v>0</v>
      </c>
      <c r="G164" s="238">
        <f t="shared" si="71"/>
        <v>0</v>
      </c>
      <c r="H164" s="235">
        <f t="shared" si="80"/>
        <v>0</v>
      </c>
      <c r="I164" s="300">
        <f t="shared" si="73"/>
        <v>0</v>
      </c>
      <c r="J164" s="315"/>
      <c r="K164" s="300"/>
      <c r="L164" s="315"/>
      <c r="M164" s="300">
        <f t="shared" si="74"/>
        <v>0</v>
      </c>
      <c r="N164" s="300">
        <f t="shared" si="75"/>
        <v>0</v>
      </c>
      <c r="O164" s="315"/>
      <c r="P164" s="300"/>
      <c r="Q164" s="315"/>
      <c r="R164" s="300">
        <f t="shared" si="76"/>
        <v>0</v>
      </c>
      <c r="S164" s="300">
        <f t="shared" si="77"/>
        <v>0</v>
      </c>
      <c r="T164" s="315"/>
      <c r="U164" s="300"/>
      <c r="V164" s="315"/>
      <c r="W164" s="300">
        <f t="shared" si="78"/>
        <v>0</v>
      </c>
    </row>
    <row r="165" spans="2:23" x14ac:dyDescent="0.3">
      <c r="B165" s="70">
        <f t="shared" si="79"/>
        <v>16</v>
      </c>
      <c r="C165" s="304" t="s">
        <v>763</v>
      </c>
      <c r="D165" s="238">
        <f t="shared" si="71"/>
        <v>0</v>
      </c>
      <c r="E165" s="238">
        <f t="shared" si="71"/>
        <v>0</v>
      </c>
      <c r="F165" s="238">
        <f t="shared" si="71"/>
        <v>0</v>
      </c>
      <c r="G165" s="238">
        <f t="shared" si="71"/>
        <v>0</v>
      </c>
      <c r="H165" s="235">
        <f t="shared" si="80"/>
        <v>0</v>
      </c>
      <c r="I165" s="300">
        <f t="shared" si="73"/>
        <v>0</v>
      </c>
      <c r="J165" s="315"/>
      <c r="K165" s="300"/>
      <c r="L165" s="315"/>
      <c r="M165" s="300">
        <f t="shared" si="74"/>
        <v>0</v>
      </c>
      <c r="N165" s="300">
        <f t="shared" si="75"/>
        <v>0</v>
      </c>
      <c r="O165" s="315"/>
      <c r="P165" s="300"/>
      <c r="Q165" s="315"/>
      <c r="R165" s="300">
        <f t="shared" si="76"/>
        <v>0</v>
      </c>
      <c r="S165" s="300">
        <f t="shared" si="77"/>
        <v>0</v>
      </c>
      <c r="T165" s="315"/>
      <c r="U165" s="300"/>
      <c r="V165" s="315"/>
      <c r="W165" s="300">
        <f t="shared" si="78"/>
        <v>0</v>
      </c>
    </row>
    <row r="166" spans="2:23" x14ac:dyDescent="0.3">
      <c r="B166" s="70">
        <f t="shared" si="79"/>
        <v>17</v>
      </c>
      <c r="C166" s="304" t="s">
        <v>813</v>
      </c>
      <c r="D166" s="238">
        <f t="shared" si="71"/>
        <v>0</v>
      </c>
      <c r="E166" s="238">
        <f t="shared" si="71"/>
        <v>0</v>
      </c>
      <c r="F166" s="238">
        <f t="shared" si="71"/>
        <v>0</v>
      </c>
      <c r="G166" s="238">
        <f t="shared" si="71"/>
        <v>0</v>
      </c>
      <c r="H166" s="235">
        <f t="shared" si="80"/>
        <v>0</v>
      </c>
      <c r="I166" s="300">
        <f t="shared" si="73"/>
        <v>0</v>
      </c>
      <c r="J166" s="315"/>
      <c r="K166" s="300"/>
      <c r="L166" s="315"/>
      <c r="M166" s="300">
        <f t="shared" si="74"/>
        <v>0</v>
      </c>
      <c r="N166" s="300">
        <f t="shared" si="75"/>
        <v>0</v>
      </c>
      <c r="O166" s="315"/>
      <c r="P166" s="300"/>
      <c r="Q166" s="315"/>
      <c r="R166" s="300">
        <f t="shared" si="76"/>
        <v>0</v>
      </c>
      <c r="S166" s="300">
        <f t="shared" si="77"/>
        <v>0</v>
      </c>
      <c r="T166" s="315"/>
      <c r="U166" s="300"/>
      <c r="V166" s="315"/>
      <c r="W166" s="300">
        <f t="shared" si="78"/>
        <v>0</v>
      </c>
    </row>
    <row r="167" spans="2:23" ht="16" x14ac:dyDescent="0.3">
      <c r="B167" s="61"/>
      <c r="C167" s="71" t="s">
        <v>267</v>
      </c>
      <c r="D167" s="237">
        <f>SUM(D150:D165)</f>
        <v>5503.4324395756166</v>
      </c>
      <c r="E167" s="237">
        <f>SUM(E150:E165)</f>
        <v>-301.26393287132692</v>
      </c>
      <c r="F167" s="237">
        <f>SUM(F150:F165)</f>
        <v>0</v>
      </c>
      <c r="G167" s="237">
        <f>SUM(G150:G165)</f>
        <v>0</v>
      </c>
      <c r="H167" s="237">
        <f>SUM(H150:H165)</f>
        <v>5202.168506704289</v>
      </c>
      <c r="I167" s="237">
        <f t="shared" ref="I167:W167" si="81">SUM(I150:I166)</f>
        <v>5202.168506704289</v>
      </c>
      <c r="J167" s="237">
        <f t="shared" si="81"/>
        <v>0</v>
      </c>
      <c r="K167" s="237">
        <f t="shared" si="81"/>
        <v>0</v>
      </c>
      <c r="L167" s="237">
        <f t="shared" si="81"/>
        <v>0</v>
      </c>
      <c r="M167" s="237">
        <f t="shared" si="81"/>
        <v>5202.168506704289</v>
      </c>
      <c r="N167" s="237">
        <f t="shared" si="81"/>
        <v>5202.168506704289</v>
      </c>
      <c r="O167" s="237">
        <f t="shared" si="81"/>
        <v>0</v>
      </c>
      <c r="P167" s="237">
        <f t="shared" si="81"/>
        <v>0</v>
      </c>
      <c r="Q167" s="237">
        <f t="shared" si="81"/>
        <v>0</v>
      </c>
      <c r="R167" s="237">
        <f t="shared" si="81"/>
        <v>5202.168506704289</v>
      </c>
      <c r="S167" s="237">
        <f t="shared" si="81"/>
        <v>5202.168506704289</v>
      </c>
      <c r="T167" s="237">
        <f t="shared" si="81"/>
        <v>0</v>
      </c>
      <c r="U167" s="237">
        <f t="shared" si="81"/>
        <v>0</v>
      </c>
      <c r="V167" s="237">
        <f t="shared" si="81"/>
        <v>0</v>
      </c>
      <c r="W167" s="237">
        <f t="shared" si="81"/>
        <v>5202.168506704289</v>
      </c>
    </row>
    <row r="168" spans="2:23" x14ac:dyDescent="0.3">
      <c r="B168" s="18"/>
      <c r="C168" s="58"/>
      <c r="D168" s="58"/>
      <c r="E168" s="58"/>
      <c r="F168" s="58"/>
    </row>
  </sheetData>
  <mergeCells count="49">
    <mergeCell ref="B146:B148"/>
    <mergeCell ref="C146:C148"/>
    <mergeCell ref="I121:M121"/>
    <mergeCell ref="I67:M67"/>
    <mergeCell ref="D94:H94"/>
    <mergeCell ref="I94:M94"/>
    <mergeCell ref="D146:H146"/>
    <mergeCell ref="D147:H147"/>
    <mergeCell ref="I146:M146"/>
    <mergeCell ref="I147:M147"/>
    <mergeCell ref="D120:H120"/>
    <mergeCell ref="B120:B122"/>
    <mergeCell ref="C120:C122"/>
    <mergeCell ref="B93:B95"/>
    <mergeCell ref="C93:C95"/>
    <mergeCell ref="D121:H121"/>
    <mergeCell ref="I13:M13"/>
    <mergeCell ref="I12:M12"/>
    <mergeCell ref="C66:C68"/>
    <mergeCell ref="D67:H67"/>
    <mergeCell ref="B35:G35"/>
    <mergeCell ref="B38:B40"/>
    <mergeCell ref="C38:C40"/>
    <mergeCell ref="B12:B14"/>
    <mergeCell ref="C12:C14"/>
    <mergeCell ref="D12:H12"/>
    <mergeCell ref="D13:H13"/>
    <mergeCell ref="D66:H66"/>
    <mergeCell ref="D93:H93"/>
    <mergeCell ref="B66:B68"/>
    <mergeCell ref="I66:M66"/>
    <mergeCell ref="D38:H38"/>
    <mergeCell ref="D39:H39"/>
    <mergeCell ref="I38:M38"/>
    <mergeCell ref="I39:M39"/>
    <mergeCell ref="I120:M120"/>
    <mergeCell ref="S38:W38"/>
    <mergeCell ref="S39:W39"/>
    <mergeCell ref="N38:R38"/>
    <mergeCell ref="N39:R39"/>
    <mergeCell ref="I93:M93"/>
    <mergeCell ref="N147:R147"/>
    <mergeCell ref="S147:W147"/>
    <mergeCell ref="N93:R93"/>
    <mergeCell ref="S93:W93"/>
    <mergeCell ref="N94:R94"/>
    <mergeCell ref="S94:W94"/>
    <mergeCell ref="N146:R146"/>
    <mergeCell ref="S146:W146"/>
  </mergeCells>
  <pageMargins left="0.27559055118110237" right="0.23622047244094491" top="0.23622047244094491" bottom="0.23622047244094491" header="0.23622047244094491" footer="0.23622047244094491"/>
  <pageSetup paperSize="9" scale="42" orientation="landscape" r:id="rId1"/>
  <headerFooter alignWithMargins="0">
    <oddHeader>&amp;F</oddHeader>
  </headerFooter>
  <rowBreaks count="2" manualBreakCount="2">
    <brk id="60" max="32" man="1"/>
    <brk id="116" max="32"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AF88"/>
  <sheetViews>
    <sheetView showGridLines="0" view="pageBreakPreview" topLeftCell="K37" zoomScale="50" zoomScaleNormal="68" zoomScaleSheetLayoutView="70" workbookViewId="0">
      <selection activeCell="J49" sqref="J49"/>
    </sheetView>
  </sheetViews>
  <sheetFormatPr defaultColWidth="9.1796875" defaultRowHeight="14" x14ac:dyDescent="0.3"/>
  <cols>
    <col min="1" max="1" width="4.1796875" style="1" customWidth="1"/>
    <col min="2" max="2" width="6.453125" style="1" customWidth="1"/>
    <col min="3" max="3" width="36.1796875" style="1" customWidth="1"/>
    <col min="4" max="8" width="19.1796875" style="1" customWidth="1"/>
    <col min="9" max="28" width="18.453125" style="1" customWidth="1"/>
    <col min="29" max="33" width="18.54296875" style="1" customWidth="1"/>
    <col min="34" max="16383" width="9.1796875" style="1"/>
    <col min="16384" max="16384" width="9.1796875" style="1" bestFit="1" customWidth="1"/>
  </cols>
  <sheetData>
    <row r="1" spans="1:29" x14ac:dyDescent="0.3">
      <c r="B1" s="42"/>
    </row>
    <row r="2" spans="1:29" x14ac:dyDescent="0.3">
      <c r="B2" s="42"/>
    </row>
    <row r="3" spans="1:29" x14ac:dyDescent="0.3">
      <c r="B3" s="42"/>
    </row>
    <row r="4" spans="1:29" x14ac:dyDescent="0.3">
      <c r="B4" s="6"/>
      <c r="N4" s="14"/>
      <c r="O4" s="14"/>
      <c r="P4" s="63" t="str">
        <f>Index!B2</f>
        <v xml:space="preserve">      Maharashtra State Power Generation Company Ltd.</v>
      </c>
      <c r="Q4" s="63"/>
      <c r="R4" s="14"/>
      <c r="S4" s="14"/>
      <c r="T4" s="14"/>
      <c r="U4" s="14"/>
      <c r="V4" s="14"/>
      <c r="W4" s="14"/>
      <c r="X4" s="14"/>
      <c r="Y4" s="14"/>
      <c r="Z4" s="14"/>
      <c r="AA4" s="14"/>
      <c r="AB4" s="14"/>
      <c r="AC4" s="14"/>
    </row>
    <row r="5" spans="1:29" x14ac:dyDescent="0.3">
      <c r="B5" s="6"/>
      <c r="N5" s="51"/>
      <c r="O5" s="51"/>
      <c r="P5" s="63" t="str">
        <f>Index!B3</f>
        <v>MYT Petition Formats for Bhusawal Unit 6</v>
      </c>
      <c r="Q5" s="63"/>
      <c r="R5" s="51"/>
      <c r="S5" s="51"/>
      <c r="T5" s="51"/>
      <c r="U5" s="51"/>
      <c r="V5" s="51"/>
      <c r="W5" s="51"/>
      <c r="X5" s="51"/>
      <c r="Y5" s="51"/>
      <c r="Z5" s="51"/>
      <c r="AA5" s="51"/>
      <c r="AB5" s="51"/>
      <c r="AC5" s="14"/>
    </row>
    <row r="6" spans="1:29" x14ac:dyDescent="0.3">
      <c r="B6" s="14"/>
      <c r="N6" s="14"/>
      <c r="O6" s="6"/>
      <c r="P6" s="54" t="s">
        <v>946</v>
      </c>
      <c r="Q6" s="54"/>
      <c r="R6" s="6"/>
      <c r="S6" s="6"/>
      <c r="T6" s="14"/>
      <c r="U6" s="14"/>
      <c r="V6" s="14"/>
      <c r="W6" s="14"/>
      <c r="X6" s="14"/>
      <c r="Y6" s="14"/>
      <c r="Z6" s="14"/>
      <c r="AA6" s="14"/>
      <c r="AB6" s="14"/>
      <c r="AC6" s="14"/>
    </row>
    <row r="7" spans="1:29" x14ac:dyDescent="0.3">
      <c r="C7" s="6"/>
      <c r="D7" s="6"/>
      <c r="E7" s="6"/>
      <c r="F7" s="6"/>
      <c r="G7" s="6"/>
      <c r="H7" s="6"/>
      <c r="I7" s="6"/>
      <c r="J7" s="6"/>
      <c r="K7" s="6"/>
      <c r="L7" s="6"/>
      <c r="M7" s="6"/>
      <c r="O7" s="4"/>
      <c r="R7" s="4"/>
      <c r="S7" s="4"/>
    </row>
    <row r="8" spans="1:29" x14ac:dyDescent="0.3">
      <c r="A8" s="1" t="s">
        <v>261</v>
      </c>
      <c r="B8" s="42" t="s">
        <v>262</v>
      </c>
      <c r="C8" s="42"/>
      <c r="D8" s="42"/>
      <c r="E8" s="42"/>
      <c r="F8" s="42"/>
      <c r="G8" s="42"/>
      <c r="H8" s="42"/>
      <c r="I8" s="42"/>
      <c r="J8" s="42"/>
      <c r="K8" s="42"/>
      <c r="L8" s="42"/>
      <c r="M8" s="42"/>
      <c r="O8" s="4"/>
      <c r="R8" s="4"/>
      <c r="S8" s="4"/>
      <c r="W8" s="546"/>
    </row>
    <row r="9" spans="1:29" x14ac:dyDescent="0.3">
      <c r="B9" s="178"/>
      <c r="C9" s="6"/>
      <c r="D9" s="6"/>
      <c r="E9" s="6"/>
      <c r="F9" s="6"/>
      <c r="G9" s="6"/>
      <c r="H9" s="6"/>
      <c r="I9" s="6"/>
      <c r="J9" s="6"/>
      <c r="K9" s="6"/>
      <c r="L9" s="6"/>
      <c r="M9" s="6"/>
      <c r="O9" s="4"/>
      <c r="R9" s="4"/>
      <c r="S9" s="4"/>
      <c r="W9" s="546"/>
      <c r="AB9" s="50" t="s">
        <v>10</v>
      </c>
    </row>
    <row r="10" spans="1:29" x14ac:dyDescent="0.3">
      <c r="B10" s="42"/>
      <c r="C10" s="6"/>
      <c r="D10" s="6"/>
      <c r="E10" s="6"/>
      <c r="F10" s="6"/>
      <c r="G10" s="6"/>
      <c r="H10" s="6"/>
      <c r="I10" s="6"/>
      <c r="J10" s="6"/>
      <c r="K10" s="6"/>
      <c r="L10" s="6"/>
      <c r="M10" s="6"/>
      <c r="O10" s="4"/>
      <c r="R10" s="4"/>
      <c r="S10" s="4"/>
    </row>
    <row r="11" spans="1:29" ht="15.75" customHeight="1" x14ac:dyDescent="0.3">
      <c r="B11" s="42"/>
      <c r="C11" s="6"/>
      <c r="D11" s="6"/>
      <c r="E11" s="6"/>
      <c r="F11" s="6"/>
      <c r="G11" s="6"/>
      <c r="H11" s="6"/>
      <c r="I11" s="6"/>
      <c r="J11" s="6"/>
      <c r="K11" s="6"/>
      <c r="L11" s="6"/>
      <c r="M11" s="6"/>
      <c r="O11" s="4"/>
      <c r="R11" s="4"/>
      <c r="S11" s="4"/>
      <c r="AB11" s="50" t="s">
        <v>10</v>
      </c>
    </row>
    <row r="12" spans="1:29" ht="15.75" customHeight="1" x14ac:dyDescent="0.3">
      <c r="B12" s="1481" t="s">
        <v>327</v>
      </c>
      <c r="C12" s="1481" t="s">
        <v>35</v>
      </c>
      <c r="D12" s="1481" t="s">
        <v>849</v>
      </c>
      <c r="E12" s="1481"/>
      <c r="F12" s="1481"/>
      <c r="G12" s="1481"/>
      <c r="H12" s="1481"/>
      <c r="I12" s="1570" t="s">
        <v>850</v>
      </c>
      <c r="J12" s="1570"/>
      <c r="K12" s="1570"/>
      <c r="L12" s="1570"/>
      <c r="M12" s="1570"/>
      <c r="N12" s="1570" t="s">
        <v>851</v>
      </c>
      <c r="O12" s="1570"/>
      <c r="P12" s="1570"/>
      <c r="Q12" s="1570"/>
      <c r="R12" s="1570"/>
      <c r="S12" s="1570" t="s">
        <v>852</v>
      </c>
      <c r="T12" s="1570"/>
      <c r="U12" s="1570"/>
      <c r="V12" s="1570"/>
      <c r="W12" s="1570"/>
      <c r="X12" s="1570" t="s">
        <v>853</v>
      </c>
      <c r="Y12" s="1570"/>
      <c r="Z12" s="1570"/>
      <c r="AA12" s="1570"/>
      <c r="AB12" s="1570"/>
    </row>
    <row r="13" spans="1:29" x14ac:dyDescent="0.3">
      <c r="B13" s="1481"/>
      <c r="C13" s="1481"/>
      <c r="D13" s="1571" t="s">
        <v>20</v>
      </c>
      <c r="E13" s="1572"/>
      <c r="F13" s="1572"/>
      <c r="G13" s="1572"/>
      <c r="H13" s="1572"/>
      <c r="I13" s="1573" t="s">
        <v>20</v>
      </c>
      <c r="J13" s="1574"/>
      <c r="K13" s="1574"/>
      <c r="L13" s="1574"/>
      <c r="M13" s="1574"/>
      <c r="N13" s="1573" t="s">
        <v>20</v>
      </c>
      <c r="O13" s="1574"/>
      <c r="P13" s="1574"/>
      <c r="Q13" s="1574"/>
      <c r="R13" s="1574"/>
      <c r="S13" s="1573" t="s">
        <v>20</v>
      </c>
      <c r="T13" s="1574"/>
      <c r="U13" s="1574"/>
      <c r="V13" s="1574"/>
      <c r="W13" s="1574"/>
      <c r="X13" s="1573" t="s">
        <v>20</v>
      </c>
      <c r="Y13" s="1574"/>
      <c r="Z13" s="1574"/>
      <c r="AA13" s="1574"/>
      <c r="AB13" s="1574"/>
    </row>
    <row r="14" spans="1:29" s="29" customFormat="1" ht="42" x14ac:dyDescent="0.25">
      <c r="B14" s="1481"/>
      <c r="C14" s="1481"/>
      <c r="D14" s="64" t="s">
        <v>263</v>
      </c>
      <c r="E14" s="64" t="s">
        <v>264</v>
      </c>
      <c r="F14" s="64" t="s">
        <v>265</v>
      </c>
      <c r="G14" s="64" t="s">
        <v>548</v>
      </c>
      <c r="H14" s="64" t="s">
        <v>266</v>
      </c>
      <c r="I14" s="250" t="s">
        <v>263</v>
      </c>
      <c r="J14" s="250" t="s">
        <v>264</v>
      </c>
      <c r="K14" s="250" t="s">
        <v>265</v>
      </c>
      <c r="L14" s="64" t="s">
        <v>548</v>
      </c>
      <c r="M14" s="250" t="s">
        <v>266</v>
      </c>
      <c r="N14" s="250" t="s">
        <v>263</v>
      </c>
      <c r="O14" s="250" t="s">
        <v>264</v>
      </c>
      <c r="P14" s="250" t="s">
        <v>265</v>
      </c>
      <c r="Q14" s="64" t="s">
        <v>548</v>
      </c>
      <c r="R14" s="250" t="s">
        <v>266</v>
      </c>
      <c r="S14" s="250" t="s">
        <v>263</v>
      </c>
      <c r="T14" s="250" t="s">
        <v>264</v>
      </c>
      <c r="U14" s="250" t="s">
        <v>265</v>
      </c>
      <c r="V14" s="64" t="s">
        <v>548</v>
      </c>
      <c r="W14" s="250" t="s">
        <v>266</v>
      </c>
      <c r="X14" s="250" t="s">
        <v>263</v>
      </c>
      <c r="Y14" s="250" t="s">
        <v>264</v>
      </c>
      <c r="Z14" s="250" t="s">
        <v>265</v>
      </c>
      <c r="AA14" s="64" t="s">
        <v>548</v>
      </c>
      <c r="AB14" s="250" t="s">
        <v>266</v>
      </c>
    </row>
    <row r="15" spans="1:29" s="4" customFormat="1" x14ac:dyDescent="0.3">
      <c r="B15" s="179"/>
      <c r="C15" s="179"/>
      <c r="D15" s="179" t="s">
        <v>78</v>
      </c>
      <c r="E15" s="179" t="s">
        <v>79</v>
      </c>
      <c r="F15" s="179" t="s">
        <v>435</v>
      </c>
      <c r="G15" s="179" t="s">
        <v>378</v>
      </c>
      <c r="H15" s="179" t="s">
        <v>549</v>
      </c>
      <c r="I15" s="179" t="s">
        <v>394</v>
      </c>
      <c r="J15" s="179" t="s">
        <v>478</v>
      </c>
      <c r="K15" s="179" t="s">
        <v>395</v>
      </c>
      <c r="L15" s="179" t="s">
        <v>396</v>
      </c>
      <c r="M15" s="179" t="s">
        <v>606</v>
      </c>
      <c r="N15" s="179" t="s">
        <v>550</v>
      </c>
      <c r="O15" s="179" t="s">
        <v>607</v>
      </c>
      <c r="P15" s="179" t="s">
        <v>551</v>
      </c>
      <c r="Q15" s="179" t="s">
        <v>552</v>
      </c>
      <c r="R15" s="179" t="s">
        <v>947</v>
      </c>
      <c r="S15" s="179" t="s">
        <v>553</v>
      </c>
      <c r="T15" s="179" t="s">
        <v>554</v>
      </c>
      <c r="U15" s="179" t="s">
        <v>948</v>
      </c>
      <c r="V15" s="179" t="s">
        <v>949</v>
      </c>
      <c r="W15" s="179" t="s">
        <v>950</v>
      </c>
      <c r="X15" s="179" t="s">
        <v>555</v>
      </c>
      <c r="Y15" s="179" t="s">
        <v>556</v>
      </c>
      <c r="Z15" s="179" t="s">
        <v>557</v>
      </c>
      <c r="AA15" s="179" t="s">
        <v>608</v>
      </c>
      <c r="AB15" s="179" t="s">
        <v>609</v>
      </c>
    </row>
    <row r="16" spans="1:29" s="4" customFormat="1" x14ac:dyDescent="0.3">
      <c r="B16" s="70">
        <v>1</v>
      </c>
      <c r="C16" s="304" t="s">
        <v>755</v>
      </c>
      <c r="D16" s="1037"/>
      <c r="E16" s="1037"/>
      <c r="F16" s="1037"/>
      <c r="G16" s="315"/>
      <c r="H16" s="315">
        <f>D16+E16-F16-G16</f>
        <v>0</v>
      </c>
      <c r="I16" s="300">
        <f>H16</f>
        <v>0</v>
      </c>
      <c r="J16" s="1037"/>
      <c r="K16" s="1037"/>
      <c r="L16" s="315"/>
      <c r="M16" s="300">
        <f>I16+J16-K16-L16</f>
        <v>0</v>
      </c>
      <c r="N16" s="300">
        <f>M16</f>
        <v>0</v>
      </c>
      <c r="O16" s="1037"/>
      <c r="P16" s="1037"/>
      <c r="Q16" s="315"/>
      <c r="R16" s="300">
        <f>N16+O16-P16-Q16</f>
        <v>0</v>
      </c>
      <c r="S16" s="300">
        <f>R16</f>
        <v>0</v>
      </c>
      <c r="T16" s="1037"/>
      <c r="U16" s="1037"/>
      <c r="V16" s="315"/>
      <c r="W16" s="300">
        <f>S16+T16-U16-V16</f>
        <v>0</v>
      </c>
      <c r="X16" s="300">
        <f>W16</f>
        <v>0</v>
      </c>
      <c r="Y16" s="1038"/>
      <c r="Z16" s="1038"/>
      <c r="AA16" s="315"/>
      <c r="AB16" s="300">
        <f>X16+Y16-Z16-AA16</f>
        <v>0</v>
      </c>
    </row>
    <row r="17" spans="2:28" s="4" customFormat="1" x14ac:dyDescent="0.3">
      <c r="B17" s="70">
        <f>B16+1</f>
        <v>2</v>
      </c>
      <c r="C17" s="304" t="s">
        <v>756</v>
      </c>
      <c r="D17" s="1037"/>
      <c r="E17" s="1037"/>
      <c r="F17" s="1037"/>
      <c r="G17" s="315"/>
      <c r="H17" s="315">
        <f t="shared" ref="H17:H32" si="0">D17+E17-F17-G17</f>
        <v>0</v>
      </c>
      <c r="I17" s="300">
        <f t="shared" ref="I17:I32" si="1">H17</f>
        <v>0</v>
      </c>
      <c r="J17" s="1037"/>
      <c r="K17" s="1037"/>
      <c r="L17" s="315"/>
      <c r="M17" s="300">
        <f t="shared" ref="M17:M32" si="2">I17+J17-K17-L17</f>
        <v>0</v>
      </c>
      <c r="N17" s="300">
        <f t="shared" ref="N17:N32" si="3">M17</f>
        <v>0</v>
      </c>
      <c r="O17" s="1037"/>
      <c r="P17" s="1037"/>
      <c r="Q17" s="315"/>
      <c r="R17" s="300">
        <f t="shared" ref="R17:R32" si="4">N17+O17-P17-Q17</f>
        <v>0</v>
      </c>
      <c r="S17" s="300">
        <f t="shared" ref="S17:S32" si="5">R17</f>
        <v>0</v>
      </c>
      <c r="T17" s="1037"/>
      <c r="U17" s="1037"/>
      <c r="V17" s="315"/>
      <c r="W17" s="300">
        <f t="shared" ref="W17:W32" si="6">S17+T17-U17-V17</f>
        <v>0</v>
      </c>
      <c r="X17" s="300">
        <f t="shared" ref="X17:X32" si="7">W17</f>
        <v>0</v>
      </c>
      <c r="Y17" s="1038"/>
      <c r="Z17" s="1038"/>
      <c r="AA17" s="315"/>
      <c r="AB17" s="300">
        <f t="shared" ref="AB17:AB32" si="8">X17+Y17-Z17-AA17</f>
        <v>0</v>
      </c>
    </row>
    <row r="18" spans="2:28" x14ac:dyDescent="0.3">
      <c r="B18" s="70">
        <f t="shared" ref="B18:B32" si="9">B17+1</f>
        <v>3</v>
      </c>
      <c r="C18" s="304" t="s">
        <v>757</v>
      </c>
      <c r="D18" s="1039"/>
      <c r="E18" s="1039"/>
      <c r="F18" s="1039"/>
      <c r="G18" s="316"/>
      <c r="H18" s="315">
        <f t="shared" si="0"/>
        <v>0</v>
      </c>
      <c r="I18" s="300">
        <f t="shared" si="1"/>
        <v>0</v>
      </c>
      <c r="J18" s="1039"/>
      <c r="K18" s="1039"/>
      <c r="L18" s="316"/>
      <c r="M18" s="300">
        <f t="shared" si="2"/>
        <v>0</v>
      </c>
      <c r="N18" s="300">
        <f t="shared" si="3"/>
        <v>0</v>
      </c>
      <c r="O18" s="1039"/>
      <c r="P18" s="1039"/>
      <c r="Q18" s="316"/>
      <c r="R18" s="300">
        <f t="shared" si="4"/>
        <v>0</v>
      </c>
      <c r="S18" s="300">
        <f t="shared" si="5"/>
        <v>0</v>
      </c>
      <c r="T18" s="1039"/>
      <c r="U18" s="1039"/>
      <c r="V18" s="316"/>
      <c r="W18" s="300">
        <f t="shared" si="6"/>
        <v>0</v>
      </c>
      <c r="X18" s="300">
        <f t="shared" si="7"/>
        <v>0</v>
      </c>
      <c r="Y18" s="246"/>
      <c r="Z18" s="246"/>
      <c r="AA18" s="316"/>
      <c r="AB18" s="300">
        <f t="shared" si="8"/>
        <v>0</v>
      </c>
    </row>
    <row r="19" spans="2:28" x14ac:dyDescent="0.3">
      <c r="B19" s="70">
        <f t="shared" si="9"/>
        <v>4</v>
      </c>
      <c r="C19" s="304" t="s">
        <v>758</v>
      </c>
      <c r="D19" s="1037"/>
      <c r="E19" s="1037"/>
      <c r="F19" s="1037"/>
      <c r="G19" s="315"/>
      <c r="H19" s="315">
        <f t="shared" si="0"/>
        <v>0</v>
      </c>
      <c r="I19" s="300">
        <f t="shared" si="1"/>
        <v>0</v>
      </c>
      <c r="J19" s="1037"/>
      <c r="K19" s="1037"/>
      <c r="L19" s="315"/>
      <c r="M19" s="300">
        <f t="shared" si="2"/>
        <v>0</v>
      </c>
      <c r="N19" s="300">
        <f t="shared" si="3"/>
        <v>0</v>
      </c>
      <c r="O19" s="1037"/>
      <c r="P19" s="1037"/>
      <c r="Q19" s="315"/>
      <c r="R19" s="300">
        <f t="shared" si="4"/>
        <v>0</v>
      </c>
      <c r="S19" s="300">
        <f t="shared" si="5"/>
        <v>0</v>
      </c>
      <c r="T19" s="1037"/>
      <c r="U19" s="1037"/>
      <c r="V19" s="315"/>
      <c r="W19" s="300">
        <f t="shared" si="6"/>
        <v>0</v>
      </c>
      <c r="X19" s="300">
        <f t="shared" si="7"/>
        <v>0</v>
      </c>
      <c r="Y19" s="1038"/>
      <c r="Z19" s="1038"/>
      <c r="AA19" s="315"/>
      <c r="AB19" s="300">
        <f t="shared" si="8"/>
        <v>0</v>
      </c>
    </row>
    <row r="20" spans="2:28" x14ac:dyDescent="0.3">
      <c r="B20" s="70">
        <f t="shared" si="9"/>
        <v>5</v>
      </c>
      <c r="C20" s="304" t="s">
        <v>759</v>
      </c>
      <c r="D20" s="1037"/>
      <c r="E20" s="1037"/>
      <c r="F20" s="1037"/>
      <c r="G20" s="315"/>
      <c r="H20" s="315">
        <f t="shared" si="0"/>
        <v>0</v>
      </c>
      <c r="I20" s="300">
        <f t="shared" si="1"/>
        <v>0</v>
      </c>
      <c r="J20" s="1037"/>
      <c r="K20" s="1037"/>
      <c r="L20" s="315"/>
      <c r="M20" s="300">
        <f t="shared" si="2"/>
        <v>0</v>
      </c>
      <c r="N20" s="300">
        <f t="shared" si="3"/>
        <v>0</v>
      </c>
      <c r="O20" s="1037"/>
      <c r="P20" s="1037"/>
      <c r="Q20" s="315"/>
      <c r="R20" s="300">
        <f t="shared" si="4"/>
        <v>0</v>
      </c>
      <c r="S20" s="300">
        <f t="shared" si="5"/>
        <v>0</v>
      </c>
      <c r="T20" s="1037"/>
      <c r="U20" s="1037"/>
      <c r="V20" s="315"/>
      <c r="W20" s="300">
        <f t="shared" si="6"/>
        <v>0</v>
      </c>
      <c r="X20" s="300">
        <f t="shared" si="7"/>
        <v>0</v>
      </c>
      <c r="Y20" s="1038"/>
      <c r="Z20" s="1038"/>
      <c r="AA20" s="315"/>
      <c r="AB20" s="300">
        <f t="shared" si="8"/>
        <v>0</v>
      </c>
    </row>
    <row r="21" spans="2:28" x14ac:dyDescent="0.3">
      <c r="B21" s="70">
        <f t="shared" si="9"/>
        <v>6</v>
      </c>
      <c r="C21" s="304" t="s">
        <v>251</v>
      </c>
      <c r="D21" s="1037"/>
      <c r="E21" s="315">
        <f>F14.7!$G$32</f>
        <v>238.01730123408606</v>
      </c>
      <c r="F21" s="1037"/>
      <c r="G21" s="315"/>
      <c r="H21" s="315">
        <f t="shared" si="0"/>
        <v>238.01730123408606</v>
      </c>
      <c r="I21" s="300">
        <f t="shared" si="1"/>
        <v>238.01730123408606</v>
      </c>
      <c r="J21" s="315">
        <f>F14.7!$I$32</f>
        <v>731.16501526337015</v>
      </c>
      <c r="K21" s="1037"/>
      <c r="L21" s="315"/>
      <c r="M21" s="300">
        <f t="shared" si="2"/>
        <v>969.18231649745621</v>
      </c>
      <c r="N21" s="300">
        <f t="shared" si="3"/>
        <v>969.18231649745621</v>
      </c>
      <c r="O21" s="315">
        <f>F14.7!$K$32</f>
        <v>137.01</v>
      </c>
      <c r="P21" s="1037"/>
      <c r="Q21" s="315"/>
      <c r="R21" s="300">
        <f t="shared" si="4"/>
        <v>1106.1923164974562</v>
      </c>
      <c r="S21" s="300">
        <f t="shared" si="5"/>
        <v>1106.1923164974562</v>
      </c>
      <c r="T21" s="315">
        <f>F14.7!$M$32</f>
        <v>18.75</v>
      </c>
      <c r="U21" s="1037"/>
      <c r="V21" s="315"/>
      <c r="W21" s="300">
        <f t="shared" si="6"/>
        <v>1124.9423164974562</v>
      </c>
      <c r="X21" s="300">
        <f t="shared" si="7"/>
        <v>1124.9423164974562</v>
      </c>
      <c r="Y21" s="315">
        <f>F14.7!$O$32</f>
        <v>25</v>
      </c>
      <c r="Z21" s="1038"/>
      <c r="AA21" s="315"/>
      <c r="AB21" s="300">
        <f t="shared" si="8"/>
        <v>1149.9423164974562</v>
      </c>
    </row>
    <row r="22" spans="2:28" x14ac:dyDescent="0.3">
      <c r="B22" s="70">
        <f t="shared" si="9"/>
        <v>7</v>
      </c>
      <c r="C22" s="304" t="s">
        <v>760</v>
      </c>
      <c r="D22" s="1037"/>
      <c r="E22" s="1037"/>
      <c r="F22" s="1037"/>
      <c r="G22" s="1038"/>
      <c r="H22" s="315">
        <f t="shared" si="0"/>
        <v>0</v>
      </c>
      <c r="I22" s="300">
        <f t="shared" si="1"/>
        <v>0</v>
      </c>
      <c r="J22" s="1037"/>
      <c r="K22" s="1037"/>
      <c r="L22" s="1038"/>
      <c r="M22" s="300">
        <f t="shared" si="2"/>
        <v>0</v>
      </c>
      <c r="N22" s="300">
        <f t="shared" si="3"/>
        <v>0</v>
      </c>
      <c r="O22" s="1037"/>
      <c r="P22" s="1037"/>
      <c r="Q22" s="1038"/>
      <c r="R22" s="300">
        <f t="shared" si="4"/>
        <v>0</v>
      </c>
      <c r="S22" s="300">
        <f t="shared" si="5"/>
        <v>0</v>
      </c>
      <c r="T22" s="1037"/>
      <c r="U22" s="1037"/>
      <c r="V22" s="1038"/>
      <c r="W22" s="300">
        <f t="shared" si="6"/>
        <v>0</v>
      </c>
      <c r="X22" s="300">
        <f t="shared" si="7"/>
        <v>0</v>
      </c>
      <c r="Y22" s="1038"/>
      <c r="Z22" s="1038"/>
      <c r="AA22" s="1038"/>
      <c r="AB22" s="300">
        <f t="shared" si="8"/>
        <v>0</v>
      </c>
    </row>
    <row r="23" spans="2:28" x14ac:dyDescent="0.3">
      <c r="B23" s="70">
        <f t="shared" si="9"/>
        <v>8</v>
      </c>
      <c r="C23" s="304" t="s">
        <v>761</v>
      </c>
      <c r="D23" s="1037"/>
      <c r="E23" s="1037"/>
      <c r="F23" s="1037"/>
      <c r="G23" s="1038"/>
      <c r="H23" s="315">
        <f t="shared" si="0"/>
        <v>0</v>
      </c>
      <c r="I23" s="300">
        <f t="shared" si="1"/>
        <v>0</v>
      </c>
      <c r="J23" s="1037"/>
      <c r="K23" s="1037"/>
      <c r="L23" s="1038"/>
      <c r="M23" s="300">
        <f t="shared" si="2"/>
        <v>0</v>
      </c>
      <c r="N23" s="300">
        <f t="shared" si="3"/>
        <v>0</v>
      </c>
      <c r="O23" s="1037"/>
      <c r="P23" s="1037"/>
      <c r="Q23" s="1038"/>
      <c r="R23" s="300">
        <f t="shared" si="4"/>
        <v>0</v>
      </c>
      <c r="S23" s="300">
        <f t="shared" si="5"/>
        <v>0</v>
      </c>
      <c r="T23" s="1037"/>
      <c r="U23" s="1037"/>
      <c r="V23" s="1038"/>
      <c r="W23" s="300">
        <f t="shared" si="6"/>
        <v>0</v>
      </c>
      <c r="X23" s="300">
        <f t="shared" si="7"/>
        <v>0</v>
      </c>
      <c r="Y23" s="1038"/>
      <c r="Z23" s="1038"/>
      <c r="AA23" s="1038"/>
      <c r="AB23" s="300">
        <f t="shared" si="8"/>
        <v>0</v>
      </c>
    </row>
    <row r="24" spans="2:28" x14ac:dyDescent="0.3">
      <c r="B24" s="70">
        <f t="shared" si="9"/>
        <v>9</v>
      </c>
      <c r="C24" s="304" t="s">
        <v>762</v>
      </c>
      <c r="D24" s="1037"/>
      <c r="E24" s="1037"/>
      <c r="F24" s="1037"/>
      <c r="G24" s="1038"/>
      <c r="H24" s="315">
        <f t="shared" si="0"/>
        <v>0</v>
      </c>
      <c r="I24" s="300">
        <f t="shared" si="1"/>
        <v>0</v>
      </c>
      <c r="J24" s="1037"/>
      <c r="K24" s="1037"/>
      <c r="L24" s="1038"/>
      <c r="M24" s="300">
        <f t="shared" si="2"/>
        <v>0</v>
      </c>
      <c r="N24" s="300">
        <f t="shared" si="3"/>
        <v>0</v>
      </c>
      <c r="O24" s="1037"/>
      <c r="P24" s="1037"/>
      <c r="Q24" s="1038"/>
      <c r="R24" s="300">
        <f t="shared" si="4"/>
        <v>0</v>
      </c>
      <c r="S24" s="300">
        <f t="shared" si="5"/>
        <v>0</v>
      </c>
      <c r="T24" s="1037"/>
      <c r="U24" s="1037"/>
      <c r="V24" s="1038"/>
      <c r="W24" s="300">
        <f t="shared" si="6"/>
        <v>0</v>
      </c>
      <c r="X24" s="300">
        <f t="shared" si="7"/>
        <v>0</v>
      </c>
      <c r="Y24" s="1038"/>
      <c r="Z24" s="1038"/>
      <c r="AA24" s="1038"/>
      <c r="AB24" s="300">
        <f t="shared" si="8"/>
        <v>0</v>
      </c>
    </row>
    <row r="25" spans="2:28" x14ac:dyDescent="0.3">
      <c r="B25" s="70">
        <f t="shared" si="9"/>
        <v>10</v>
      </c>
      <c r="C25" s="304" t="s">
        <v>254</v>
      </c>
      <c r="D25" s="1037"/>
      <c r="E25" s="1037"/>
      <c r="F25" s="1037"/>
      <c r="G25" s="1038"/>
      <c r="H25" s="315">
        <f t="shared" si="0"/>
        <v>0</v>
      </c>
      <c r="I25" s="300">
        <f t="shared" si="1"/>
        <v>0</v>
      </c>
      <c r="J25" s="1037"/>
      <c r="K25" s="1037"/>
      <c r="L25" s="1038"/>
      <c r="M25" s="300">
        <f t="shared" si="2"/>
        <v>0</v>
      </c>
      <c r="N25" s="300">
        <f t="shared" si="3"/>
        <v>0</v>
      </c>
      <c r="O25" s="1037"/>
      <c r="P25" s="1037"/>
      <c r="Q25" s="1038"/>
      <c r="R25" s="300">
        <f t="shared" si="4"/>
        <v>0</v>
      </c>
      <c r="S25" s="300">
        <f t="shared" si="5"/>
        <v>0</v>
      </c>
      <c r="T25" s="1037"/>
      <c r="U25" s="1037"/>
      <c r="V25" s="1038"/>
      <c r="W25" s="300">
        <f t="shared" si="6"/>
        <v>0</v>
      </c>
      <c r="X25" s="300">
        <f t="shared" si="7"/>
        <v>0</v>
      </c>
      <c r="Y25" s="1038"/>
      <c r="Z25" s="1038"/>
      <c r="AA25" s="1038"/>
      <c r="AB25" s="300">
        <f t="shared" si="8"/>
        <v>0</v>
      </c>
    </row>
    <row r="26" spans="2:28" x14ac:dyDescent="0.3">
      <c r="B26" s="70">
        <f t="shared" si="9"/>
        <v>11</v>
      </c>
      <c r="C26" s="304" t="s">
        <v>255</v>
      </c>
      <c r="D26" s="1037"/>
      <c r="E26" s="1037"/>
      <c r="F26" s="1037"/>
      <c r="G26" s="1038"/>
      <c r="H26" s="315">
        <f t="shared" si="0"/>
        <v>0</v>
      </c>
      <c r="I26" s="300">
        <f t="shared" si="1"/>
        <v>0</v>
      </c>
      <c r="J26" s="1037"/>
      <c r="K26" s="1037"/>
      <c r="L26" s="1038"/>
      <c r="M26" s="300">
        <f t="shared" si="2"/>
        <v>0</v>
      </c>
      <c r="N26" s="300">
        <f t="shared" si="3"/>
        <v>0</v>
      </c>
      <c r="O26" s="1037"/>
      <c r="P26" s="1037"/>
      <c r="Q26" s="1038"/>
      <c r="R26" s="300">
        <f t="shared" si="4"/>
        <v>0</v>
      </c>
      <c r="S26" s="300">
        <f t="shared" si="5"/>
        <v>0</v>
      </c>
      <c r="T26" s="1037"/>
      <c r="U26" s="1037"/>
      <c r="V26" s="1038"/>
      <c r="W26" s="300">
        <f t="shared" si="6"/>
        <v>0</v>
      </c>
      <c r="X26" s="300">
        <f t="shared" si="7"/>
        <v>0</v>
      </c>
      <c r="Y26" s="1038"/>
      <c r="Z26" s="1038"/>
      <c r="AA26" s="1038"/>
      <c r="AB26" s="300">
        <f t="shared" si="8"/>
        <v>0</v>
      </c>
    </row>
    <row r="27" spans="2:28" x14ac:dyDescent="0.3">
      <c r="B27" s="70">
        <f t="shared" si="9"/>
        <v>12</v>
      </c>
      <c r="C27" s="304" t="s">
        <v>256</v>
      </c>
      <c r="D27" s="1037"/>
      <c r="E27" s="1037"/>
      <c r="F27" s="1037"/>
      <c r="G27" s="1038"/>
      <c r="H27" s="315">
        <f t="shared" si="0"/>
        <v>0</v>
      </c>
      <c r="I27" s="300">
        <f t="shared" si="1"/>
        <v>0</v>
      </c>
      <c r="J27" s="1037"/>
      <c r="K27" s="1037"/>
      <c r="L27" s="1038"/>
      <c r="M27" s="300">
        <f t="shared" si="2"/>
        <v>0</v>
      </c>
      <c r="N27" s="300">
        <f t="shared" si="3"/>
        <v>0</v>
      </c>
      <c r="O27" s="1037"/>
      <c r="P27" s="1037"/>
      <c r="Q27" s="1038"/>
      <c r="R27" s="300">
        <f t="shared" si="4"/>
        <v>0</v>
      </c>
      <c r="S27" s="300">
        <f t="shared" si="5"/>
        <v>0</v>
      </c>
      <c r="T27" s="1037"/>
      <c r="U27" s="1037"/>
      <c r="V27" s="1038"/>
      <c r="W27" s="300">
        <f t="shared" si="6"/>
        <v>0</v>
      </c>
      <c r="X27" s="300">
        <f t="shared" si="7"/>
        <v>0</v>
      </c>
      <c r="Y27" s="1038"/>
      <c r="Z27" s="1038"/>
      <c r="AA27" s="1038"/>
      <c r="AB27" s="300">
        <f t="shared" si="8"/>
        <v>0</v>
      </c>
    </row>
    <row r="28" spans="2:28" x14ac:dyDescent="0.3">
      <c r="B28" s="70">
        <f t="shared" si="9"/>
        <v>13</v>
      </c>
      <c r="C28" s="304" t="s">
        <v>810</v>
      </c>
      <c r="D28" s="1037"/>
      <c r="E28" s="1037"/>
      <c r="F28" s="1037"/>
      <c r="G28" s="1038"/>
      <c r="H28" s="315">
        <f t="shared" si="0"/>
        <v>0</v>
      </c>
      <c r="I28" s="300">
        <f t="shared" si="1"/>
        <v>0</v>
      </c>
      <c r="J28" s="1037"/>
      <c r="K28" s="1037"/>
      <c r="L28" s="1038"/>
      <c r="M28" s="300">
        <f t="shared" si="2"/>
        <v>0</v>
      </c>
      <c r="N28" s="300">
        <f t="shared" si="3"/>
        <v>0</v>
      </c>
      <c r="O28" s="1037"/>
      <c r="P28" s="1037"/>
      <c r="Q28" s="1038"/>
      <c r="R28" s="300">
        <f t="shared" si="4"/>
        <v>0</v>
      </c>
      <c r="S28" s="300">
        <f t="shared" si="5"/>
        <v>0</v>
      </c>
      <c r="T28" s="1037"/>
      <c r="U28" s="1037"/>
      <c r="V28" s="1038"/>
      <c r="W28" s="300">
        <f t="shared" si="6"/>
        <v>0</v>
      </c>
      <c r="X28" s="300">
        <f t="shared" si="7"/>
        <v>0</v>
      </c>
      <c r="Y28" s="1038"/>
      <c r="Z28" s="1038"/>
      <c r="AA28" s="1038"/>
      <c r="AB28" s="300">
        <f t="shared" si="8"/>
        <v>0</v>
      </c>
    </row>
    <row r="29" spans="2:28" x14ac:dyDescent="0.3">
      <c r="B29" s="70">
        <f t="shared" si="9"/>
        <v>14</v>
      </c>
      <c r="C29" s="304" t="s">
        <v>811</v>
      </c>
      <c r="D29" s="1037"/>
      <c r="E29" s="1037"/>
      <c r="F29" s="1037"/>
      <c r="G29" s="1038"/>
      <c r="H29" s="315">
        <f t="shared" si="0"/>
        <v>0</v>
      </c>
      <c r="I29" s="300">
        <f t="shared" si="1"/>
        <v>0</v>
      </c>
      <c r="J29" s="1037"/>
      <c r="K29" s="1037"/>
      <c r="L29" s="1038"/>
      <c r="M29" s="300">
        <f t="shared" si="2"/>
        <v>0</v>
      </c>
      <c r="N29" s="300">
        <f t="shared" si="3"/>
        <v>0</v>
      </c>
      <c r="O29" s="1037"/>
      <c r="P29" s="1037"/>
      <c r="Q29" s="1038"/>
      <c r="R29" s="300">
        <f t="shared" si="4"/>
        <v>0</v>
      </c>
      <c r="S29" s="300">
        <f t="shared" si="5"/>
        <v>0</v>
      </c>
      <c r="T29" s="1037"/>
      <c r="U29" s="1037"/>
      <c r="V29" s="1038"/>
      <c r="W29" s="300">
        <f t="shared" si="6"/>
        <v>0</v>
      </c>
      <c r="X29" s="300">
        <f t="shared" si="7"/>
        <v>0</v>
      </c>
      <c r="Y29" s="1038"/>
      <c r="Z29" s="1038"/>
      <c r="AA29" s="1038"/>
      <c r="AB29" s="300">
        <f t="shared" si="8"/>
        <v>0</v>
      </c>
    </row>
    <row r="30" spans="2:28" x14ac:dyDescent="0.3">
      <c r="B30" s="70">
        <f t="shared" si="9"/>
        <v>15</v>
      </c>
      <c r="C30" s="304" t="s">
        <v>812</v>
      </c>
      <c r="D30" s="1037"/>
      <c r="E30" s="1037"/>
      <c r="F30" s="1037"/>
      <c r="G30" s="1038"/>
      <c r="H30" s="315">
        <f t="shared" si="0"/>
        <v>0</v>
      </c>
      <c r="I30" s="300">
        <f t="shared" si="1"/>
        <v>0</v>
      </c>
      <c r="J30" s="1037"/>
      <c r="K30" s="1037"/>
      <c r="L30" s="1038"/>
      <c r="M30" s="300">
        <f t="shared" si="2"/>
        <v>0</v>
      </c>
      <c r="N30" s="300">
        <f t="shared" si="3"/>
        <v>0</v>
      </c>
      <c r="O30" s="1037"/>
      <c r="P30" s="1037"/>
      <c r="Q30" s="1038"/>
      <c r="R30" s="300">
        <f t="shared" si="4"/>
        <v>0</v>
      </c>
      <c r="S30" s="300">
        <f t="shared" si="5"/>
        <v>0</v>
      </c>
      <c r="T30" s="1037"/>
      <c r="U30" s="1037"/>
      <c r="V30" s="1038"/>
      <c r="W30" s="300">
        <f t="shared" si="6"/>
        <v>0</v>
      </c>
      <c r="X30" s="300">
        <f t="shared" si="7"/>
        <v>0</v>
      </c>
      <c r="Y30" s="1038"/>
      <c r="Z30" s="1038"/>
      <c r="AA30" s="1038"/>
      <c r="AB30" s="300">
        <f t="shared" si="8"/>
        <v>0</v>
      </c>
    </row>
    <row r="31" spans="2:28" x14ac:dyDescent="0.3">
      <c r="B31" s="70">
        <f t="shared" si="9"/>
        <v>16</v>
      </c>
      <c r="C31" s="304" t="s">
        <v>763</v>
      </c>
      <c r="D31" s="1037"/>
      <c r="E31" s="1037"/>
      <c r="F31" s="1037"/>
      <c r="G31" s="1038"/>
      <c r="H31" s="315">
        <f t="shared" si="0"/>
        <v>0</v>
      </c>
      <c r="I31" s="300">
        <f t="shared" si="1"/>
        <v>0</v>
      </c>
      <c r="J31" s="1037"/>
      <c r="K31" s="1037"/>
      <c r="L31" s="1038"/>
      <c r="M31" s="300">
        <f t="shared" si="2"/>
        <v>0</v>
      </c>
      <c r="N31" s="300">
        <f t="shared" si="3"/>
        <v>0</v>
      </c>
      <c r="O31" s="1037"/>
      <c r="P31" s="1037"/>
      <c r="Q31" s="1038"/>
      <c r="R31" s="300">
        <f t="shared" si="4"/>
        <v>0</v>
      </c>
      <c r="S31" s="300">
        <f t="shared" si="5"/>
        <v>0</v>
      </c>
      <c r="T31" s="1037"/>
      <c r="U31" s="1037"/>
      <c r="V31" s="1038"/>
      <c r="W31" s="300">
        <f t="shared" si="6"/>
        <v>0</v>
      </c>
      <c r="X31" s="300">
        <f t="shared" si="7"/>
        <v>0</v>
      </c>
      <c r="Y31" s="1038"/>
      <c r="Z31" s="1038"/>
      <c r="AA31" s="1038"/>
      <c r="AB31" s="300">
        <f t="shared" si="8"/>
        <v>0</v>
      </c>
    </row>
    <row r="32" spans="2:28" x14ac:dyDescent="0.3">
      <c r="B32" s="70">
        <f t="shared" si="9"/>
        <v>17</v>
      </c>
      <c r="C32" s="304" t="s">
        <v>813</v>
      </c>
      <c r="D32" s="1037"/>
      <c r="E32" s="1037"/>
      <c r="F32" s="1037"/>
      <c r="G32" s="1038"/>
      <c r="H32" s="315">
        <f t="shared" si="0"/>
        <v>0</v>
      </c>
      <c r="I32" s="300">
        <f t="shared" si="1"/>
        <v>0</v>
      </c>
      <c r="J32" s="1037"/>
      <c r="K32" s="1037"/>
      <c r="L32" s="1038"/>
      <c r="M32" s="300">
        <f t="shared" si="2"/>
        <v>0</v>
      </c>
      <c r="N32" s="300">
        <f t="shared" si="3"/>
        <v>0</v>
      </c>
      <c r="O32" s="1037"/>
      <c r="P32" s="1037"/>
      <c r="Q32" s="1038"/>
      <c r="R32" s="300">
        <f t="shared" si="4"/>
        <v>0</v>
      </c>
      <c r="S32" s="300">
        <f t="shared" si="5"/>
        <v>0</v>
      </c>
      <c r="T32" s="1037"/>
      <c r="U32" s="1037"/>
      <c r="V32" s="1038"/>
      <c r="W32" s="300">
        <f t="shared" si="6"/>
        <v>0</v>
      </c>
      <c r="X32" s="300">
        <f t="shared" si="7"/>
        <v>0</v>
      </c>
      <c r="Y32" s="1038"/>
      <c r="Z32" s="1038"/>
      <c r="AA32" s="1038"/>
      <c r="AB32" s="300">
        <f t="shared" si="8"/>
        <v>0</v>
      </c>
    </row>
    <row r="33" spans="2:32" ht="16" x14ac:dyDescent="0.3">
      <c r="B33" s="61"/>
      <c r="C33" s="71" t="s">
        <v>267</v>
      </c>
      <c r="D33" s="1036">
        <f t="shared" ref="D33:G33" si="10">SUM(D16:D32)</f>
        <v>0</v>
      </c>
      <c r="E33" s="1036">
        <f t="shared" si="10"/>
        <v>238.01730123408606</v>
      </c>
      <c r="F33" s="1036">
        <f t="shared" si="10"/>
        <v>0</v>
      </c>
      <c r="G33" s="1036">
        <f t="shared" si="10"/>
        <v>0</v>
      </c>
      <c r="H33" s="1036">
        <f>SUM(H16:H32)</f>
        <v>238.01730123408606</v>
      </c>
      <c r="I33" s="1036">
        <f t="shared" ref="I33:AB33" si="11">SUM(I16:I32)</f>
        <v>238.01730123408606</v>
      </c>
      <c r="J33" s="1036">
        <f t="shared" si="11"/>
        <v>731.16501526337015</v>
      </c>
      <c r="K33" s="1036">
        <f t="shared" si="11"/>
        <v>0</v>
      </c>
      <c r="L33" s="1036">
        <f t="shared" si="11"/>
        <v>0</v>
      </c>
      <c r="M33" s="1036">
        <f t="shared" si="11"/>
        <v>969.18231649745621</v>
      </c>
      <c r="N33" s="1036">
        <f t="shared" si="11"/>
        <v>969.18231649745621</v>
      </c>
      <c r="O33" s="1036">
        <f t="shared" si="11"/>
        <v>137.01</v>
      </c>
      <c r="P33" s="1036">
        <f t="shared" si="11"/>
        <v>0</v>
      </c>
      <c r="Q33" s="1036">
        <f t="shared" si="11"/>
        <v>0</v>
      </c>
      <c r="R33" s="1036">
        <f t="shared" si="11"/>
        <v>1106.1923164974562</v>
      </c>
      <c r="S33" s="1036">
        <f t="shared" si="11"/>
        <v>1106.1923164974562</v>
      </c>
      <c r="T33" s="1036">
        <f t="shared" si="11"/>
        <v>18.75</v>
      </c>
      <c r="U33" s="1036">
        <f t="shared" si="11"/>
        <v>0</v>
      </c>
      <c r="V33" s="1036">
        <f t="shared" si="11"/>
        <v>0</v>
      </c>
      <c r="W33" s="1036">
        <f t="shared" si="11"/>
        <v>1124.9423164974562</v>
      </c>
      <c r="X33" s="1036">
        <f t="shared" si="11"/>
        <v>1124.9423164974562</v>
      </c>
      <c r="Y33" s="1036">
        <f t="shared" si="11"/>
        <v>25</v>
      </c>
      <c r="Z33" s="1036">
        <f t="shared" si="11"/>
        <v>0</v>
      </c>
      <c r="AA33" s="1036">
        <f t="shared" si="11"/>
        <v>0</v>
      </c>
      <c r="AB33" s="1036">
        <f t="shared" si="11"/>
        <v>1149.9423164974562</v>
      </c>
      <c r="AC33" s="34"/>
      <c r="AD33" s="34"/>
      <c r="AE33" s="34"/>
      <c r="AF33" s="34"/>
    </row>
    <row r="34" spans="2:32" ht="16" x14ac:dyDescent="0.3">
      <c r="B34" s="34"/>
      <c r="C34" s="34"/>
      <c r="D34" s="34"/>
      <c r="E34" s="34"/>
      <c r="F34" s="34"/>
      <c r="G34" s="34"/>
      <c r="H34" s="34"/>
      <c r="I34" s="34"/>
      <c r="J34" s="34"/>
      <c r="K34" s="34"/>
      <c r="L34" s="34"/>
      <c r="M34" s="34"/>
      <c r="N34" s="34"/>
      <c r="O34" s="34"/>
      <c r="P34" s="34"/>
      <c r="Q34" s="34"/>
      <c r="R34" s="34"/>
      <c r="S34" s="34"/>
      <c r="T34" s="34"/>
    </row>
    <row r="35" spans="2:32" ht="16" x14ac:dyDescent="0.3">
      <c r="B35" s="34"/>
      <c r="C35" s="34"/>
      <c r="D35" s="34"/>
      <c r="E35" s="34"/>
      <c r="F35" s="34"/>
      <c r="G35" s="34"/>
      <c r="H35" s="34"/>
      <c r="I35" s="34"/>
      <c r="J35" s="34"/>
      <c r="K35" s="34"/>
      <c r="L35" s="34"/>
      <c r="M35" s="34"/>
      <c r="N35" s="34"/>
      <c r="O35" s="34"/>
      <c r="P35" s="34"/>
      <c r="Q35" s="34"/>
      <c r="R35" s="34"/>
      <c r="S35" s="34"/>
      <c r="T35" s="34"/>
    </row>
    <row r="37" spans="2:32" x14ac:dyDescent="0.3">
      <c r="B37" s="42" t="s">
        <v>268</v>
      </c>
    </row>
    <row r="38" spans="2:32" ht="15" customHeight="1" x14ac:dyDescent="0.3">
      <c r="B38" s="34"/>
      <c r="C38" s="41"/>
      <c r="D38" s="41"/>
      <c r="E38" s="41"/>
      <c r="F38" s="41"/>
      <c r="G38" s="41"/>
      <c r="H38" s="41"/>
      <c r="I38" s="41"/>
      <c r="J38" s="41"/>
      <c r="K38" s="41"/>
      <c r="L38" s="41"/>
      <c r="M38" s="41"/>
      <c r="N38" s="34"/>
      <c r="O38" s="34"/>
      <c r="P38" s="34"/>
      <c r="Q38" s="34"/>
      <c r="R38" s="34"/>
      <c r="S38" s="34"/>
      <c r="T38" s="34"/>
      <c r="U38" s="34"/>
      <c r="V38" s="34"/>
      <c r="W38" s="34"/>
      <c r="X38" s="34"/>
      <c r="Y38" s="34"/>
      <c r="Z38" s="34"/>
      <c r="AA38" s="34"/>
      <c r="AB38" s="34"/>
    </row>
    <row r="39" spans="2:32" ht="29.5" customHeight="1" x14ac:dyDescent="0.3">
      <c r="B39" s="34"/>
      <c r="C39" s="559"/>
      <c r="D39" s="41"/>
      <c r="E39" s="41"/>
      <c r="F39" s="41"/>
      <c r="G39" s="41"/>
      <c r="H39" s="41"/>
      <c r="I39" s="41"/>
      <c r="J39" s="41"/>
      <c r="K39" s="41"/>
      <c r="L39" s="41"/>
      <c r="M39" s="41"/>
      <c r="N39" s="34"/>
      <c r="O39" s="34"/>
      <c r="P39" s="34"/>
      <c r="Q39" s="34"/>
      <c r="R39" s="34"/>
      <c r="S39" s="34"/>
      <c r="T39" s="34"/>
      <c r="U39" s="34"/>
      <c r="V39" s="34"/>
      <c r="W39" s="50" t="s">
        <v>10</v>
      </c>
      <c r="X39" s="34"/>
      <c r="Y39" s="34"/>
      <c r="Z39" s="34"/>
      <c r="AA39" s="34"/>
      <c r="AB39" s="34"/>
      <c r="AE39" s="1002"/>
      <c r="AF39" s="1002"/>
    </row>
    <row r="40" spans="2:32" x14ac:dyDescent="0.3">
      <c r="B40" s="1481" t="s">
        <v>327</v>
      </c>
      <c r="C40" s="1481" t="s">
        <v>35</v>
      </c>
      <c r="D40" s="1554" t="s">
        <v>849</v>
      </c>
      <c r="E40" s="1555"/>
      <c r="F40" s="1555"/>
      <c r="G40" s="1555"/>
      <c r="H40" s="1556"/>
      <c r="I40" s="1570" t="s">
        <v>850</v>
      </c>
      <c r="J40" s="1570"/>
      <c r="K40" s="1570"/>
      <c r="L40" s="1570"/>
      <c r="M40" s="1570"/>
      <c r="N40" s="1570" t="s">
        <v>851</v>
      </c>
      <c r="O40" s="1570"/>
      <c r="P40" s="1570"/>
      <c r="Q40" s="1570"/>
      <c r="R40" s="1570"/>
      <c r="S40" s="1570" t="s">
        <v>852</v>
      </c>
      <c r="T40" s="1570"/>
      <c r="U40" s="1570"/>
      <c r="V40" s="1570"/>
      <c r="W40" s="1570"/>
      <c r="X40" s="1570" t="s">
        <v>853</v>
      </c>
      <c r="Y40" s="1570"/>
      <c r="Z40" s="1570"/>
      <c r="AA40" s="1570"/>
      <c r="AB40" s="1570"/>
    </row>
    <row r="41" spans="2:32" x14ac:dyDescent="0.3">
      <c r="B41" s="1481"/>
      <c r="C41" s="1481"/>
      <c r="D41" s="1573" t="s">
        <v>20</v>
      </c>
      <c r="E41" s="1574"/>
      <c r="F41" s="1574"/>
      <c r="G41" s="1574"/>
      <c r="H41" s="1574"/>
      <c r="I41" s="1573" t="s">
        <v>20</v>
      </c>
      <c r="J41" s="1574"/>
      <c r="K41" s="1574"/>
      <c r="L41" s="1574"/>
      <c r="M41" s="1574"/>
      <c r="N41" s="1573" t="s">
        <v>20</v>
      </c>
      <c r="O41" s="1574"/>
      <c r="P41" s="1574"/>
      <c r="Q41" s="1574"/>
      <c r="R41" s="1574"/>
      <c r="S41" s="1573" t="s">
        <v>20</v>
      </c>
      <c r="T41" s="1574"/>
      <c r="U41" s="1574"/>
      <c r="V41" s="1574"/>
      <c r="W41" s="1574"/>
      <c r="X41" s="1573" t="s">
        <v>20</v>
      </c>
      <c r="Y41" s="1574"/>
      <c r="Z41" s="1574"/>
      <c r="AA41" s="1574"/>
      <c r="AB41" s="1574"/>
    </row>
    <row r="42" spans="2:32" ht="56" x14ac:dyDescent="0.3">
      <c r="B42" s="1481"/>
      <c r="C42" s="1481"/>
      <c r="D42" s="250" t="s">
        <v>269</v>
      </c>
      <c r="E42" s="250" t="s">
        <v>264</v>
      </c>
      <c r="F42" s="181" t="s">
        <v>270</v>
      </c>
      <c r="G42" s="64" t="s">
        <v>548</v>
      </c>
      <c r="H42" s="250" t="s">
        <v>271</v>
      </c>
      <c r="I42" s="250" t="s">
        <v>269</v>
      </c>
      <c r="J42" s="250" t="s">
        <v>264</v>
      </c>
      <c r="K42" s="181" t="s">
        <v>270</v>
      </c>
      <c r="L42" s="64" t="s">
        <v>548</v>
      </c>
      <c r="M42" s="250" t="s">
        <v>271</v>
      </c>
      <c r="N42" s="250" t="s">
        <v>269</v>
      </c>
      <c r="O42" s="250" t="s">
        <v>264</v>
      </c>
      <c r="P42" s="181" t="s">
        <v>270</v>
      </c>
      <c r="Q42" s="64" t="s">
        <v>548</v>
      </c>
      <c r="R42" s="250" t="s">
        <v>271</v>
      </c>
      <c r="S42" s="250" t="s">
        <v>269</v>
      </c>
      <c r="T42" s="250" t="s">
        <v>264</v>
      </c>
      <c r="U42" s="181" t="s">
        <v>270</v>
      </c>
      <c r="V42" s="64" t="s">
        <v>548</v>
      </c>
      <c r="W42" s="250" t="s">
        <v>271</v>
      </c>
      <c r="X42" s="250" t="s">
        <v>269</v>
      </c>
      <c r="Y42" s="250" t="s">
        <v>264</v>
      </c>
      <c r="Z42" s="181" t="s">
        <v>270</v>
      </c>
      <c r="AA42" s="64" t="s">
        <v>548</v>
      </c>
      <c r="AB42" s="250" t="s">
        <v>271</v>
      </c>
    </row>
    <row r="43" spans="2:32" x14ac:dyDescent="0.3">
      <c r="B43" s="179"/>
      <c r="C43" s="179"/>
      <c r="D43" s="179" t="s">
        <v>78</v>
      </c>
      <c r="E43" s="179" t="s">
        <v>79</v>
      </c>
      <c r="F43" s="179" t="s">
        <v>435</v>
      </c>
      <c r="G43" s="179" t="s">
        <v>378</v>
      </c>
      <c r="H43" s="179" t="s">
        <v>549</v>
      </c>
      <c r="I43" s="179" t="s">
        <v>394</v>
      </c>
      <c r="J43" s="179" t="s">
        <v>478</v>
      </c>
      <c r="K43" s="179" t="s">
        <v>395</v>
      </c>
      <c r="L43" s="179" t="s">
        <v>396</v>
      </c>
      <c r="M43" s="179" t="s">
        <v>606</v>
      </c>
      <c r="N43" s="179" t="s">
        <v>550</v>
      </c>
      <c r="O43" s="179" t="s">
        <v>607</v>
      </c>
      <c r="P43" s="179" t="s">
        <v>551</v>
      </c>
      <c r="Q43" s="179" t="s">
        <v>552</v>
      </c>
      <c r="R43" s="179" t="s">
        <v>947</v>
      </c>
      <c r="S43" s="179" t="s">
        <v>553</v>
      </c>
      <c r="T43" s="179" t="s">
        <v>554</v>
      </c>
      <c r="U43" s="179" t="s">
        <v>948</v>
      </c>
      <c r="V43" s="179" t="s">
        <v>949</v>
      </c>
      <c r="W43" s="179" t="s">
        <v>950</v>
      </c>
      <c r="X43" s="179" t="s">
        <v>555</v>
      </c>
      <c r="Y43" s="179" t="s">
        <v>556</v>
      </c>
      <c r="Z43" s="179" t="s">
        <v>557</v>
      </c>
      <c r="AA43" s="179" t="s">
        <v>608</v>
      </c>
      <c r="AB43" s="179" t="s">
        <v>951</v>
      </c>
    </row>
    <row r="44" spans="2:32" x14ac:dyDescent="0.3">
      <c r="B44" s="70">
        <v>1</v>
      </c>
      <c r="C44" s="304" t="s">
        <v>755</v>
      </c>
      <c r="D44" s="1040"/>
      <c r="E44" s="557">
        <f>IF((IFERROR(D44/((D16+E16)*90%),0))&lt;70%,MIN((MAX((D16+E16)*90%-D44,0)),(D16+E16/2)*$AC44),MAX((D16+E16)*90%-D44,0)/E$62)</f>
        <v>0</v>
      </c>
      <c r="F44" s="557">
        <f>IFERROR(IF(D44=0,0,D44/D16*F16),0)</f>
        <v>0</v>
      </c>
      <c r="G44" s="557"/>
      <c r="H44" s="557">
        <f>D44+E44-F44-G44</f>
        <v>0</v>
      </c>
      <c r="I44" s="524">
        <f>H44</f>
        <v>0</v>
      </c>
      <c r="J44" s="557">
        <f>IF((IFERROR(I44/((I16+J16)*90%),0))&lt;70%,MIN((MAX((I16+J16)*90%-I44,0)),(I16+J16/2)*$AC44),MAX((I16+J16)*90%-I44,0)/J$62)</f>
        <v>0</v>
      </c>
      <c r="K44" s="557">
        <f>IFERROR(IF(I44=0,0,I44/I16*K16),0)</f>
        <v>0</v>
      </c>
      <c r="L44" s="557"/>
      <c r="M44" s="524">
        <f t="shared" ref="M44:M60" si="12">I44+J44-K44-L44</f>
        <v>0</v>
      </c>
      <c r="N44" s="1041">
        <f>M44</f>
        <v>0</v>
      </c>
      <c r="O44" s="557">
        <f>IF((IFERROR(N44/((N16+O16)*90%),0))&lt;70%,MIN((MAX((N16+O16)*90%-N44,0)),(N16+O16/2)*$AC44),MAX((N16+O16)*90%-N44,0)/O$62)</f>
        <v>0</v>
      </c>
      <c r="P44" s="557">
        <f>IFERROR(IF(N44=0,0,N44/N16*P16),0)</f>
        <v>0</v>
      </c>
      <c r="Q44" s="557"/>
      <c r="R44" s="557">
        <f>N44+O44-P44-Q44</f>
        <v>0</v>
      </c>
      <c r="S44" s="524">
        <f>R44</f>
        <v>0</v>
      </c>
      <c r="T44" s="557">
        <f>IF((IFERROR(S44/((S16+T16)*90%),0))&lt;70%,MIN((MAX((S16+T16)*90%-S44,0)),(S16+T16/2)*$AC44),MAX((S16+T16)*90%-S44,0)/T$62)</f>
        <v>0</v>
      </c>
      <c r="U44" s="557">
        <f>IFERROR(IF(S44=0,0,S44/S16*U16),0)</f>
        <v>0</v>
      </c>
      <c r="V44" s="557"/>
      <c r="W44" s="524">
        <f>S44+T44-U44-V44</f>
        <v>0</v>
      </c>
      <c r="X44" s="1041">
        <f>W44</f>
        <v>0</v>
      </c>
      <c r="Y44" s="557">
        <f>IF((IFERROR(X44/((X16+Y16)*90%),0))&lt;70%,MIN((MAX((X16+Y16)*90%-X44,0)),(X16+Y16/2)*$AC44),MAX((X16+Y16)*90%-X44,0)/Y$62)</f>
        <v>0</v>
      </c>
      <c r="Z44" s="557">
        <f>IFERROR(IF(X44=0,0,X44/X16*Z16),0)</f>
        <v>0</v>
      </c>
      <c r="AA44" s="556"/>
      <c r="AB44" s="524">
        <f>X44+Y44-Z44-AA44</f>
        <v>0</v>
      </c>
      <c r="AC44" s="901">
        <v>0</v>
      </c>
    </row>
    <row r="45" spans="2:32" x14ac:dyDescent="0.3">
      <c r="B45" s="70">
        <f>B44+1</f>
        <v>2</v>
      </c>
      <c r="C45" s="304" t="s">
        <v>756</v>
      </c>
      <c r="D45" s="1040"/>
      <c r="E45" s="557">
        <f>IF((IFERROR(D45/((D17+E17)*90%),0))&lt;70%,MIN((MAX((D17+E17)*90%-D45,0)),(D17+E17/2)*$AC45),MAX((D17+E17)*90%-D45,0)/E$62)</f>
        <v>0</v>
      </c>
      <c r="F45" s="557">
        <f t="shared" ref="F45:F60" si="13">IFERROR(IF(D45=0,0,D45/D17*F17),0)</f>
        <v>0</v>
      </c>
      <c r="G45" s="557"/>
      <c r="H45" s="557">
        <f>D45+E45-F45-G45</f>
        <v>0</v>
      </c>
      <c r="I45" s="524">
        <f t="shared" ref="I45:I60" si="14">H45</f>
        <v>0</v>
      </c>
      <c r="J45" s="557">
        <f t="shared" ref="J45:J60" si="15">IF((IFERROR(I45/((I17+J17)*90%),0))&lt;70%,MIN((MAX((I17+J17)*90%-I45,0)),(I17+J17/2)*$AC45),MAX((I17+J17)*90%-I45,0)/J$62)</f>
        <v>0</v>
      </c>
      <c r="K45" s="557">
        <f t="shared" ref="K45:K60" si="16">IFERROR(IF(I45=0,0,I45/I17*K17),0)</f>
        <v>0</v>
      </c>
      <c r="L45" s="557"/>
      <c r="M45" s="524">
        <f t="shared" si="12"/>
        <v>0</v>
      </c>
      <c r="N45" s="1041">
        <f t="shared" ref="N45:N60" si="17">M45</f>
        <v>0</v>
      </c>
      <c r="O45" s="557">
        <f t="shared" ref="O45:O60" si="18">IF((IFERROR(N45/((N17+O17)*90%),0))&lt;70%,MIN((MAX((N17+O17)*90%-N45,0)),(N17+O17/2)*$AC45),MAX((N17+O17)*90%-N45,0)/O$62)</f>
        <v>0</v>
      </c>
      <c r="P45" s="557">
        <f t="shared" ref="P45:P60" si="19">IFERROR(IF(N45=0,0,N45/N17*P17),0)</f>
        <v>0</v>
      </c>
      <c r="Q45" s="557"/>
      <c r="R45" s="557">
        <f t="shared" ref="R45:R60" si="20">N45+O45-P45-Q45</f>
        <v>0</v>
      </c>
      <c r="S45" s="524">
        <f t="shared" ref="S45:S60" si="21">R45</f>
        <v>0</v>
      </c>
      <c r="T45" s="557">
        <f t="shared" ref="T45:T60" si="22">IF((IFERROR(S45/((S17+T17)*90%),0))&lt;70%,MIN((MAX((S17+T17)*90%-S45,0)),(S17+T17/2)*$AC45),MAX((S17+T17)*90%-S45,0)/T$62)</f>
        <v>0</v>
      </c>
      <c r="U45" s="557">
        <f t="shared" ref="U45:U60" si="23">IFERROR(IF(S45=0,0,S45/S17*U17),0)</f>
        <v>0</v>
      </c>
      <c r="V45" s="557"/>
      <c r="W45" s="524">
        <f t="shared" ref="W45:W60" si="24">S45+T45-U45-V45</f>
        <v>0</v>
      </c>
      <c r="X45" s="1041">
        <f t="shared" ref="X45:X60" si="25">W45</f>
        <v>0</v>
      </c>
      <c r="Y45" s="557">
        <f t="shared" ref="Y45:Y60" si="26">IF((IFERROR(X45/((X17+Y17)*90%),0))&lt;70%,MIN((MAX((X17+Y17)*90%-X45,0)),(X17+Y17/2)*$AC45),MAX((X17+Y17)*90%-X45,0)/Y$62)</f>
        <v>0</v>
      </c>
      <c r="Z45" s="557">
        <f t="shared" ref="Z45:Z60" si="27">IFERROR(IF(X45=0,0,X45/X17*Z17),0)</f>
        <v>0</v>
      </c>
      <c r="AA45" s="556"/>
      <c r="AB45" s="524">
        <f t="shared" ref="AB45:AB60" si="28">X45+Y45-Z45-AA45</f>
        <v>0</v>
      </c>
      <c r="AC45" s="901">
        <v>3.3399999999999999E-2</v>
      </c>
    </row>
    <row r="46" spans="2:32" ht="28" x14ac:dyDescent="0.3">
      <c r="B46" s="70">
        <f t="shared" ref="B46:B60" si="29">B45+1</f>
        <v>3</v>
      </c>
      <c r="C46" s="1061" t="s">
        <v>757</v>
      </c>
      <c r="D46" s="1040"/>
      <c r="E46" s="557">
        <f t="shared" ref="E46:E60" si="30">IF((IFERROR(D46/((D18+E18)*90%),0))&lt;70%,MIN((MAX((D18+E18)*90%-D46,0)),(D18+E18/2)*$AC46),MAX((D18+E18)*90%-D46,0)/E$62)</f>
        <v>0</v>
      </c>
      <c r="F46" s="557">
        <f t="shared" si="13"/>
        <v>0</v>
      </c>
      <c r="G46" s="557"/>
      <c r="H46" s="557">
        <f t="shared" ref="H46:H60" si="31">D46+E46-F46-G46</f>
        <v>0</v>
      </c>
      <c r="I46" s="524">
        <f t="shared" si="14"/>
        <v>0</v>
      </c>
      <c r="J46" s="557">
        <f t="shared" si="15"/>
        <v>0</v>
      </c>
      <c r="K46" s="557">
        <f t="shared" si="16"/>
        <v>0</v>
      </c>
      <c r="L46" s="557"/>
      <c r="M46" s="524">
        <f t="shared" si="12"/>
        <v>0</v>
      </c>
      <c r="N46" s="1041">
        <f t="shared" si="17"/>
        <v>0</v>
      </c>
      <c r="O46" s="557">
        <f t="shared" si="18"/>
        <v>0</v>
      </c>
      <c r="P46" s="557">
        <f t="shared" si="19"/>
        <v>0</v>
      </c>
      <c r="Q46" s="557"/>
      <c r="R46" s="557">
        <f t="shared" si="20"/>
        <v>0</v>
      </c>
      <c r="S46" s="524">
        <f t="shared" si="21"/>
        <v>0</v>
      </c>
      <c r="T46" s="557">
        <f t="shared" si="22"/>
        <v>0</v>
      </c>
      <c r="U46" s="557">
        <f t="shared" si="23"/>
        <v>0</v>
      </c>
      <c r="V46" s="557"/>
      <c r="W46" s="524">
        <f t="shared" si="24"/>
        <v>0</v>
      </c>
      <c r="X46" s="1041">
        <f t="shared" si="25"/>
        <v>0</v>
      </c>
      <c r="Y46" s="557">
        <f t="shared" si="26"/>
        <v>0</v>
      </c>
      <c r="Z46" s="557">
        <f t="shared" si="27"/>
        <v>0</v>
      </c>
      <c r="AA46" s="303"/>
      <c r="AB46" s="524">
        <f t="shared" si="28"/>
        <v>0</v>
      </c>
      <c r="AC46" s="901">
        <v>4.2200000000000001E-2</v>
      </c>
    </row>
    <row r="47" spans="2:32" x14ac:dyDescent="0.3">
      <c r="B47" s="70">
        <f t="shared" si="29"/>
        <v>4</v>
      </c>
      <c r="C47" s="304" t="s">
        <v>758</v>
      </c>
      <c r="D47" s="1040"/>
      <c r="E47" s="557">
        <f t="shared" si="30"/>
        <v>0</v>
      </c>
      <c r="F47" s="557">
        <f t="shared" si="13"/>
        <v>0</v>
      </c>
      <c r="G47" s="557"/>
      <c r="H47" s="557">
        <f t="shared" si="31"/>
        <v>0</v>
      </c>
      <c r="I47" s="524">
        <f t="shared" si="14"/>
        <v>0</v>
      </c>
      <c r="J47" s="557">
        <f t="shared" si="15"/>
        <v>0</v>
      </c>
      <c r="K47" s="557">
        <f t="shared" si="16"/>
        <v>0</v>
      </c>
      <c r="L47" s="557"/>
      <c r="M47" s="524">
        <f t="shared" si="12"/>
        <v>0</v>
      </c>
      <c r="N47" s="1041">
        <f t="shared" si="17"/>
        <v>0</v>
      </c>
      <c r="O47" s="557">
        <f t="shared" si="18"/>
        <v>0</v>
      </c>
      <c r="P47" s="557">
        <f t="shared" si="19"/>
        <v>0</v>
      </c>
      <c r="Q47" s="557"/>
      <c r="R47" s="557">
        <f t="shared" si="20"/>
        <v>0</v>
      </c>
      <c r="S47" s="524">
        <f t="shared" si="21"/>
        <v>0</v>
      </c>
      <c r="T47" s="557">
        <f t="shared" si="22"/>
        <v>0</v>
      </c>
      <c r="U47" s="557">
        <f t="shared" si="23"/>
        <v>0</v>
      </c>
      <c r="V47" s="557"/>
      <c r="W47" s="524">
        <f t="shared" si="24"/>
        <v>0</v>
      </c>
      <c r="X47" s="1041">
        <f t="shared" si="25"/>
        <v>0</v>
      </c>
      <c r="Y47" s="557">
        <f t="shared" si="26"/>
        <v>0</v>
      </c>
      <c r="Z47" s="557">
        <f t="shared" si="27"/>
        <v>0</v>
      </c>
      <c r="AA47" s="556"/>
      <c r="AB47" s="524">
        <f t="shared" si="28"/>
        <v>0</v>
      </c>
      <c r="AC47" s="901">
        <v>4.2200000000000001E-2</v>
      </c>
    </row>
    <row r="48" spans="2:32" x14ac:dyDescent="0.3">
      <c r="B48" s="70">
        <f t="shared" si="29"/>
        <v>5</v>
      </c>
      <c r="C48" s="304" t="s">
        <v>759</v>
      </c>
      <c r="D48" s="1040"/>
      <c r="E48" s="557">
        <f t="shared" si="30"/>
        <v>0</v>
      </c>
      <c r="F48" s="557">
        <f t="shared" si="13"/>
        <v>0</v>
      </c>
      <c r="G48" s="557"/>
      <c r="H48" s="557">
        <f t="shared" si="31"/>
        <v>0</v>
      </c>
      <c r="I48" s="524">
        <f t="shared" si="14"/>
        <v>0</v>
      </c>
      <c r="J48" s="557">
        <f t="shared" si="15"/>
        <v>0</v>
      </c>
      <c r="K48" s="557">
        <f t="shared" si="16"/>
        <v>0</v>
      </c>
      <c r="L48" s="557"/>
      <c r="M48" s="524">
        <f t="shared" si="12"/>
        <v>0</v>
      </c>
      <c r="N48" s="1041">
        <f t="shared" si="17"/>
        <v>0</v>
      </c>
      <c r="O48" s="557">
        <f t="shared" si="18"/>
        <v>0</v>
      </c>
      <c r="P48" s="557">
        <f t="shared" si="19"/>
        <v>0</v>
      </c>
      <c r="Q48" s="557"/>
      <c r="R48" s="557">
        <f t="shared" si="20"/>
        <v>0</v>
      </c>
      <c r="S48" s="524">
        <f t="shared" si="21"/>
        <v>0</v>
      </c>
      <c r="T48" s="557">
        <f t="shared" si="22"/>
        <v>0</v>
      </c>
      <c r="U48" s="557">
        <f t="shared" si="23"/>
        <v>0</v>
      </c>
      <c r="V48" s="557"/>
      <c r="W48" s="524">
        <f t="shared" si="24"/>
        <v>0</v>
      </c>
      <c r="X48" s="1041">
        <f t="shared" si="25"/>
        <v>0</v>
      </c>
      <c r="Y48" s="557">
        <f t="shared" si="26"/>
        <v>0</v>
      </c>
      <c r="Z48" s="557">
        <f t="shared" si="27"/>
        <v>0</v>
      </c>
      <c r="AA48" s="556"/>
      <c r="AB48" s="524">
        <f t="shared" si="28"/>
        <v>0</v>
      </c>
      <c r="AC48" s="901">
        <v>3.3399999999999999E-2</v>
      </c>
    </row>
    <row r="49" spans="2:29" x14ac:dyDescent="0.3">
      <c r="B49" s="70">
        <f t="shared" si="29"/>
        <v>6</v>
      </c>
      <c r="C49" s="304" t="s">
        <v>251</v>
      </c>
      <c r="D49" s="1040"/>
      <c r="E49" s="557">
        <f t="shared" si="30"/>
        <v>5.0221650560392161</v>
      </c>
      <c r="F49" s="557">
        <f t="shared" si="13"/>
        <v>0</v>
      </c>
      <c r="G49" s="557"/>
      <c r="H49" s="557">
        <f t="shared" si="31"/>
        <v>5.0221650560392161</v>
      </c>
      <c r="I49" s="524">
        <f t="shared" si="14"/>
        <v>5.0221650560392161</v>
      </c>
      <c r="J49" s="557">
        <f t="shared" si="15"/>
        <v>25.471911934135544</v>
      </c>
      <c r="K49" s="557">
        <f t="shared" si="16"/>
        <v>0</v>
      </c>
      <c r="L49" s="557"/>
      <c r="M49" s="524">
        <f t="shared" si="12"/>
        <v>30.494076990174761</v>
      </c>
      <c r="N49" s="1041">
        <f t="shared" si="17"/>
        <v>30.494076990174761</v>
      </c>
      <c r="O49" s="557">
        <f t="shared" si="18"/>
        <v>43.790404756192657</v>
      </c>
      <c r="P49" s="557">
        <f t="shared" si="19"/>
        <v>0</v>
      </c>
      <c r="Q49" s="557"/>
      <c r="R49" s="557">
        <f t="shared" si="20"/>
        <v>74.284481746367419</v>
      </c>
      <c r="S49" s="524">
        <f t="shared" si="21"/>
        <v>74.284481746367419</v>
      </c>
      <c r="T49" s="557">
        <f t="shared" si="22"/>
        <v>47.076940756192656</v>
      </c>
      <c r="U49" s="557">
        <f t="shared" si="23"/>
        <v>0</v>
      </c>
      <c r="V49" s="557"/>
      <c r="W49" s="524">
        <f t="shared" si="24"/>
        <v>121.36142250256007</v>
      </c>
      <c r="X49" s="1041">
        <f t="shared" si="25"/>
        <v>121.36142250256007</v>
      </c>
      <c r="Y49" s="557">
        <f t="shared" si="26"/>
        <v>48.000065756192654</v>
      </c>
      <c r="Z49" s="557">
        <f t="shared" si="27"/>
        <v>0</v>
      </c>
      <c r="AA49" s="556"/>
      <c r="AB49" s="524">
        <f t="shared" si="28"/>
        <v>169.36148825875273</v>
      </c>
      <c r="AC49" s="901">
        <v>4.2200000000000001E-2</v>
      </c>
    </row>
    <row r="50" spans="2:29" x14ac:dyDescent="0.3">
      <c r="B50" s="70">
        <f t="shared" si="29"/>
        <v>7</v>
      </c>
      <c r="C50" s="304" t="s">
        <v>760</v>
      </c>
      <c r="D50" s="1040"/>
      <c r="E50" s="557">
        <f t="shared" si="30"/>
        <v>0</v>
      </c>
      <c r="F50" s="557">
        <f t="shared" si="13"/>
        <v>0</v>
      </c>
      <c r="G50" s="557"/>
      <c r="H50" s="557">
        <f t="shared" si="31"/>
        <v>0</v>
      </c>
      <c r="I50" s="524">
        <f t="shared" si="14"/>
        <v>0</v>
      </c>
      <c r="J50" s="557">
        <f t="shared" si="15"/>
        <v>0</v>
      </c>
      <c r="K50" s="557">
        <f t="shared" si="16"/>
        <v>0</v>
      </c>
      <c r="L50" s="557"/>
      <c r="M50" s="524">
        <f t="shared" si="12"/>
        <v>0</v>
      </c>
      <c r="N50" s="1041">
        <f t="shared" si="17"/>
        <v>0</v>
      </c>
      <c r="O50" s="557">
        <f t="shared" si="18"/>
        <v>0</v>
      </c>
      <c r="P50" s="557">
        <f t="shared" si="19"/>
        <v>0</v>
      </c>
      <c r="Q50" s="557"/>
      <c r="R50" s="557">
        <f t="shared" si="20"/>
        <v>0</v>
      </c>
      <c r="S50" s="524">
        <f t="shared" si="21"/>
        <v>0</v>
      </c>
      <c r="T50" s="557">
        <f t="shared" si="22"/>
        <v>0</v>
      </c>
      <c r="U50" s="557">
        <f t="shared" si="23"/>
        <v>0</v>
      </c>
      <c r="V50" s="557"/>
      <c r="W50" s="524">
        <f t="shared" si="24"/>
        <v>0</v>
      </c>
      <c r="X50" s="1041">
        <f t="shared" si="25"/>
        <v>0</v>
      </c>
      <c r="Y50" s="557">
        <f t="shared" si="26"/>
        <v>0</v>
      </c>
      <c r="Z50" s="557">
        <f t="shared" si="27"/>
        <v>0</v>
      </c>
      <c r="AA50" s="556"/>
      <c r="AB50" s="524">
        <f t="shared" si="28"/>
        <v>0</v>
      </c>
      <c r="AC50" s="901">
        <v>9.5000000000000001E-2</v>
      </c>
    </row>
    <row r="51" spans="2:29" x14ac:dyDescent="0.3">
      <c r="B51" s="70">
        <f t="shared" si="29"/>
        <v>8</v>
      </c>
      <c r="C51" s="304" t="s">
        <v>761</v>
      </c>
      <c r="D51" s="1040"/>
      <c r="E51" s="557">
        <f t="shared" si="30"/>
        <v>0</v>
      </c>
      <c r="F51" s="557">
        <f t="shared" si="13"/>
        <v>0</v>
      </c>
      <c r="G51" s="557"/>
      <c r="H51" s="557">
        <f t="shared" si="31"/>
        <v>0</v>
      </c>
      <c r="I51" s="524">
        <f t="shared" si="14"/>
        <v>0</v>
      </c>
      <c r="J51" s="557">
        <f t="shared" si="15"/>
        <v>0</v>
      </c>
      <c r="K51" s="557">
        <f t="shared" si="16"/>
        <v>0</v>
      </c>
      <c r="L51" s="557"/>
      <c r="M51" s="524">
        <f t="shared" si="12"/>
        <v>0</v>
      </c>
      <c r="N51" s="1041">
        <f t="shared" si="17"/>
        <v>0</v>
      </c>
      <c r="O51" s="557">
        <f t="shared" si="18"/>
        <v>0</v>
      </c>
      <c r="P51" s="557">
        <f t="shared" si="19"/>
        <v>0</v>
      </c>
      <c r="Q51" s="557"/>
      <c r="R51" s="557">
        <f t="shared" si="20"/>
        <v>0</v>
      </c>
      <c r="S51" s="524">
        <f t="shared" si="21"/>
        <v>0</v>
      </c>
      <c r="T51" s="557">
        <f t="shared" si="22"/>
        <v>0</v>
      </c>
      <c r="U51" s="557">
        <f t="shared" si="23"/>
        <v>0</v>
      </c>
      <c r="V51" s="557"/>
      <c r="W51" s="524">
        <f t="shared" si="24"/>
        <v>0</v>
      </c>
      <c r="X51" s="1041">
        <f t="shared" si="25"/>
        <v>0</v>
      </c>
      <c r="Y51" s="557">
        <f t="shared" si="26"/>
        <v>0</v>
      </c>
      <c r="Z51" s="557">
        <f t="shared" si="27"/>
        <v>0</v>
      </c>
      <c r="AA51" s="556"/>
      <c r="AB51" s="524">
        <f t="shared" si="28"/>
        <v>0</v>
      </c>
      <c r="AC51" s="901">
        <v>6.3299999999999995E-2</v>
      </c>
    </row>
    <row r="52" spans="2:29" x14ac:dyDescent="0.3">
      <c r="B52" s="70">
        <f t="shared" si="29"/>
        <v>9</v>
      </c>
      <c r="C52" s="304" t="s">
        <v>762</v>
      </c>
      <c r="D52" s="1040"/>
      <c r="E52" s="557">
        <f t="shared" si="30"/>
        <v>0</v>
      </c>
      <c r="F52" s="557">
        <f t="shared" si="13"/>
        <v>0</v>
      </c>
      <c r="G52" s="557"/>
      <c r="H52" s="557">
        <f t="shared" si="31"/>
        <v>0</v>
      </c>
      <c r="I52" s="524">
        <f t="shared" si="14"/>
        <v>0</v>
      </c>
      <c r="J52" s="557">
        <f t="shared" si="15"/>
        <v>0</v>
      </c>
      <c r="K52" s="557">
        <f t="shared" si="16"/>
        <v>0</v>
      </c>
      <c r="L52" s="557"/>
      <c r="M52" s="524">
        <f t="shared" si="12"/>
        <v>0</v>
      </c>
      <c r="N52" s="1041">
        <f t="shared" si="17"/>
        <v>0</v>
      </c>
      <c r="O52" s="557">
        <f t="shared" si="18"/>
        <v>0</v>
      </c>
      <c r="P52" s="557">
        <f t="shared" si="19"/>
        <v>0</v>
      </c>
      <c r="Q52" s="557"/>
      <c r="R52" s="557">
        <f t="shared" si="20"/>
        <v>0</v>
      </c>
      <c r="S52" s="524">
        <f t="shared" si="21"/>
        <v>0</v>
      </c>
      <c r="T52" s="557">
        <f t="shared" si="22"/>
        <v>0</v>
      </c>
      <c r="U52" s="557">
        <f t="shared" si="23"/>
        <v>0</v>
      </c>
      <c r="V52" s="557"/>
      <c r="W52" s="524">
        <f t="shared" si="24"/>
        <v>0</v>
      </c>
      <c r="X52" s="1041">
        <f t="shared" si="25"/>
        <v>0</v>
      </c>
      <c r="Y52" s="557">
        <f t="shared" si="26"/>
        <v>0</v>
      </c>
      <c r="Z52" s="557">
        <f t="shared" si="27"/>
        <v>0</v>
      </c>
      <c r="AA52" s="556"/>
      <c r="AB52" s="524">
        <f t="shared" si="28"/>
        <v>0</v>
      </c>
      <c r="AC52" s="901">
        <v>4.2200000000000001E-2</v>
      </c>
    </row>
    <row r="53" spans="2:29" x14ac:dyDescent="0.3">
      <c r="B53" s="70">
        <f t="shared" si="29"/>
        <v>10</v>
      </c>
      <c r="C53" s="304" t="s">
        <v>254</v>
      </c>
      <c r="D53" s="1040"/>
      <c r="E53" s="557">
        <f t="shared" si="30"/>
        <v>0</v>
      </c>
      <c r="F53" s="557">
        <f t="shared" si="13"/>
        <v>0</v>
      </c>
      <c r="G53" s="557"/>
      <c r="H53" s="557">
        <f t="shared" si="31"/>
        <v>0</v>
      </c>
      <c r="I53" s="524">
        <f t="shared" si="14"/>
        <v>0</v>
      </c>
      <c r="J53" s="557">
        <f t="shared" si="15"/>
        <v>0</v>
      </c>
      <c r="K53" s="557">
        <f t="shared" si="16"/>
        <v>0</v>
      </c>
      <c r="L53" s="557"/>
      <c r="M53" s="524">
        <f t="shared" si="12"/>
        <v>0</v>
      </c>
      <c r="N53" s="1041">
        <f t="shared" si="17"/>
        <v>0</v>
      </c>
      <c r="O53" s="557">
        <f t="shared" si="18"/>
        <v>0</v>
      </c>
      <c r="P53" s="557">
        <f t="shared" si="19"/>
        <v>0</v>
      </c>
      <c r="Q53" s="557"/>
      <c r="R53" s="557">
        <f t="shared" si="20"/>
        <v>0</v>
      </c>
      <c r="S53" s="524">
        <f t="shared" si="21"/>
        <v>0</v>
      </c>
      <c r="T53" s="557">
        <f t="shared" si="22"/>
        <v>0</v>
      </c>
      <c r="U53" s="557">
        <f t="shared" si="23"/>
        <v>0</v>
      </c>
      <c r="V53" s="557"/>
      <c r="W53" s="524">
        <f t="shared" si="24"/>
        <v>0</v>
      </c>
      <c r="X53" s="1041">
        <f t="shared" si="25"/>
        <v>0</v>
      </c>
      <c r="Y53" s="557">
        <f t="shared" si="26"/>
        <v>0</v>
      </c>
      <c r="Z53" s="557">
        <f t="shared" si="27"/>
        <v>0</v>
      </c>
      <c r="AA53" s="556"/>
      <c r="AB53" s="524">
        <f t="shared" si="28"/>
        <v>0</v>
      </c>
      <c r="AC53" s="901">
        <v>9.5000000000000001E-2</v>
      </c>
    </row>
    <row r="54" spans="2:29" x14ac:dyDescent="0.3">
      <c r="B54" s="70">
        <f t="shared" si="29"/>
        <v>11</v>
      </c>
      <c r="C54" s="304" t="s">
        <v>255</v>
      </c>
      <c r="D54" s="1040"/>
      <c r="E54" s="557">
        <f t="shared" si="30"/>
        <v>0</v>
      </c>
      <c r="F54" s="557">
        <f t="shared" si="13"/>
        <v>0</v>
      </c>
      <c r="G54" s="557"/>
      <c r="H54" s="557">
        <f t="shared" si="31"/>
        <v>0</v>
      </c>
      <c r="I54" s="524">
        <f t="shared" si="14"/>
        <v>0</v>
      </c>
      <c r="J54" s="557">
        <f t="shared" si="15"/>
        <v>0</v>
      </c>
      <c r="K54" s="557">
        <f t="shared" si="16"/>
        <v>0</v>
      </c>
      <c r="L54" s="557"/>
      <c r="M54" s="524">
        <f t="shared" si="12"/>
        <v>0</v>
      </c>
      <c r="N54" s="1041">
        <f t="shared" si="17"/>
        <v>0</v>
      </c>
      <c r="O54" s="557">
        <f t="shared" si="18"/>
        <v>0</v>
      </c>
      <c r="P54" s="557">
        <f t="shared" si="19"/>
        <v>0</v>
      </c>
      <c r="Q54" s="557"/>
      <c r="R54" s="557">
        <f t="shared" si="20"/>
        <v>0</v>
      </c>
      <c r="S54" s="524">
        <f t="shared" si="21"/>
        <v>0</v>
      </c>
      <c r="T54" s="557">
        <f t="shared" si="22"/>
        <v>0</v>
      </c>
      <c r="U54" s="557">
        <f t="shared" si="23"/>
        <v>0</v>
      </c>
      <c r="V54" s="557"/>
      <c r="W54" s="524">
        <f t="shared" si="24"/>
        <v>0</v>
      </c>
      <c r="X54" s="1041">
        <f t="shared" si="25"/>
        <v>0</v>
      </c>
      <c r="Y54" s="557">
        <f t="shared" si="26"/>
        <v>0</v>
      </c>
      <c r="Z54" s="557">
        <f t="shared" si="27"/>
        <v>0</v>
      </c>
      <c r="AA54" s="556"/>
      <c r="AB54" s="524">
        <f t="shared" si="28"/>
        <v>0</v>
      </c>
      <c r="AC54" s="901">
        <v>6.3299999999999995E-2</v>
      </c>
    </row>
    <row r="55" spans="2:29" x14ac:dyDescent="0.3">
      <c r="B55" s="70">
        <f t="shared" si="29"/>
        <v>12</v>
      </c>
      <c r="C55" s="304" t="s">
        <v>256</v>
      </c>
      <c r="D55" s="1040"/>
      <c r="E55" s="557">
        <f t="shared" si="30"/>
        <v>0</v>
      </c>
      <c r="F55" s="557">
        <f t="shared" si="13"/>
        <v>0</v>
      </c>
      <c r="G55" s="1042"/>
      <c r="H55" s="557">
        <f t="shared" si="31"/>
        <v>0</v>
      </c>
      <c r="I55" s="524">
        <f t="shared" si="14"/>
        <v>0</v>
      </c>
      <c r="J55" s="557">
        <f t="shared" si="15"/>
        <v>0</v>
      </c>
      <c r="K55" s="557">
        <f t="shared" si="16"/>
        <v>0</v>
      </c>
      <c r="L55" s="557"/>
      <c r="M55" s="524">
        <f t="shared" si="12"/>
        <v>0</v>
      </c>
      <c r="N55" s="1041">
        <f t="shared" si="17"/>
        <v>0</v>
      </c>
      <c r="O55" s="557">
        <f t="shared" si="18"/>
        <v>0</v>
      </c>
      <c r="P55" s="557">
        <f t="shared" si="19"/>
        <v>0</v>
      </c>
      <c r="Q55" s="557"/>
      <c r="R55" s="557">
        <f t="shared" si="20"/>
        <v>0</v>
      </c>
      <c r="S55" s="524">
        <f t="shared" si="21"/>
        <v>0</v>
      </c>
      <c r="T55" s="557">
        <f t="shared" si="22"/>
        <v>0</v>
      </c>
      <c r="U55" s="557">
        <f t="shared" si="23"/>
        <v>0</v>
      </c>
      <c r="V55" s="557"/>
      <c r="W55" s="524">
        <f t="shared" si="24"/>
        <v>0</v>
      </c>
      <c r="X55" s="1041">
        <f t="shared" si="25"/>
        <v>0</v>
      </c>
      <c r="Y55" s="557">
        <f t="shared" si="26"/>
        <v>0</v>
      </c>
      <c r="Z55" s="557">
        <f t="shared" si="27"/>
        <v>0</v>
      </c>
      <c r="AA55" s="556"/>
      <c r="AB55" s="524">
        <f t="shared" si="28"/>
        <v>0</v>
      </c>
      <c r="AC55" s="901">
        <v>6.3299999999999995E-2</v>
      </c>
    </row>
    <row r="56" spans="2:29" x14ac:dyDescent="0.3">
      <c r="B56" s="70">
        <f t="shared" si="29"/>
        <v>13</v>
      </c>
      <c r="C56" s="304" t="s">
        <v>810</v>
      </c>
      <c r="D56" s="1040"/>
      <c r="E56" s="557">
        <f t="shared" si="30"/>
        <v>0</v>
      </c>
      <c r="F56" s="557">
        <f t="shared" si="13"/>
        <v>0</v>
      </c>
      <c r="G56" s="1042"/>
      <c r="H56" s="557">
        <f t="shared" si="31"/>
        <v>0</v>
      </c>
      <c r="I56" s="524">
        <f t="shared" si="14"/>
        <v>0</v>
      </c>
      <c r="J56" s="557">
        <f t="shared" si="15"/>
        <v>0</v>
      </c>
      <c r="K56" s="557">
        <f t="shared" si="16"/>
        <v>0</v>
      </c>
      <c r="L56" s="557"/>
      <c r="M56" s="524">
        <f t="shared" si="12"/>
        <v>0</v>
      </c>
      <c r="N56" s="1041">
        <f t="shared" si="17"/>
        <v>0</v>
      </c>
      <c r="O56" s="557">
        <f t="shared" si="18"/>
        <v>0</v>
      </c>
      <c r="P56" s="557">
        <f t="shared" si="19"/>
        <v>0</v>
      </c>
      <c r="Q56" s="557"/>
      <c r="R56" s="557">
        <f t="shared" si="20"/>
        <v>0</v>
      </c>
      <c r="S56" s="524">
        <f t="shared" si="21"/>
        <v>0</v>
      </c>
      <c r="T56" s="557">
        <f t="shared" si="22"/>
        <v>0</v>
      </c>
      <c r="U56" s="557">
        <f t="shared" si="23"/>
        <v>0</v>
      </c>
      <c r="V56" s="557"/>
      <c r="W56" s="524">
        <f t="shared" si="24"/>
        <v>0</v>
      </c>
      <c r="X56" s="1041">
        <f t="shared" si="25"/>
        <v>0</v>
      </c>
      <c r="Y56" s="557">
        <f t="shared" si="26"/>
        <v>0</v>
      </c>
      <c r="Z56" s="557">
        <f t="shared" si="27"/>
        <v>0</v>
      </c>
      <c r="AA56" s="556"/>
      <c r="AB56" s="524">
        <f t="shared" si="28"/>
        <v>0</v>
      </c>
      <c r="AC56" s="901">
        <v>0.15</v>
      </c>
    </row>
    <row r="57" spans="2:29" x14ac:dyDescent="0.3">
      <c r="B57" s="70">
        <f t="shared" si="29"/>
        <v>14</v>
      </c>
      <c r="C57" s="304" t="s">
        <v>811</v>
      </c>
      <c r="D57" s="1040"/>
      <c r="E57" s="557">
        <f>IF((IFERROR(D57/((D29+E29)*100%),0))&lt;70%,MIN((MAX((D29+E29)*100%-D57,0)),(D29+E29/2)*$AC57),MAX((D29+E29)*100%-D57,0)/E$62)</f>
        <v>0</v>
      </c>
      <c r="F57" s="557">
        <f t="shared" si="13"/>
        <v>0</v>
      </c>
      <c r="G57" s="1042"/>
      <c r="H57" s="557">
        <f t="shared" si="31"/>
        <v>0</v>
      </c>
      <c r="I57" s="524">
        <f t="shared" si="14"/>
        <v>0</v>
      </c>
      <c r="J57" s="557">
        <f>IF((IFERROR(I57/((I29+J29)*100%),0))&lt;70%,MIN((MAX((I29+J29)*100%-I57,0)),(I29+J29/2)*$AC57),MAX((I29+J29)*100%-I57,0)/J$62)</f>
        <v>0</v>
      </c>
      <c r="K57" s="557">
        <f t="shared" si="16"/>
        <v>0</v>
      </c>
      <c r="L57" s="557"/>
      <c r="M57" s="524">
        <f t="shared" si="12"/>
        <v>0</v>
      </c>
      <c r="N57" s="1041">
        <f t="shared" si="17"/>
        <v>0</v>
      </c>
      <c r="O57" s="557">
        <f>IF((IFERROR(N57/((N29+O29)*100%),0))&lt;70%,MIN((MAX((N29+O29)*100%-N57,0)),(N29+O29/2)*$AC57),MAX((N29+O29)*100%-N57,0)/O$62)</f>
        <v>0</v>
      </c>
      <c r="P57" s="557">
        <f t="shared" si="19"/>
        <v>0</v>
      </c>
      <c r="Q57" s="557"/>
      <c r="R57" s="557">
        <f t="shared" si="20"/>
        <v>0</v>
      </c>
      <c r="S57" s="524">
        <f t="shared" si="21"/>
        <v>0</v>
      </c>
      <c r="T57" s="557">
        <f>IF((IFERROR(S57/((S29+T29)*100%),0))&lt;70%,MIN((MAX((S29+T29)*100%-S57,0)),(S29+T29/2)*$AC57),MAX((S29+T29)*100%-S57,0)/T$62)</f>
        <v>0</v>
      </c>
      <c r="U57" s="557">
        <f t="shared" si="23"/>
        <v>0</v>
      </c>
      <c r="V57" s="557"/>
      <c r="W57" s="524">
        <f t="shared" si="24"/>
        <v>0</v>
      </c>
      <c r="X57" s="1041">
        <f t="shared" si="25"/>
        <v>0</v>
      </c>
      <c r="Y57" s="557">
        <f>IF((IFERROR(X57/((X29+Y29)*100%),0))&lt;70%,MIN((MAX((X29+Y29)*100%-X57,0)),(X29+Y29/2)*$AC57),MAX((X29+Y29)*100%-X57,0)/Y$62)</f>
        <v>0</v>
      </c>
      <c r="Z57" s="557">
        <f t="shared" si="27"/>
        <v>0</v>
      </c>
      <c r="AA57" s="556"/>
      <c r="AB57" s="524">
        <f t="shared" si="28"/>
        <v>0</v>
      </c>
      <c r="AC57" s="901">
        <v>0.15</v>
      </c>
    </row>
    <row r="58" spans="2:29" x14ac:dyDescent="0.3">
      <c r="B58" s="70">
        <f t="shared" si="29"/>
        <v>15</v>
      </c>
      <c r="C58" s="304" t="s">
        <v>812</v>
      </c>
      <c r="D58" s="1040"/>
      <c r="E58" s="557">
        <f>IF((IFERROR(D58/((D30+E30)*100%),0))&lt;70%,MIN((MAX((D30+E30)*100%-D58,0)),(D30+E30/2)*$AC58),MAX((D30+E30)*100%-D58,0)/E$62)</f>
        <v>0</v>
      </c>
      <c r="F58" s="557">
        <f t="shared" si="13"/>
        <v>0</v>
      </c>
      <c r="G58" s="1042"/>
      <c r="H58" s="557">
        <f t="shared" si="31"/>
        <v>0</v>
      </c>
      <c r="I58" s="524">
        <f t="shared" si="14"/>
        <v>0</v>
      </c>
      <c r="J58" s="557">
        <f>IF((IFERROR(I58/((I30+J30)*100%),0))&lt;70%,MIN((MAX((I30+J30)*100%-I58,0)),(I30+J30/2)*$AC58),MAX((I30+J30)*100%-I58,0)/J$62)</f>
        <v>0</v>
      </c>
      <c r="K58" s="557">
        <f t="shared" si="16"/>
        <v>0</v>
      </c>
      <c r="L58" s="557"/>
      <c r="M58" s="524">
        <f t="shared" si="12"/>
        <v>0</v>
      </c>
      <c r="N58" s="1041">
        <f t="shared" si="17"/>
        <v>0</v>
      </c>
      <c r="O58" s="557">
        <f>IF((IFERROR(N58/((N30+O30)*100%),0))&lt;70%,MIN((MAX((N30+O30)*100%-N58,0)),(N30+O30/2)*$AC58),MAX((N30+O30)*100%-N58,0)/O$62)</f>
        <v>0</v>
      </c>
      <c r="P58" s="557">
        <f t="shared" si="19"/>
        <v>0</v>
      </c>
      <c r="Q58" s="557"/>
      <c r="R58" s="557">
        <f t="shared" si="20"/>
        <v>0</v>
      </c>
      <c r="S58" s="524">
        <f t="shared" si="21"/>
        <v>0</v>
      </c>
      <c r="T58" s="557">
        <f>IF((IFERROR(S58/((S30+T30)*100%),0))&lt;70%,MIN((MAX((S30+T30)*100%-S58,0)),(S30+T30/2)*$AC58),MAX((S30+T30)*100%-S58,0)/T$62)</f>
        <v>0</v>
      </c>
      <c r="U58" s="557">
        <f t="shared" si="23"/>
        <v>0</v>
      </c>
      <c r="V58" s="557"/>
      <c r="W58" s="524">
        <f t="shared" si="24"/>
        <v>0</v>
      </c>
      <c r="X58" s="1041">
        <f t="shared" si="25"/>
        <v>0</v>
      </c>
      <c r="Y58" s="557">
        <f>IF((IFERROR(X58/((X30+Y30)*100%),0))&lt;70%,MIN((MAX((X30+Y30)*100%-X58,0)),(X30+Y30/2)*$AC58),MAX((X30+Y30)*100%-X58,0)/Y$62)</f>
        <v>0</v>
      </c>
      <c r="Z58" s="557">
        <f t="shared" si="27"/>
        <v>0</v>
      </c>
      <c r="AA58" s="556"/>
      <c r="AB58" s="524">
        <f t="shared" si="28"/>
        <v>0</v>
      </c>
      <c r="AC58" s="901">
        <v>0.15</v>
      </c>
    </row>
    <row r="59" spans="2:29" x14ac:dyDescent="0.3">
      <c r="B59" s="70">
        <f t="shared" si="29"/>
        <v>16</v>
      </c>
      <c r="C59" s="304" t="s">
        <v>763</v>
      </c>
      <c r="D59" s="1040"/>
      <c r="E59" s="557">
        <f>IF((IFERROR(D59/((D31+E31)*100%),0))&lt;70%,MIN((MAX((D31+E31)*100%-D59,0)),(D31+E31/2)*$AC59),MAX((D31+E31)*100%-D59,0)/E$62)</f>
        <v>0</v>
      </c>
      <c r="F59" s="557">
        <f t="shared" si="13"/>
        <v>0</v>
      </c>
      <c r="G59" s="557"/>
      <c r="H59" s="557">
        <f t="shared" si="31"/>
        <v>0</v>
      </c>
      <c r="I59" s="524">
        <f t="shared" si="14"/>
        <v>0</v>
      </c>
      <c r="J59" s="557">
        <f>IF((IFERROR(I59/((I31+J31)*100%),0))&lt;70%,MIN((MAX((I31+J31)*100%-I59,0)),(I31+J31/2)*$AC59),MAX((I31+J31)*100%-I59,0)/J$62)</f>
        <v>0</v>
      </c>
      <c r="K59" s="557">
        <f t="shared" si="16"/>
        <v>0</v>
      </c>
      <c r="L59" s="557"/>
      <c r="M59" s="524">
        <f t="shared" si="12"/>
        <v>0</v>
      </c>
      <c r="N59" s="1041">
        <f t="shared" si="17"/>
        <v>0</v>
      </c>
      <c r="O59" s="557">
        <f>IF((IFERROR(N59/((N31+O31)*100%),0))&lt;70%,MIN((MAX((N31+O31)*100%-N59,0)),(N31+O31/2)*$AC59),MAX((N31+O31)*100%-N59,0)/O$62)</f>
        <v>0</v>
      </c>
      <c r="P59" s="557">
        <f t="shared" si="19"/>
        <v>0</v>
      </c>
      <c r="Q59" s="557"/>
      <c r="R59" s="557">
        <f t="shared" si="20"/>
        <v>0</v>
      </c>
      <c r="S59" s="524">
        <f t="shared" si="21"/>
        <v>0</v>
      </c>
      <c r="T59" s="557">
        <f>IF((IFERROR(S59/((S31+T31)*100%),0))&lt;70%,MIN((MAX((S31+T31)*100%-S59,0)),(S31+T31/2)*$AC59),MAX((S31+T31)*100%-S59,0)/T$62)</f>
        <v>0</v>
      </c>
      <c r="U59" s="557">
        <f t="shared" si="23"/>
        <v>0</v>
      </c>
      <c r="V59" s="557"/>
      <c r="W59" s="524">
        <f t="shared" si="24"/>
        <v>0</v>
      </c>
      <c r="X59" s="1041">
        <f t="shared" si="25"/>
        <v>0</v>
      </c>
      <c r="Y59" s="557">
        <f>IF((IFERROR(X59/((X31+Y31)*100%),0))&lt;70%,MIN((MAX((X31+Y31)*100%-X59,0)),(X31+Y31/2)*$AC59),MAX((X31+Y31)*100%-X59,0)/Y$62)</f>
        <v>0</v>
      </c>
      <c r="Z59" s="557">
        <f t="shared" si="27"/>
        <v>0</v>
      </c>
      <c r="AA59" s="556"/>
      <c r="AB59" s="524">
        <f t="shared" si="28"/>
        <v>0</v>
      </c>
      <c r="AC59" s="901">
        <v>0.15</v>
      </c>
    </row>
    <row r="60" spans="2:29" x14ac:dyDescent="0.3">
      <c r="B60" s="70">
        <f t="shared" si="29"/>
        <v>17</v>
      </c>
      <c r="C60" s="304" t="s">
        <v>355</v>
      </c>
      <c r="D60" s="1043"/>
      <c r="E60" s="557">
        <f t="shared" si="30"/>
        <v>0</v>
      </c>
      <c r="F60" s="557">
        <f t="shared" si="13"/>
        <v>0</v>
      </c>
      <c r="G60" s="557"/>
      <c r="H60" s="557">
        <f t="shared" si="31"/>
        <v>0</v>
      </c>
      <c r="I60" s="524">
        <f t="shared" si="14"/>
        <v>0</v>
      </c>
      <c r="J60" s="557">
        <f t="shared" si="15"/>
        <v>0</v>
      </c>
      <c r="K60" s="557">
        <f t="shared" si="16"/>
        <v>0</v>
      </c>
      <c r="L60" s="557"/>
      <c r="M60" s="524">
        <f t="shared" si="12"/>
        <v>0</v>
      </c>
      <c r="N60" s="1041">
        <f t="shared" si="17"/>
        <v>0</v>
      </c>
      <c r="O60" s="557">
        <f t="shared" si="18"/>
        <v>0</v>
      </c>
      <c r="P60" s="557">
        <f t="shared" si="19"/>
        <v>0</v>
      </c>
      <c r="Q60" s="557"/>
      <c r="R60" s="557">
        <f t="shared" si="20"/>
        <v>0</v>
      </c>
      <c r="S60" s="524">
        <f t="shared" si="21"/>
        <v>0</v>
      </c>
      <c r="T60" s="557">
        <f t="shared" si="22"/>
        <v>0</v>
      </c>
      <c r="U60" s="557">
        <f t="shared" si="23"/>
        <v>0</v>
      </c>
      <c r="V60" s="557"/>
      <c r="W60" s="524">
        <f t="shared" si="24"/>
        <v>0</v>
      </c>
      <c r="X60" s="1041">
        <f t="shared" si="25"/>
        <v>0</v>
      </c>
      <c r="Y60" s="557">
        <f t="shared" si="26"/>
        <v>0</v>
      </c>
      <c r="Z60" s="557">
        <f t="shared" si="27"/>
        <v>0</v>
      </c>
      <c r="AA60" s="556"/>
      <c r="AB60" s="524">
        <f t="shared" si="28"/>
        <v>0</v>
      </c>
      <c r="AC60" s="901">
        <v>3.3399999999999999E-2</v>
      </c>
    </row>
    <row r="61" spans="2:29" ht="16" x14ac:dyDescent="0.3">
      <c r="B61" s="61"/>
      <c r="C61" s="71" t="s">
        <v>267</v>
      </c>
      <c r="D61" s="71"/>
      <c r="E61" s="1044">
        <f>SUM(E44:E60)</f>
        <v>5.0221650560392161</v>
      </c>
      <c r="F61" s="1044">
        <f t="shared" ref="F61:AA61" si="32">SUM(F44:F60)</f>
        <v>0</v>
      </c>
      <c r="G61" s="1044">
        <f t="shared" si="32"/>
        <v>0</v>
      </c>
      <c r="H61" s="1044">
        <f t="shared" si="32"/>
        <v>5.0221650560392161</v>
      </c>
      <c r="I61" s="1044">
        <f t="shared" si="32"/>
        <v>5.0221650560392161</v>
      </c>
      <c r="J61" s="1044">
        <f>SUM(J44:J60)</f>
        <v>25.471911934135544</v>
      </c>
      <c r="K61" s="1044">
        <f t="shared" si="32"/>
        <v>0</v>
      </c>
      <c r="L61" s="1044">
        <f t="shared" si="32"/>
        <v>0</v>
      </c>
      <c r="M61" s="1044">
        <f t="shared" si="32"/>
        <v>30.494076990174761</v>
      </c>
      <c r="N61" s="1044">
        <f t="shared" si="32"/>
        <v>30.494076990174761</v>
      </c>
      <c r="O61" s="1044">
        <f>SUM(O44:O60)</f>
        <v>43.790404756192657</v>
      </c>
      <c r="P61" s="1044">
        <f t="shared" ref="P61" si="33">SUM(P44:P60)</f>
        <v>0</v>
      </c>
      <c r="Q61" s="1044">
        <f t="shared" si="32"/>
        <v>0</v>
      </c>
      <c r="R61" s="1044">
        <f t="shared" si="32"/>
        <v>74.284481746367419</v>
      </c>
      <c r="S61" s="1044">
        <f t="shared" si="32"/>
        <v>74.284481746367419</v>
      </c>
      <c r="T61" s="1044">
        <f>SUM(T44:T60)</f>
        <v>47.076940756192656</v>
      </c>
      <c r="U61" s="1044">
        <f t="shared" ref="U61" si="34">SUM(U44:U60)</f>
        <v>0</v>
      </c>
      <c r="V61" s="1044">
        <f t="shared" si="32"/>
        <v>0</v>
      </c>
      <c r="W61" s="1044">
        <f t="shared" si="32"/>
        <v>121.36142250256007</v>
      </c>
      <c r="X61" s="1044">
        <f t="shared" si="32"/>
        <v>121.36142250256007</v>
      </c>
      <c r="Y61" s="1044">
        <f>SUM(Y44:Y60)</f>
        <v>48.000065756192654</v>
      </c>
      <c r="Z61" s="1044">
        <f t="shared" ref="Z61" si="35">SUM(Z44:Z60)</f>
        <v>0</v>
      </c>
      <c r="AA61" s="1044">
        <f t="shared" si="32"/>
        <v>0</v>
      </c>
      <c r="AB61" s="1044">
        <f t="shared" ref="AB61" si="36">SUM(AB44:AB60)</f>
        <v>169.36148825875273</v>
      </c>
      <c r="AC61" s="1045"/>
    </row>
    <row r="62" spans="2:29" ht="16" x14ac:dyDescent="0.3">
      <c r="B62" s="34"/>
      <c r="C62" s="41"/>
      <c r="D62" s="41"/>
      <c r="E62" s="1046">
        <f>'F5'!J88</f>
        <v>24.833333333333332</v>
      </c>
      <c r="F62" s="1046"/>
      <c r="G62" s="1046"/>
      <c r="H62" s="1046"/>
      <c r="I62" s="1047"/>
      <c r="J62" s="1046">
        <f>E62-1</f>
        <v>23.833333333333332</v>
      </c>
      <c r="K62" s="1048"/>
      <c r="L62" s="1048"/>
      <c r="M62" s="1048"/>
      <c r="N62" s="1047"/>
      <c r="O62" s="1046">
        <f>J62-1</f>
        <v>22.833333333333332</v>
      </c>
      <c r="P62" s="1048"/>
      <c r="Q62" s="1048"/>
      <c r="R62" s="1048"/>
      <c r="S62" s="1047"/>
      <c r="T62" s="1046">
        <f>O62-1</f>
        <v>21.833333333333332</v>
      </c>
      <c r="U62" s="1049"/>
      <c r="V62" s="1049"/>
      <c r="W62" s="1047"/>
      <c r="X62" s="1048"/>
      <c r="Y62" s="1046">
        <f>T62-1</f>
        <v>20.833333333333332</v>
      </c>
      <c r="Z62" s="34"/>
      <c r="AA62" s="34"/>
      <c r="AB62" s="34"/>
    </row>
    <row r="64" spans="2:29" x14ac:dyDescent="0.3">
      <c r="B64" s="42" t="s">
        <v>328</v>
      </c>
    </row>
    <row r="65" spans="2:28" ht="15" customHeight="1" x14ac:dyDescent="0.3">
      <c r="B65" s="34"/>
      <c r="C65" s="41"/>
      <c r="D65" s="41"/>
      <c r="E65" s="41"/>
      <c r="F65" s="41"/>
      <c r="G65" s="41"/>
      <c r="H65" s="41"/>
      <c r="I65" s="41"/>
      <c r="J65" s="41"/>
      <c r="K65" s="41"/>
      <c r="L65" s="41"/>
      <c r="M65" s="41"/>
      <c r="N65" s="34"/>
      <c r="O65" s="34"/>
      <c r="P65" s="34"/>
      <c r="Q65" s="34"/>
      <c r="R65" s="34"/>
      <c r="S65" s="34"/>
      <c r="T65" s="34"/>
      <c r="U65" s="34"/>
      <c r="V65" s="34"/>
      <c r="W65" s="34"/>
      <c r="X65" s="34"/>
      <c r="Y65" s="34"/>
      <c r="Z65" s="34"/>
      <c r="AA65" s="34"/>
      <c r="AB65" s="50" t="s">
        <v>10</v>
      </c>
    </row>
    <row r="66" spans="2:28" x14ac:dyDescent="0.3">
      <c r="B66" s="1481" t="s">
        <v>327</v>
      </c>
      <c r="C66" s="1481" t="s">
        <v>35</v>
      </c>
      <c r="D66" s="1554" t="s">
        <v>849</v>
      </c>
      <c r="E66" s="1555"/>
      <c r="F66" s="1555"/>
      <c r="G66" s="1555"/>
      <c r="H66" s="1556"/>
      <c r="I66" s="1570" t="s">
        <v>850</v>
      </c>
      <c r="J66" s="1570"/>
      <c r="K66" s="1570"/>
      <c r="L66" s="1570"/>
      <c r="M66" s="1570"/>
      <c r="N66" s="1570" t="s">
        <v>851</v>
      </c>
      <c r="O66" s="1570"/>
      <c r="P66" s="1570"/>
      <c r="Q66" s="1570"/>
      <c r="R66" s="1570"/>
      <c r="S66" s="1570" t="s">
        <v>852</v>
      </c>
      <c r="T66" s="1570"/>
      <c r="U66" s="1570"/>
      <c r="V66" s="1570"/>
      <c r="W66" s="1570"/>
      <c r="X66" s="1570" t="s">
        <v>853</v>
      </c>
      <c r="Y66" s="1570"/>
      <c r="Z66" s="1570"/>
      <c r="AA66" s="1570"/>
      <c r="AB66" s="1570"/>
    </row>
    <row r="67" spans="2:28" x14ac:dyDescent="0.3">
      <c r="B67" s="1481"/>
      <c r="C67" s="1481"/>
      <c r="D67" s="1573" t="s">
        <v>20</v>
      </c>
      <c r="E67" s="1574"/>
      <c r="F67" s="1574"/>
      <c r="G67" s="1574"/>
      <c r="H67" s="1574"/>
      <c r="I67" s="1579" t="s">
        <v>20</v>
      </c>
      <c r="J67" s="1580"/>
      <c r="K67" s="1580"/>
      <c r="L67" s="1580"/>
      <c r="M67" s="1581"/>
      <c r="N67" s="1573" t="s">
        <v>20</v>
      </c>
      <c r="O67" s="1574"/>
      <c r="P67" s="1574"/>
      <c r="Q67" s="1574"/>
      <c r="R67" s="1574"/>
      <c r="S67" s="1573" t="s">
        <v>20</v>
      </c>
      <c r="T67" s="1574"/>
      <c r="U67" s="1574"/>
      <c r="V67" s="1574"/>
      <c r="W67" s="1574"/>
      <c r="X67" s="1573" t="s">
        <v>20</v>
      </c>
      <c r="Y67" s="1574"/>
      <c r="Z67" s="1574"/>
      <c r="AA67" s="1574"/>
      <c r="AB67" s="1574"/>
    </row>
    <row r="68" spans="2:28" ht="42" x14ac:dyDescent="0.3">
      <c r="B68" s="1481"/>
      <c r="C68" s="1481"/>
      <c r="D68" s="250" t="s">
        <v>263</v>
      </c>
      <c r="E68" s="250" t="s">
        <v>264</v>
      </c>
      <c r="F68" s="181" t="s">
        <v>270</v>
      </c>
      <c r="G68" s="64" t="s">
        <v>548</v>
      </c>
      <c r="H68" s="250" t="s">
        <v>266</v>
      </c>
      <c r="I68" s="250" t="s">
        <v>263</v>
      </c>
      <c r="J68" s="250" t="s">
        <v>264</v>
      </c>
      <c r="K68" s="181" t="s">
        <v>270</v>
      </c>
      <c r="L68" s="64" t="s">
        <v>548</v>
      </c>
      <c r="M68" s="250" t="s">
        <v>266</v>
      </c>
      <c r="N68" s="250" t="s">
        <v>263</v>
      </c>
      <c r="O68" s="250" t="s">
        <v>264</v>
      </c>
      <c r="P68" s="181" t="s">
        <v>270</v>
      </c>
      <c r="Q68" s="64" t="s">
        <v>548</v>
      </c>
      <c r="R68" s="250" t="s">
        <v>266</v>
      </c>
      <c r="S68" s="250" t="s">
        <v>263</v>
      </c>
      <c r="T68" s="250" t="s">
        <v>264</v>
      </c>
      <c r="U68" s="181" t="s">
        <v>270</v>
      </c>
      <c r="V68" s="64" t="s">
        <v>548</v>
      </c>
      <c r="W68" s="250" t="s">
        <v>266</v>
      </c>
      <c r="X68" s="250" t="s">
        <v>263</v>
      </c>
      <c r="Y68" s="250" t="s">
        <v>264</v>
      </c>
      <c r="Z68" s="181" t="s">
        <v>270</v>
      </c>
      <c r="AA68" s="64" t="s">
        <v>548</v>
      </c>
      <c r="AB68" s="250" t="s">
        <v>266</v>
      </c>
    </row>
    <row r="69" spans="2:28" x14ac:dyDescent="0.3">
      <c r="B69" s="179"/>
      <c r="C69" s="179"/>
      <c r="D69" s="179" t="s">
        <v>78</v>
      </c>
      <c r="E69" s="179" t="s">
        <v>79</v>
      </c>
      <c r="F69" s="179" t="s">
        <v>435</v>
      </c>
      <c r="G69" s="179" t="s">
        <v>378</v>
      </c>
      <c r="H69" s="179" t="s">
        <v>549</v>
      </c>
      <c r="I69" s="179" t="s">
        <v>394</v>
      </c>
      <c r="J69" s="179" t="s">
        <v>478</v>
      </c>
      <c r="K69" s="179" t="s">
        <v>395</v>
      </c>
      <c r="L69" s="179" t="s">
        <v>396</v>
      </c>
      <c r="M69" s="179" t="s">
        <v>606</v>
      </c>
      <c r="N69" s="179" t="s">
        <v>550</v>
      </c>
      <c r="O69" s="179" t="s">
        <v>607</v>
      </c>
      <c r="P69" s="179" t="s">
        <v>551</v>
      </c>
      <c r="Q69" s="179" t="s">
        <v>552</v>
      </c>
      <c r="R69" s="179" t="s">
        <v>947</v>
      </c>
      <c r="S69" s="179" t="s">
        <v>553</v>
      </c>
      <c r="T69" s="179" t="s">
        <v>554</v>
      </c>
      <c r="U69" s="179" t="s">
        <v>948</v>
      </c>
      <c r="V69" s="179" t="s">
        <v>949</v>
      </c>
      <c r="W69" s="179" t="s">
        <v>950</v>
      </c>
      <c r="X69" s="179" t="s">
        <v>555</v>
      </c>
      <c r="Y69" s="179" t="s">
        <v>556</v>
      </c>
      <c r="Z69" s="179" t="s">
        <v>557</v>
      </c>
      <c r="AA69" s="179" t="s">
        <v>608</v>
      </c>
      <c r="AB69" s="179" t="s">
        <v>951</v>
      </c>
    </row>
    <row r="70" spans="2:28" x14ac:dyDescent="0.3">
      <c r="B70" s="70">
        <v>1</v>
      </c>
      <c r="C70" s="304" t="s">
        <v>755</v>
      </c>
      <c r="D70" s="238">
        <f>D16-D44</f>
        <v>0</v>
      </c>
      <c r="E70" s="238">
        <f t="shared" ref="E70:F70" si="37">E16-E44</f>
        <v>0</v>
      </c>
      <c r="F70" s="238">
        <f t="shared" si="37"/>
        <v>0</v>
      </c>
      <c r="G70" s="238"/>
      <c r="H70" s="238">
        <f t="shared" ref="H70:H86" si="38">D70+E70-F70-G70</f>
        <v>0</v>
      </c>
      <c r="I70" s="238">
        <f>I16-I44</f>
        <v>0</v>
      </c>
      <c r="J70" s="238">
        <f t="shared" ref="J70:K70" si="39">J16-J44</f>
        <v>0</v>
      </c>
      <c r="K70" s="238">
        <f t="shared" si="39"/>
        <v>0</v>
      </c>
      <c r="L70" s="238"/>
      <c r="M70" s="238">
        <f t="shared" ref="M70:M86" si="40">I70+J70-K70-L70</f>
        <v>0</v>
      </c>
      <c r="N70" s="238">
        <f>N16-N44</f>
        <v>0</v>
      </c>
      <c r="O70" s="238">
        <f t="shared" ref="O70:P70" si="41">O16-O44</f>
        <v>0</v>
      </c>
      <c r="P70" s="238">
        <f t="shared" si="41"/>
        <v>0</v>
      </c>
      <c r="Q70" s="238"/>
      <c r="R70" s="238">
        <f t="shared" ref="R70:R86" si="42">N70+O70-P70-Q70</f>
        <v>0</v>
      </c>
      <c r="S70" s="238">
        <f>S16-S44</f>
        <v>0</v>
      </c>
      <c r="T70" s="238">
        <f t="shared" ref="T70:U70" si="43">T16-T44</f>
        <v>0</v>
      </c>
      <c r="U70" s="238">
        <f t="shared" si="43"/>
        <v>0</v>
      </c>
      <c r="V70" s="238"/>
      <c r="W70" s="238">
        <f t="shared" ref="W70:W86" si="44">S70+T70-U70-V70</f>
        <v>0</v>
      </c>
      <c r="X70" s="238">
        <f>X16-X44</f>
        <v>0</v>
      </c>
      <c r="Y70" s="238">
        <f t="shared" ref="Y70:Z70" si="45">Y16-Y44</f>
        <v>0</v>
      </c>
      <c r="Z70" s="238">
        <f t="shared" si="45"/>
        <v>0</v>
      </c>
      <c r="AA70" s="238"/>
      <c r="AB70" s="238">
        <f t="shared" ref="AB70:AB86" si="46">X70+Y70-Z70-AA70</f>
        <v>0</v>
      </c>
    </row>
    <row r="71" spans="2:28" x14ac:dyDescent="0.3">
      <c r="B71" s="70">
        <f>B70+1</f>
        <v>2</v>
      </c>
      <c r="C71" s="304" t="s">
        <v>756</v>
      </c>
      <c r="D71" s="238">
        <f t="shared" ref="D71:F86" si="47">D17-D45</f>
        <v>0</v>
      </c>
      <c r="E71" s="238">
        <f t="shared" si="47"/>
        <v>0</v>
      </c>
      <c r="F71" s="238">
        <f t="shared" si="47"/>
        <v>0</v>
      </c>
      <c r="G71" s="238"/>
      <c r="H71" s="238">
        <f t="shared" si="38"/>
        <v>0</v>
      </c>
      <c r="I71" s="238">
        <f t="shared" ref="I71:K86" si="48">I17-I45</f>
        <v>0</v>
      </c>
      <c r="J71" s="238">
        <f t="shared" si="48"/>
        <v>0</v>
      </c>
      <c r="K71" s="238">
        <f t="shared" si="48"/>
        <v>0</v>
      </c>
      <c r="L71" s="238"/>
      <c r="M71" s="238">
        <f t="shared" si="40"/>
        <v>0</v>
      </c>
      <c r="N71" s="238">
        <f t="shared" ref="N71:P86" si="49">N17-N45</f>
        <v>0</v>
      </c>
      <c r="O71" s="238">
        <f t="shared" si="49"/>
        <v>0</v>
      </c>
      <c r="P71" s="238">
        <f t="shared" si="49"/>
        <v>0</v>
      </c>
      <c r="Q71" s="238"/>
      <c r="R71" s="238">
        <f t="shared" si="42"/>
        <v>0</v>
      </c>
      <c r="S71" s="238">
        <f t="shared" ref="S71:U86" si="50">S17-S45</f>
        <v>0</v>
      </c>
      <c r="T71" s="238">
        <f t="shared" si="50"/>
        <v>0</v>
      </c>
      <c r="U71" s="238">
        <f t="shared" si="50"/>
        <v>0</v>
      </c>
      <c r="V71" s="238"/>
      <c r="W71" s="238">
        <f t="shared" si="44"/>
        <v>0</v>
      </c>
      <c r="X71" s="238">
        <f t="shared" ref="X71:Z86" si="51">X17-X45</f>
        <v>0</v>
      </c>
      <c r="Y71" s="238">
        <f t="shared" si="51"/>
        <v>0</v>
      </c>
      <c r="Z71" s="238">
        <f t="shared" si="51"/>
        <v>0</v>
      </c>
      <c r="AA71" s="238"/>
      <c r="AB71" s="238">
        <f t="shared" si="46"/>
        <v>0</v>
      </c>
    </row>
    <row r="72" spans="2:28" x14ac:dyDescent="0.3">
      <c r="B72" s="70">
        <f t="shared" ref="B72:B86" si="52">B71+1</f>
        <v>3</v>
      </c>
      <c r="C72" s="304" t="s">
        <v>757</v>
      </c>
      <c r="D72" s="238">
        <f t="shared" si="47"/>
        <v>0</v>
      </c>
      <c r="E72" s="238">
        <f t="shared" si="47"/>
        <v>0</v>
      </c>
      <c r="F72" s="238">
        <f t="shared" si="47"/>
        <v>0</v>
      </c>
      <c r="G72" s="238"/>
      <c r="H72" s="238">
        <f t="shared" si="38"/>
        <v>0</v>
      </c>
      <c r="I72" s="238">
        <f t="shared" si="48"/>
        <v>0</v>
      </c>
      <c r="J72" s="238">
        <f t="shared" si="48"/>
        <v>0</v>
      </c>
      <c r="K72" s="238">
        <f t="shared" si="48"/>
        <v>0</v>
      </c>
      <c r="L72" s="238"/>
      <c r="M72" s="238">
        <f t="shared" si="40"/>
        <v>0</v>
      </c>
      <c r="N72" s="238">
        <f t="shared" si="49"/>
        <v>0</v>
      </c>
      <c r="O72" s="238">
        <f t="shared" si="49"/>
        <v>0</v>
      </c>
      <c r="P72" s="238">
        <f t="shared" si="49"/>
        <v>0</v>
      </c>
      <c r="Q72" s="238"/>
      <c r="R72" s="238">
        <f t="shared" si="42"/>
        <v>0</v>
      </c>
      <c r="S72" s="238">
        <f t="shared" si="50"/>
        <v>0</v>
      </c>
      <c r="T72" s="238">
        <f t="shared" si="50"/>
        <v>0</v>
      </c>
      <c r="U72" s="238">
        <f t="shared" si="50"/>
        <v>0</v>
      </c>
      <c r="V72" s="238"/>
      <c r="W72" s="238">
        <f t="shared" si="44"/>
        <v>0</v>
      </c>
      <c r="X72" s="238">
        <f t="shared" si="51"/>
        <v>0</v>
      </c>
      <c r="Y72" s="238">
        <f t="shared" si="51"/>
        <v>0</v>
      </c>
      <c r="Z72" s="238">
        <f t="shared" si="51"/>
        <v>0</v>
      </c>
      <c r="AA72" s="238"/>
      <c r="AB72" s="238">
        <f t="shared" si="46"/>
        <v>0</v>
      </c>
    </row>
    <row r="73" spans="2:28" x14ac:dyDescent="0.3">
      <c r="B73" s="70">
        <f t="shared" si="52"/>
        <v>4</v>
      </c>
      <c r="C73" s="304" t="s">
        <v>758</v>
      </c>
      <c r="D73" s="238">
        <f t="shared" si="47"/>
        <v>0</v>
      </c>
      <c r="E73" s="238">
        <f t="shared" si="47"/>
        <v>0</v>
      </c>
      <c r="F73" s="238">
        <f t="shared" si="47"/>
        <v>0</v>
      </c>
      <c r="G73" s="238"/>
      <c r="H73" s="238">
        <f t="shared" si="38"/>
        <v>0</v>
      </c>
      <c r="I73" s="238">
        <f t="shared" si="48"/>
        <v>0</v>
      </c>
      <c r="J73" s="238">
        <f t="shared" si="48"/>
        <v>0</v>
      </c>
      <c r="K73" s="238">
        <f t="shared" si="48"/>
        <v>0</v>
      </c>
      <c r="L73" s="238"/>
      <c r="M73" s="238">
        <f t="shared" si="40"/>
        <v>0</v>
      </c>
      <c r="N73" s="238">
        <f t="shared" si="49"/>
        <v>0</v>
      </c>
      <c r="O73" s="238">
        <f t="shared" si="49"/>
        <v>0</v>
      </c>
      <c r="P73" s="238">
        <f t="shared" si="49"/>
        <v>0</v>
      </c>
      <c r="Q73" s="238"/>
      <c r="R73" s="238">
        <f t="shared" si="42"/>
        <v>0</v>
      </c>
      <c r="S73" s="238">
        <f t="shared" si="50"/>
        <v>0</v>
      </c>
      <c r="T73" s="238">
        <f t="shared" si="50"/>
        <v>0</v>
      </c>
      <c r="U73" s="238">
        <f t="shared" si="50"/>
        <v>0</v>
      </c>
      <c r="V73" s="238"/>
      <c r="W73" s="238">
        <f t="shared" si="44"/>
        <v>0</v>
      </c>
      <c r="X73" s="238">
        <f t="shared" si="51"/>
        <v>0</v>
      </c>
      <c r="Y73" s="238">
        <f t="shared" si="51"/>
        <v>0</v>
      </c>
      <c r="Z73" s="238">
        <f t="shared" si="51"/>
        <v>0</v>
      </c>
      <c r="AA73" s="238"/>
      <c r="AB73" s="238">
        <f t="shared" si="46"/>
        <v>0</v>
      </c>
    </row>
    <row r="74" spans="2:28" x14ac:dyDescent="0.3">
      <c r="B74" s="70">
        <f t="shared" si="52"/>
        <v>5</v>
      </c>
      <c r="C74" s="304" t="s">
        <v>759</v>
      </c>
      <c r="D74" s="238">
        <f t="shared" si="47"/>
        <v>0</v>
      </c>
      <c r="E74" s="238">
        <f t="shared" si="47"/>
        <v>0</v>
      </c>
      <c r="F74" s="238">
        <f t="shared" si="47"/>
        <v>0</v>
      </c>
      <c r="G74" s="238"/>
      <c r="H74" s="238">
        <f t="shared" si="38"/>
        <v>0</v>
      </c>
      <c r="I74" s="238">
        <f t="shared" si="48"/>
        <v>0</v>
      </c>
      <c r="J74" s="238">
        <f t="shared" si="48"/>
        <v>0</v>
      </c>
      <c r="K74" s="238">
        <f t="shared" si="48"/>
        <v>0</v>
      </c>
      <c r="L74" s="238"/>
      <c r="M74" s="238">
        <f t="shared" si="40"/>
        <v>0</v>
      </c>
      <c r="N74" s="238">
        <f t="shared" si="49"/>
        <v>0</v>
      </c>
      <c r="O74" s="238">
        <f t="shared" si="49"/>
        <v>0</v>
      </c>
      <c r="P74" s="238">
        <f t="shared" si="49"/>
        <v>0</v>
      </c>
      <c r="Q74" s="238"/>
      <c r="R74" s="238">
        <f t="shared" si="42"/>
        <v>0</v>
      </c>
      <c r="S74" s="238">
        <f t="shared" si="50"/>
        <v>0</v>
      </c>
      <c r="T74" s="238">
        <f t="shared" si="50"/>
        <v>0</v>
      </c>
      <c r="U74" s="238">
        <f t="shared" si="50"/>
        <v>0</v>
      </c>
      <c r="V74" s="238"/>
      <c r="W74" s="238">
        <f t="shared" si="44"/>
        <v>0</v>
      </c>
      <c r="X74" s="238">
        <f t="shared" si="51"/>
        <v>0</v>
      </c>
      <c r="Y74" s="238">
        <f t="shared" si="51"/>
        <v>0</v>
      </c>
      <c r="Z74" s="238">
        <f t="shared" si="51"/>
        <v>0</v>
      </c>
      <c r="AA74" s="238"/>
      <c r="AB74" s="238">
        <f t="shared" si="46"/>
        <v>0</v>
      </c>
    </row>
    <row r="75" spans="2:28" x14ac:dyDescent="0.3">
      <c r="B75" s="70">
        <f t="shared" si="52"/>
        <v>6</v>
      </c>
      <c r="C75" s="304" t="s">
        <v>251</v>
      </c>
      <c r="D75" s="238">
        <f t="shared" si="47"/>
        <v>0</v>
      </c>
      <c r="E75" s="238">
        <f t="shared" si="47"/>
        <v>232.99513617804683</v>
      </c>
      <c r="F75" s="238">
        <f t="shared" si="47"/>
        <v>0</v>
      </c>
      <c r="G75" s="238"/>
      <c r="H75" s="238">
        <f t="shared" si="38"/>
        <v>232.99513617804683</v>
      </c>
      <c r="I75" s="238">
        <f t="shared" si="48"/>
        <v>232.99513617804683</v>
      </c>
      <c r="J75" s="238">
        <f t="shared" si="48"/>
        <v>705.69310332923465</v>
      </c>
      <c r="K75" s="238">
        <f t="shared" si="48"/>
        <v>0</v>
      </c>
      <c r="L75" s="238"/>
      <c r="M75" s="238">
        <f t="shared" si="40"/>
        <v>938.68823950728142</v>
      </c>
      <c r="N75" s="238">
        <f t="shared" si="49"/>
        <v>938.68823950728142</v>
      </c>
      <c r="O75" s="238">
        <f t="shared" si="49"/>
        <v>93.219595243807333</v>
      </c>
      <c r="P75" s="238">
        <f t="shared" si="49"/>
        <v>0</v>
      </c>
      <c r="Q75" s="238"/>
      <c r="R75" s="238">
        <f t="shared" si="42"/>
        <v>1031.9078347510888</v>
      </c>
      <c r="S75" s="238">
        <f t="shared" si="50"/>
        <v>1031.9078347510888</v>
      </c>
      <c r="T75" s="238">
        <f t="shared" si="50"/>
        <v>-28.326940756192656</v>
      </c>
      <c r="U75" s="238">
        <f t="shared" si="50"/>
        <v>0</v>
      </c>
      <c r="V75" s="238"/>
      <c r="W75" s="238">
        <f t="shared" si="44"/>
        <v>1003.5808939948961</v>
      </c>
      <c r="X75" s="238">
        <f t="shared" si="51"/>
        <v>1003.5808939948961</v>
      </c>
      <c r="Y75" s="238">
        <f t="shared" si="51"/>
        <v>-23.000065756192654</v>
      </c>
      <c r="Z75" s="238">
        <f t="shared" si="51"/>
        <v>0</v>
      </c>
      <c r="AA75" s="238"/>
      <c r="AB75" s="238">
        <f t="shared" si="46"/>
        <v>980.58082823870348</v>
      </c>
    </row>
    <row r="76" spans="2:28" x14ac:dyDescent="0.3">
      <c r="B76" s="70">
        <f t="shared" si="52"/>
        <v>7</v>
      </c>
      <c r="C76" s="304" t="s">
        <v>760</v>
      </c>
      <c r="D76" s="238">
        <f t="shared" si="47"/>
        <v>0</v>
      </c>
      <c r="E76" s="238">
        <f t="shared" si="47"/>
        <v>0</v>
      </c>
      <c r="F76" s="238">
        <f t="shared" si="47"/>
        <v>0</v>
      </c>
      <c r="G76" s="238"/>
      <c r="H76" s="238">
        <f t="shared" si="38"/>
        <v>0</v>
      </c>
      <c r="I76" s="238">
        <f t="shared" si="48"/>
        <v>0</v>
      </c>
      <c r="J76" s="238">
        <f t="shared" si="48"/>
        <v>0</v>
      </c>
      <c r="K76" s="238">
        <f t="shared" si="48"/>
        <v>0</v>
      </c>
      <c r="L76" s="238"/>
      <c r="M76" s="238">
        <f t="shared" si="40"/>
        <v>0</v>
      </c>
      <c r="N76" s="238">
        <f t="shared" si="49"/>
        <v>0</v>
      </c>
      <c r="O76" s="238">
        <f t="shared" si="49"/>
        <v>0</v>
      </c>
      <c r="P76" s="238">
        <f t="shared" si="49"/>
        <v>0</v>
      </c>
      <c r="Q76" s="238"/>
      <c r="R76" s="238">
        <f t="shared" si="42"/>
        <v>0</v>
      </c>
      <c r="S76" s="238">
        <f t="shared" si="50"/>
        <v>0</v>
      </c>
      <c r="T76" s="238">
        <f t="shared" si="50"/>
        <v>0</v>
      </c>
      <c r="U76" s="238">
        <f t="shared" si="50"/>
        <v>0</v>
      </c>
      <c r="V76" s="238"/>
      <c r="W76" s="238">
        <f t="shared" si="44"/>
        <v>0</v>
      </c>
      <c r="X76" s="238">
        <f t="shared" si="51"/>
        <v>0</v>
      </c>
      <c r="Y76" s="238">
        <f t="shared" si="51"/>
        <v>0</v>
      </c>
      <c r="Z76" s="238">
        <f t="shared" si="51"/>
        <v>0</v>
      </c>
      <c r="AA76" s="238"/>
      <c r="AB76" s="238">
        <f t="shared" si="46"/>
        <v>0</v>
      </c>
    </row>
    <row r="77" spans="2:28" x14ac:dyDescent="0.3">
      <c r="B77" s="70">
        <f t="shared" si="52"/>
        <v>8</v>
      </c>
      <c r="C77" s="304" t="s">
        <v>761</v>
      </c>
      <c r="D77" s="238">
        <f t="shared" si="47"/>
        <v>0</v>
      </c>
      <c r="E77" s="238">
        <f t="shared" si="47"/>
        <v>0</v>
      </c>
      <c r="F77" s="238">
        <f t="shared" si="47"/>
        <v>0</v>
      </c>
      <c r="G77" s="238"/>
      <c r="H77" s="238">
        <f t="shared" si="38"/>
        <v>0</v>
      </c>
      <c r="I77" s="238">
        <f t="shared" si="48"/>
        <v>0</v>
      </c>
      <c r="J77" s="238">
        <f t="shared" si="48"/>
        <v>0</v>
      </c>
      <c r="K77" s="238">
        <f t="shared" si="48"/>
        <v>0</v>
      </c>
      <c r="L77" s="238"/>
      <c r="M77" s="238">
        <f t="shared" si="40"/>
        <v>0</v>
      </c>
      <c r="N77" s="238">
        <f t="shared" si="49"/>
        <v>0</v>
      </c>
      <c r="O77" s="238">
        <f t="shared" si="49"/>
        <v>0</v>
      </c>
      <c r="P77" s="238">
        <f t="shared" si="49"/>
        <v>0</v>
      </c>
      <c r="Q77" s="238"/>
      <c r="R77" s="238">
        <f t="shared" si="42"/>
        <v>0</v>
      </c>
      <c r="S77" s="238">
        <f t="shared" si="50"/>
        <v>0</v>
      </c>
      <c r="T77" s="238">
        <f t="shared" si="50"/>
        <v>0</v>
      </c>
      <c r="U77" s="238">
        <f t="shared" si="50"/>
        <v>0</v>
      </c>
      <c r="V77" s="238"/>
      <c r="W77" s="238">
        <f t="shared" si="44"/>
        <v>0</v>
      </c>
      <c r="X77" s="238">
        <f t="shared" si="51"/>
        <v>0</v>
      </c>
      <c r="Y77" s="238">
        <f t="shared" si="51"/>
        <v>0</v>
      </c>
      <c r="Z77" s="238">
        <f t="shared" si="51"/>
        <v>0</v>
      </c>
      <c r="AA77" s="238"/>
      <c r="AB77" s="238">
        <f t="shared" si="46"/>
        <v>0</v>
      </c>
    </row>
    <row r="78" spans="2:28" x14ac:dyDescent="0.3">
      <c r="B78" s="70">
        <f t="shared" si="52"/>
        <v>9</v>
      </c>
      <c r="C78" s="304" t="s">
        <v>762</v>
      </c>
      <c r="D78" s="238">
        <f t="shared" si="47"/>
        <v>0</v>
      </c>
      <c r="E78" s="238">
        <f t="shared" si="47"/>
        <v>0</v>
      </c>
      <c r="F78" s="238">
        <f t="shared" si="47"/>
        <v>0</v>
      </c>
      <c r="G78" s="238"/>
      <c r="H78" s="238">
        <f t="shared" si="38"/>
        <v>0</v>
      </c>
      <c r="I78" s="238">
        <f t="shared" si="48"/>
        <v>0</v>
      </c>
      <c r="J78" s="238">
        <f t="shared" si="48"/>
        <v>0</v>
      </c>
      <c r="K78" s="238">
        <f t="shared" si="48"/>
        <v>0</v>
      </c>
      <c r="L78" s="238"/>
      <c r="M78" s="238">
        <f t="shared" si="40"/>
        <v>0</v>
      </c>
      <c r="N78" s="238">
        <f t="shared" si="49"/>
        <v>0</v>
      </c>
      <c r="O78" s="238">
        <f t="shared" si="49"/>
        <v>0</v>
      </c>
      <c r="P78" s="238">
        <f t="shared" si="49"/>
        <v>0</v>
      </c>
      <c r="Q78" s="238"/>
      <c r="R78" s="238">
        <f t="shared" si="42"/>
        <v>0</v>
      </c>
      <c r="S78" s="238">
        <f t="shared" si="50"/>
        <v>0</v>
      </c>
      <c r="T78" s="238">
        <f t="shared" si="50"/>
        <v>0</v>
      </c>
      <c r="U78" s="238">
        <f t="shared" si="50"/>
        <v>0</v>
      </c>
      <c r="V78" s="238"/>
      <c r="W78" s="238">
        <f t="shared" si="44"/>
        <v>0</v>
      </c>
      <c r="X78" s="238">
        <f t="shared" si="51"/>
        <v>0</v>
      </c>
      <c r="Y78" s="238">
        <f t="shared" si="51"/>
        <v>0</v>
      </c>
      <c r="Z78" s="238">
        <f t="shared" si="51"/>
        <v>0</v>
      </c>
      <c r="AA78" s="238"/>
      <c r="AB78" s="238">
        <f t="shared" si="46"/>
        <v>0</v>
      </c>
    </row>
    <row r="79" spans="2:28" x14ac:dyDescent="0.3">
      <c r="B79" s="70">
        <f t="shared" si="52"/>
        <v>10</v>
      </c>
      <c r="C79" s="304" t="s">
        <v>254</v>
      </c>
      <c r="D79" s="238">
        <f t="shared" si="47"/>
        <v>0</v>
      </c>
      <c r="E79" s="238">
        <f t="shared" si="47"/>
        <v>0</v>
      </c>
      <c r="F79" s="238">
        <f t="shared" si="47"/>
        <v>0</v>
      </c>
      <c r="G79" s="238"/>
      <c r="H79" s="238">
        <f t="shared" si="38"/>
        <v>0</v>
      </c>
      <c r="I79" s="238">
        <f t="shared" si="48"/>
        <v>0</v>
      </c>
      <c r="J79" s="238">
        <f t="shared" si="48"/>
        <v>0</v>
      </c>
      <c r="K79" s="238">
        <f t="shared" si="48"/>
        <v>0</v>
      </c>
      <c r="L79" s="238"/>
      <c r="M79" s="238">
        <f t="shared" si="40"/>
        <v>0</v>
      </c>
      <c r="N79" s="238">
        <f t="shared" si="49"/>
        <v>0</v>
      </c>
      <c r="O79" s="238">
        <f t="shared" si="49"/>
        <v>0</v>
      </c>
      <c r="P79" s="238">
        <f t="shared" si="49"/>
        <v>0</v>
      </c>
      <c r="Q79" s="238"/>
      <c r="R79" s="238">
        <f t="shared" si="42"/>
        <v>0</v>
      </c>
      <c r="S79" s="238">
        <f t="shared" si="50"/>
        <v>0</v>
      </c>
      <c r="T79" s="238">
        <f t="shared" si="50"/>
        <v>0</v>
      </c>
      <c r="U79" s="238">
        <f t="shared" si="50"/>
        <v>0</v>
      </c>
      <c r="V79" s="238"/>
      <c r="W79" s="238">
        <f t="shared" si="44"/>
        <v>0</v>
      </c>
      <c r="X79" s="238">
        <f t="shared" si="51"/>
        <v>0</v>
      </c>
      <c r="Y79" s="238">
        <f t="shared" si="51"/>
        <v>0</v>
      </c>
      <c r="Z79" s="238">
        <f t="shared" si="51"/>
        <v>0</v>
      </c>
      <c r="AA79" s="238"/>
      <c r="AB79" s="238">
        <f t="shared" si="46"/>
        <v>0</v>
      </c>
    </row>
    <row r="80" spans="2:28" x14ac:dyDescent="0.3">
      <c r="B80" s="70">
        <f t="shared" si="52"/>
        <v>11</v>
      </c>
      <c r="C80" s="304" t="s">
        <v>255</v>
      </c>
      <c r="D80" s="238">
        <f t="shared" si="47"/>
        <v>0</v>
      </c>
      <c r="E80" s="238">
        <f t="shared" si="47"/>
        <v>0</v>
      </c>
      <c r="F80" s="238">
        <f t="shared" si="47"/>
        <v>0</v>
      </c>
      <c r="G80" s="238"/>
      <c r="H80" s="238">
        <f t="shared" si="38"/>
        <v>0</v>
      </c>
      <c r="I80" s="238">
        <f t="shared" si="48"/>
        <v>0</v>
      </c>
      <c r="J80" s="238">
        <f t="shared" si="48"/>
        <v>0</v>
      </c>
      <c r="K80" s="238">
        <f t="shared" si="48"/>
        <v>0</v>
      </c>
      <c r="L80" s="238"/>
      <c r="M80" s="238">
        <f t="shared" si="40"/>
        <v>0</v>
      </c>
      <c r="N80" s="238">
        <f t="shared" si="49"/>
        <v>0</v>
      </c>
      <c r="O80" s="238">
        <f t="shared" si="49"/>
        <v>0</v>
      </c>
      <c r="P80" s="238">
        <f t="shared" si="49"/>
        <v>0</v>
      </c>
      <c r="Q80" s="238"/>
      <c r="R80" s="238">
        <f t="shared" si="42"/>
        <v>0</v>
      </c>
      <c r="S80" s="238">
        <f t="shared" si="50"/>
        <v>0</v>
      </c>
      <c r="T80" s="238">
        <f t="shared" si="50"/>
        <v>0</v>
      </c>
      <c r="U80" s="238">
        <f t="shared" si="50"/>
        <v>0</v>
      </c>
      <c r="V80" s="238"/>
      <c r="W80" s="238">
        <f t="shared" si="44"/>
        <v>0</v>
      </c>
      <c r="X80" s="238">
        <f t="shared" si="51"/>
        <v>0</v>
      </c>
      <c r="Y80" s="238">
        <f t="shared" si="51"/>
        <v>0</v>
      </c>
      <c r="Z80" s="238">
        <f t="shared" si="51"/>
        <v>0</v>
      </c>
      <c r="AA80" s="238"/>
      <c r="AB80" s="238">
        <f t="shared" si="46"/>
        <v>0</v>
      </c>
    </row>
    <row r="81" spans="2:28" x14ac:dyDescent="0.3">
      <c r="B81" s="70">
        <f t="shared" si="52"/>
        <v>12</v>
      </c>
      <c r="C81" s="304" t="s">
        <v>256</v>
      </c>
      <c r="D81" s="238">
        <f t="shared" si="47"/>
        <v>0</v>
      </c>
      <c r="E81" s="238">
        <f t="shared" si="47"/>
        <v>0</v>
      </c>
      <c r="F81" s="238">
        <f t="shared" si="47"/>
        <v>0</v>
      </c>
      <c r="G81" s="238"/>
      <c r="H81" s="238">
        <f t="shared" si="38"/>
        <v>0</v>
      </c>
      <c r="I81" s="238">
        <f t="shared" si="48"/>
        <v>0</v>
      </c>
      <c r="J81" s="238">
        <f t="shared" si="48"/>
        <v>0</v>
      </c>
      <c r="K81" s="238">
        <f t="shared" si="48"/>
        <v>0</v>
      </c>
      <c r="L81" s="238"/>
      <c r="M81" s="238">
        <f t="shared" si="40"/>
        <v>0</v>
      </c>
      <c r="N81" s="238">
        <f t="shared" si="49"/>
        <v>0</v>
      </c>
      <c r="O81" s="238">
        <f t="shared" si="49"/>
        <v>0</v>
      </c>
      <c r="P81" s="238">
        <f t="shared" si="49"/>
        <v>0</v>
      </c>
      <c r="Q81" s="238"/>
      <c r="R81" s="238">
        <f t="shared" si="42"/>
        <v>0</v>
      </c>
      <c r="S81" s="238">
        <f t="shared" si="50"/>
        <v>0</v>
      </c>
      <c r="T81" s="238">
        <f t="shared" si="50"/>
        <v>0</v>
      </c>
      <c r="U81" s="238">
        <f t="shared" si="50"/>
        <v>0</v>
      </c>
      <c r="V81" s="238"/>
      <c r="W81" s="238">
        <f t="shared" si="44"/>
        <v>0</v>
      </c>
      <c r="X81" s="238">
        <f t="shared" si="51"/>
        <v>0</v>
      </c>
      <c r="Y81" s="238">
        <f t="shared" si="51"/>
        <v>0</v>
      </c>
      <c r="Z81" s="238">
        <f t="shared" si="51"/>
        <v>0</v>
      </c>
      <c r="AA81" s="238"/>
      <c r="AB81" s="238">
        <f t="shared" si="46"/>
        <v>0</v>
      </c>
    </row>
    <row r="82" spans="2:28" x14ac:dyDescent="0.3">
      <c r="B82" s="70">
        <f t="shared" si="52"/>
        <v>13</v>
      </c>
      <c r="C82" s="304" t="s">
        <v>810</v>
      </c>
      <c r="D82" s="238">
        <f t="shared" si="47"/>
        <v>0</v>
      </c>
      <c r="E82" s="238">
        <f t="shared" si="47"/>
        <v>0</v>
      </c>
      <c r="F82" s="238">
        <f t="shared" si="47"/>
        <v>0</v>
      </c>
      <c r="G82" s="238"/>
      <c r="H82" s="238">
        <f t="shared" si="38"/>
        <v>0</v>
      </c>
      <c r="I82" s="238">
        <f t="shared" si="48"/>
        <v>0</v>
      </c>
      <c r="J82" s="238">
        <f t="shared" si="48"/>
        <v>0</v>
      </c>
      <c r="K82" s="238">
        <f t="shared" si="48"/>
        <v>0</v>
      </c>
      <c r="L82" s="238"/>
      <c r="M82" s="238">
        <f t="shared" si="40"/>
        <v>0</v>
      </c>
      <c r="N82" s="238">
        <f t="shared" si="49"/>
        <v>0</v>
      </c>
      <c r="O82" s="238">
        <f t="shared" si="49"/>
        <v>0</v>
      </c>
      <c r="P82" s="238">
        <f t="shared" si="49"/>
        <v>0</v>
      </c>
      <c r="Q82" s="238"/>
      <c r="R82" s="238">
        <f t="shared" si="42"/>
        <v>0</v>
      </c>
      <c r="S82" s="238">
        <f t="shared" si="50"/>
        <v>0</v>
      </c>
      <c r="T82" s="238">
        <f t="shared" si="50"/>
        <v>0</v>
      </c>
      <c r="U82" s="238">
        <f t="shared" si="50"/>
        <v>0</v>
      </c>
      <c r="V82" s="238"/>
      <c r="W82" s="238">
        <f t="shared" si="44"/>
        <v>0</v>
      </c>
      <c r="X82" s="238">
        <f t="shared" si="51"/>
        <v>0</v>
      </c>
      <c r="Y82" s="238">
        <f t="shared" si="51"/>
        <v>0</v>
      </c>
      <c r="Z82" s="238">
        <f t="shared" si="51"/>
        <v>0</v>
      </c>
      <c r="AA82" s="238"/>
      <c r="AB82" s="238">
        <f t="shared" si="46"/>
        <v>0</v>
      </c>
    </row>
    <row r="83" spans="2:28" x14ac:dyDescent="0.3">
      <c r="B83" s="70">
        <f t="shared" si="52"/>
        <v>14</v>
      </c>
      <c r="C83" s="304" t="s">
        <v>811</v>
      </c>
      <c r="D83" s="238">
        <f t="shared" si="47"/>
        <v>0</v>
      </c>
      <c r="E83" s="238">
        <f t="shared" si="47"/>
        <v>0</v>
      </c>
      <c r="F83" s="238">
        <f t="shared" si="47"/>
        <v>0</v>
      </c>
      <c r="G83" s="238"/>
      <c r="H83" s="238">
        <f t="shared" si="38"/>
        <v>0</v>
      </c>
      <c r="I83" s="238">
        <f t="shared" si="48"/>
        <v>0</v>
      </c>
      <c r="J83" s="238">
        <f t="shared" si="48"/>
        <v>0</v>
      </c>
      <c r="K83" s="238">
        <f t="shared" si="48"/>
        <v>0</v>
      </c>
      <c r="L83" s="238"/>
      <c r="M83" s="238">
        <f t="shared" si="40"/>
        <v>0</v>
      </c>
      <c r="N83" s="238">
        <f t="shared" si="49"/>
        <v>0</v>
      </c>
      <c r="O83" s="238">
        <f t="shared" si="49"/>
        <v>0</v>
      </c>
      <c r="P83" s="238">
        <f t="shared" si="49"/>
        <v>0</v>
      </c>
      <c r="Q83" s="238"/>
      <c r="R83" s="238">
        <f t="shared" si="42"/>
        <v>0</v>
      </c>
      <c r="S83" s="238">
        <f t="shared" si="50"/>
        <v>0</v>
      </c>
      <c r="T83" s="238">
        <f t="shared" si="50"/>
        <v>0</v>
      </c>
      <c r="U83" s="238">
        <f t="shared" si="50"/>
        <v>0</v>
      </c>
      <c r="V83" s="238"/>
      <c r="W83" s="238">
        <f t="shared" si="44"/>
        <v>0</v>
      </c>
      <c r="X83" s="238">
        <f t="shared" si="51"/>
        <v>0</v>
      </c>
      <c r="Y83" s="238">
        <f t="shared" si="51"/>
        <v>0</v>
      </c>
      <c r="Z83" s="238">
        <f t="shared" si="51"/>
        <v>0</v>
      </c>
      <c r="AA83" s="238"/>
      <c r="AB83" s="238">
        <f t="shared" si="46"/>
        <v>0</v>
      </c>
    </row>
    <row r="84" spans="2:28" x14ac:dyDescent="0.3">
      <c r="B84" s="70">
        <f t="shared" si="52"/>
        <v>15</v>
      </c>
      <c r="C84" s="304" t="s">
        <v>812</v>
      </c>
      <c r="D84" s="238">
        <f t="shared" si="47"/>
        <v>0</v>
      </c>
      <c r="E84" s="238">
        <f t="shared" si="47"/>
        <v>0</v>
      </c>
      <c r="F84" s="238">
        <f t="shared" si="47"/>
        <v>0</v>
      </c>
      <c r="G84" s="238"/>
      <c r="H84" s="238">
        <f t="shared" si="38"/>
        <v>0</v>
      </c>
      <c r="I84" s="238">
        <f t="shared" si="48"/>
        <v>0</v>
      </c>
      <c r="J84" s="238">
        <f t="shared" si="48"/>
        <v>0</v>
      </c>
      <c r="K84" s="238">
        <f t="shared" si="48"/>
        <v>0</v>
      </c>
      <c r="L84" s="238"/>
      <c r="M84" s="238">
        <f t="shared" si="40"/>
        <v>0</v>
      </c>
      <c r="N84" s="238">
        <f t="shared" si="49"/>
        <v>0</v>
      </c>
      <c r="O84" s="238">
        <f t="shared" si="49"/>
        <v>0</v>
      </c>
      <c r="P84" s="238">
        <f t="shared" si="49"/>
        <v>0</v>
      </c>
      <c r="Q84" s="238"/>
      <c r="R84" s="238">
        <f t="shared" si="42"/>
        <v>0</v>
      </c>
      <c r="S84" s="238">
        <f t="shared" si="50"/>
        <v>0</v>
      </c>
      <c r="T84" s="238">
        <f t="shared" si="50"/>
        <v>0</v>
      </c>
      <c r="U84" s="238">
        <f t="shared" si="50"/>
        <v>0</v>
      </c>
      <c r="V84" s="238"/>
      <c r="W84" s="238">
        <f t="shared" si="44"/>
        <v>0</v>
      </c>
      <c r="X84" s="238">
        <f t="shared" si="51"/>
        <v>0</v>
      </c>
      <c r="Y84" s="238">
        <f t="shared" si="51"/>
        <v>0</v>
      </c>
      <c r="Z84" s="238">
        <f t="shared" si="51"/>
        <v>0</v>
      </c>
      <c r="AA84" s="238"/>
      <c r="AB84" s="238">
        <f t="shared" si="46"/>
        <v>0</v>
      </c>
    </row>
    <row r="85" spans="2:28" x14ac:dyDescent="0.3">
      <c r="B85" s="70">
        <f t="shared" si="52"/>
        <v>16</v>
      </c>
      <c r="C85" s="304" t="s">
        <v>763</v>
      </c>
      <c r="D85" s="238">
        <f t="shared" si="47"/>
        <v>0</v>
      </c>
      <c r="E85" s="238">
        <f t="shared" si="47"/>
        <v>0</v>
      </c>
      <c r="F85" s="238">
        <f t="shared" si="47"/>
        <v>0</v>
      </c>
      <c r="G85" s="238"/>
      <c r="H85" s="238">
        <f t="shared" si="38"/>
        <v>0</v>
      </c>
      <c r="I85" s="238">
        <f t="shared" si="48"/>
        <v>0</v>
      </c>
      <c r="J85" s="238">
        <f t="shared" si="48"/>
        <v>0</v>
      </c>
      <c r="K85" s="238">
        <f t="shared" si="48"/>
        <v>0</v>
      </c>
      <c r="L85" s="238"/>
      <c r="M85" s="238">
        <f t="shared" si="40"/>
        <v>0</v>
      </c>
      <c r="N85" s="238">
        <f t="shared" si="49"/>
        <v>0</v>
      </c>
      <c r="O85" s="238">
        <f t="shared" si="49"/>
        <v>0</v>
      </c>
      <c r="P85" s="238">
        <f t="shared" si="49"/>
        <v>0</v>
      </c>
      <c r="Q85" s="238"/>
      <c r="R85" s="238">
        <f t="shared" si="42"/>
        <v>0</v>
      </c>
      <c r="S85" s="238">
        <f t="shared" si="50"/>
        <v>0</v>
      </c>
      <c r="T85" s="238">
        <f t="shared" si="50"/>
        <v>0</v>
      </c>
      <c r="U85" s="238">
        <f t="shared" si="50"/>
        <v>0</v>
      </c>
      <c r="V85" s="238"/>
      <c r="W85" s="238">
        <f t="shared" si="44"/>
        <v>0</v>
      </c>
      <c r="X85" s="238">
        <f t="shared" si="51"/>
        <v>0</v>
      </c>
      <c r="Y85" s="238">
        <f t="shared" si="51"/>
        <v>0</v>
      </c>
      <c r="Z85" s="238">
        <f t="shared" si="51"/>
        <v>0</v>
      </c>
      <c r="AA85" s="238"/>
      <c r="AB85" s="238">
        <f t="shared" si="46"/>
        <v>0</v>
      </c>
    </row>
    <row r="86" spans="2:28" x14ac:dyDescent="0.3">
      <c r="B86" s="70">
        <f t="shared" si="52"/>
        <v>17</v>
      </c>
      <c r="C86" s="304" t="s">
        <v>813</v>
      </c>
      <c r="D86" s="238">
        <f t="shared" si="47"/>
        <v>0</v>
      </c>
      <c r="E86" s="238">
        <f t="shared" si="47"/>
        <v>0</v>
      </c>
      <c r="F86" s="238">
        <f t="shared" si="47"/>
        <v>0</v>
      </c>
      <c r="G86" s="238"/>
      <c r="H86" s="238">
        <f t="shared" si="38"/>
        <v>0</v>
      </c>
      <c r="I86" s="238">
        <f t="shared" si="48"/>
        <v>0</v>
      </c>
      <c r="J86" s="238">
        <f t="shared" si="48"/>
        <v>0</v>
      </c>
      <c r="K86" s="238">
        <f t="shared" si="48"/>
        <v>0</v>
      </c>
      <c r="L86" s="238"/>
      <c r="M86" s="238">
        <f t="shared" si="40"/>
        <v>0</v>
      </c>
      <c r="N86" s="238">
        <f t="shared" si="49"/>
        <v>0</v>
      </c>
      <c r="O86" s="238">
        <f t="shared" si="49"/>
        <v>0</v>
      </c>
      <c r="P86" s="238">
        <f t="shared" si="49"/>
        <v>0</v>
      </c>
      <c r="Q86" s="238"/>
      <c r="R86" s="238">
        <f t="shared" si="42"/>
        <v>0</v>
      </c>
      <c r="S86" s="238">
        <f t="shared" si="50"/>
        <v>0</v>
      </c>
      <c r="T86" s="238">
        <f t="shared" si="50"/>
        <v>0</v>
      </c>
      <c r="U86" s="238">
        <f t="shared" si="50"/>
        <v>0</v>
      </c>
      <c r="V86" s="238"/>
      <c r="W86" s="238">
        <f t="shared" si="44"/>
        <v>0</v>
      </c>
      <c r="X86" s="238">
        <f t="shared" si="51"/>
        <v>0</v>
      </c>
      <c r="Y86" s="238">
        <f t="shared" si="51"/>
        <v>0</v>
      </c>
      <c r="Z86" s="238">
        <f t="shared" si="51"/>
        <v>0</v>
      </c>
      <c r="AA86" s="238"/>
      <c r="AB86" s="238">
        <f t="shared" si="46"/>
        <v>0</v>
      </c>
    </row>
    <row r="87" spans="2:28" ht="16" x14ac:dyDescent="0.3">
      <c r="B87" s="61"/>
      <c r="C87" s="71" t="s">
        <v>267</v>
      </c>
      <c r="D87" s="237">
        <f>SUM(D70:D86)</f>
        <v>0</v>
      </c>
      <c r="E87" s="237">
        <f t="shared" ref="E87:AB87" si="53">SUM(E70:E86)</f>
        <v>232.99513617804683</v>
      </c>
      <c r="F87" s="237">
        <f t="shared" si="53"/>
        <v>0</v>
      </c>
      <c r="G87" s="237">
        <f t="shared" si="53"/>
        <v>0</v>
      </c>
      <c r="H87" s="237">
        <f t="shared" si="53"/>
        <v>232.99513617804683</v>
      </c>
      <c r="I87" s="237">
        <f t="shared" si="53"/>
        <v>232.99513617804683</v>
      </c>
      <c r="J87" s="237">
        <f t="shared" si="53"/>
        <v>705.69310332923465</v>
      </c>
      <c r="K87" s="237">
        <f t="shared" si="53"/>
        <v>0</v>
      </c>
      <c r="L87" s="237">
        <f t="shared" si="53"/>
        <v>0</v>
      </c>
      <c r="M87" s="237">
        <f t="shared" si="53"/>
        <v>938.68823950728142</v>
      </c>
      <c r="N87" s="237">
        <f t="shared" si="53"/>
        <v>938.68823950728142</v>
      </c>
      <c r="O87" s="237">
        <f t="shared" si="53"/>
        <v>93.219595243807333</v>
      </c>
      <c r="P87" s="237">
        <f t="shared" si="53"/>
        <v>0</v>
      </c>
      <c r="Q87" s="237">
        <f t="shared" si="53"/>
        <v>0</v>
      </c>
      <c r="R87" s="237">
        <f t="shared" si="53"/>
        <v>1031.9078347510888</v>
      </c>
      <c r="S87" s="237">
        <f t="shared" si="53"/>
        <v>1031.9078347510888</v>
      </c>
      <c r="T87" s="237">
        <f t="shared" si="53"/>
        <v>-28.326940756192656</v>
      </c>
      <c r="U87" s="237">
        <f t="shared" si="53"/>
        <v>0</v>
      </c>
      <c r="V87" s="237">
        <f t="shared" si="53"/>
        <v>0</v>
      </c>
      <c r="W87" s="237">
        <f t="shared" si="53"/>
        <v>1003.5808939948961</v>
      </c>
      <c r="X87" s="237">
        <f t="shared" si="53"/>
        <v>1003.5808939948961</v>
      </c>
      <c r="Y87" s="237">
        <f t="shared" si="53"/>
        <v>-23.000065756192654</v>
      </c>
      <c r="Z87" s="237">
        <f t="shared" si="53"/>
        <v>0</v>
      </c>
      <c r="AA87" s="237">
        <f t="shared" si="53"/>
        <v>0</v>
      </c>
      <c r="AB87" s="237">
        <f t="shared" si="53"/>
        <v>980.58082823870348</v>
      </c>
    </row>
    <row r="88" spans="2:28" x14ac:dyDescent="0.3">
      <c r="B88" s="18"/>
      <c r="C88" s="58"/>
      <c r="D88" s="58"/>
      <c r="E88" s="58"/>
      <c r="F88" s="58"/>
      <c r="G88" s="58"/>
      <c r="H88" s="58"/>
      <c r="I88" s="58"/>
      <c r="J88" s="58"/>
      <c r="K88" s="58"/>
    </row>
  </sheetData>
  <mergeCells count="36">
    <mergeCell ref="B12:B14"/>
    <mergeCell ref="C12:C14"/>
    <mergeCell ref="D12:H12"/>
    <mergeCell ref="I12:M12"/>
    <mergeCell ref="N12:R12"/>
    <mergeCell ref="X12:AB12"/>
    <mergeCell ref="D13:H13"/>
    <mergeCell ref="I13:M13"/>
    <mergeCell ref="N13:R13"/>
    <mergeCell ref="S13:W13"/>
    <mergeCell ref="X13:AB13"/>
    <mergeCell ref="S12:W12"/>
    <mergeCell ref="B40:B42"/>
    <mergeCell ref="C40:C42"/>
    <mergeCell ref="D40:H40"/>
    <mergeCell ref="I40:M40"/>
    <mergeCell ref="N40:R40"/>
    <mergeCell ref="X40:AB40"/>
    <mergeCell ref="D41:H41"/>
    <mergeCell ref="I41:M41"/>
    <mergeCell ref="N41:R41"/>
    <mergeCell ref="S41:W41"/>
    <mergeCell ref="X41:AB41"/>
    <mergeCell ref="S40:W40"/>
    <mergeCell ref="B66:B68"/>
    <mergeCell ref="C66:C68"/>
    <mergeCell ref="D66:H66"/>
    <mergeCell ref="I66:M66"/>
    <mergeCell ref="N66:R66"/>
    <mergeCell ref="X66:AB66"/>
    <mergeCell ref="D67:H67"/>
    <mergeCell ref="I67:M67"/>
    <mergeCell ref="N67:R67"/>
    <mergeCell ref="S67:W67"/>
    <mergeCell ref="X67:AB67"/>
    <mergeCell ref="S66:W66"/>
  </mergeCells>
  <pageMargins left="0.27559055118110237" right="0.23622047244094491" top="0.23622047244094491" bottom="0.23622047244094491" header="0.23622047244094491" footer="0.23622047244094491"/>
  <pageSetup paperSize="9" scale="42" orientation="landscape" r:id="rId1"/>
  <headerFooter alignWithMargins="0">
    <oddHeader>&amp;F</oddHeader>
  </headerFooter>
  <rowBreaks count="2" manualBreakCount="2">
    <brk id="34" max="29" man="1"/>
    <brk id="63" max="29" man="1"/>
  </rowBreaks>
  <colBreaks count="1" manualBreakCount="1">
    <brk id="23" max="1048575"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fitToPage="1"/>
  </sheetPr>
  <dimension ref="A1:Q130"/>
  <sheetViews>
    <sheetView showGridLines="0" view="pageBreakPreview" zoomScale="55" zoomScaleNormal="75" zoomScaleSheetLayoutView="100" workbookViewId="0">
      <pane xSplit="3" ySplit="12" topLeftCell="D13" activePane="bottomRight" state="frozen"/>
      <selection pane="topRight" activeCell="D1" sqref="D1"/>
      <selection pane="bottomLeft" activeCell="A13" sqref="A13"/>
      <selection pane="bottomRight" activeCell="J22" sqref="J22"/>
    </sheetView>
  </sheetViews>
  <sheetFormatPr defaultColWidth="9.453125" defaultRowHeight="14" x14ac:dyDescent="0.25"/>
  <cols>
    <col min="1" max="1" width="6.54296875" style="10" customWidth="1"/>
    <col min="2" max="2" width="7" style="72" customWidth="1"/>
    <col min="3" max="3" width="41.81640625" style="292" customWidth="1"/>
    <col min="4" max="4" width="16.453125" style="292" customWidth="1"/>
    <col min="5" max="5" width="17.453125" style="292" customWidth="1"/>
    <col min="6" max="6" width="21.453125" style="292" customWidth="1"/>
    <col min="7" max="7" width="22.453125" style="292" customWidth="1"/>
    <col min="8" max="9" width="20.54296875" style="292" customWidth="1"/>
    <col min="10" max="12" width="18.54296875" style="10" customWidth="1"/>
    <col min="13" max="16" width="16.54296875" style="10" customWidth="1"/>
    <col min="17" max="19" width="18.54296875" style="10" customWidth="1"/>
    <col min="20" max="16384" width="9.453125" style="10"/>
  </cols>
  <sheetData>
    <row r="1" spans="2:16" x14ac:dyDescent="0.25">
      <c r="C1" s="10"/>
      <c r="D1" s="10"/>
      <c r="E1" s="10"/>
      <c r="F1" s="10"/>
      <c r="G1" s="10"/>
      <c r="H1" s="10"/>
      <c r="I1" s="10"/>
    </row>
    <row r="2" spans="2:16" x14ac:dyDescent="0.25">
      <c r="C2" s="11" t="str">
        <f>Index!B2</f>
        <v xml:space="preserve">      Maharashtra State Power Generation Company Ltd.</v>
      </c>
      <c r="D2" s="11"/>
      <c r="E2" s="11"/>
      <c r="F2" s="11"/>
      <c r="G2" s="11"/>
      <c r="H2" s="12"/>
      <c r="I2" s="12"/>
      <c r="J2" s="12"/>
      <c r="K2" s="12"/>
      <c r="L2" s="12"/>
      <c r="M2" s="12"/>
      <c r="N2" s="12"/>
      <c r="O2" s="12"/>
      <c r="P2" s="12"/>
    </row>
    <row r="3" spans="2:16" s="1" customFormat="1" x14ac:dyDescent="0.3">
      <c r="B3" s="39"/>
      <c r="C3" s="11" t="str">
        <f>Index!B3</f>
        <v>MYT Petition Formats for Bhusawal Unit 6</v>
      </c>
      <c r="D3" s="13"/>
      <c r="E3" s="13"/>
      <c r="F3" s="13"/>
      <c r="G3" s="13"/>
      <c r="H3" s="14"/>
      <c r="I3" s="14"/>
      <c r="J3" s="14"/>
      <c r="K3" s="14"/>
      <c r="L3" s="14"/>
      <c r="M3" s="14"/>
      <c r="N3" s="14"/>
      <c r="O3" s="14"/>
      <c r="P3" s="14"/>
    </row>
    <row r="4" spans="2:16" s="1" customFormat="1" x14ac:dyDescent="0.3">
      <c r="B4" s="39"/>
      <c r="C4" s="6" t="s">
        <v>50</v>
      </c>
      <c r="D4" s="6"/>
      <c r="E4" s="6"/>
      <c r="F4" s="6"/>
      <c r="G4" s="6"/>
      <c r="H4" s="14"/>
      <c r="I4" s="14"/>
      <c r="J4" s="15"/>
      <c r="K4" s="14"/>
      <c r="L4" s="14"/>
      <c r="M4" s="14"/>
      <c r="N4" s="14"/>
      <c r="O4" s="14"/>
      <c r="P4" s="14"/>
    </row>
    <row r="5" spans="2:16" s="1" customFormat="1" x14ac:dyDescent="0.3">
      <c r="B5" s="39"/>
      <c r="C5" s="6"/>
      <c r="D5" s="6"/>
      <c r="E5" s="6"/>
      <c r="F5" s="6"/>
      <c r="G5" s="6"/>
      <c r="H5" s="14"/>
      <c r="I5" s="14"/>
      <c r="J5" s="15"/>
      <c r="K5" s="14"/>
      <c r="L5" s="14"/>
      <c r="M5" s="14"/>
      <c r="N5" s="14"/>
      <c r="O5" s="14"/>
      <c r="P5" s="14"/>
    </row>
    <row r="6" spans="2:16" s="1" customFormat="1" x14ac:dyDescent="0.3">
      <c r="B6" s="39"/>
      <c r="C6" s="6"/>
      <c r="D6" s="6"/>
      <c r="E6" s="6"/>
      <c r="F6" s="6"/>
      <c r="G6" s="6"/>
      <c r="H6" s="14"/>
      <c r="I6" s="14"/>
      <c r="J6" s="15"/>
      <c r="K6" s="14"/>
      <c r="L6" s="14"/>
      <c r="M6" s="14"/>
      <c r="N6" s="14"/>
      <c r="O6" s="14"/>
      <c r="P6" s="14"/>
    </row>
    <row r="7" spans="2:16" s="1" customFormat="1" x14ac:dyDescent="0.3">
      <c r="B7" s="39"/>
      <c r="C7" s="6"/>
      <c r="D7" s="6"/>
      <c r="E7" s="6"/>
      <c r="F7" s="6"/>
      <c r="G7" s="6"/>
      <c r="H7" s="14"/>
      <c r="I7" s="14"/>
      <c r="J7" s="15"/>
      <c r="K7" s="14"/>
      <c r="L7" s="14"/>
      <c r="M7" s="14"/>
      <c r="N7" s="14"/>
      <c r="O7" s="14"/>
      <c r="P7" s="14"/>
    </row>
    <row r="8" spans="2:16" s="1" customFormat="1" ht="17.5" x14ac:dyDescent="0.3">
      <c r="B8" s="39"/>
      <c r="C8" s="75" t="s">
        <v>389</v>
      </c>
      <c r="D8" s="75"/>
      <c r="E8" s="75"/>
      <c r="F8" s="75"/>
      <c r="G8" s="75"/>
      <c r="H8" s="14"/>
      <c r="I8" s="14"/>
      <c r="J8" s="15"/>
      <c r="K8" s="14"/>
      <c r="L8" s="14"/>
      <c r="M8" s="14"/>
      <c r="N8" s="14"/>
      <c r="O8" s="14"/>
      <c r="P8" s="14"/>
    </row>
    <row r="9" spans="2:16" s="1" customFormat="1" x14ac:dyDescent="0.3">
      <c r="B9" s="39"/>
      <c r="C9" s="6"/>
      <c r="D9" s="54"/>
      <c r="E9" s="54"/>
      <c r="F9" s="54"/>
      <c r="G9" s="54"/>
      <c r="H9" s="39"/>
      <c r="I9" s="39"/>
      <c r="J9" s="205"/>
      <c r="K9" s="62" t="s">
        <v>10</v>
      </c>
      <c r="N9" s="39"/>
      <c r="O9" s="39"/>
      <c r="P9" s="39"/>
    </row>
    <row r="10" spans="2:16" ht="26.15" customHeight="1" x14ac:dyDescent="0.25">
      <c r="B10" s="1404" t="s">
        <v>330</v>
      </c>
      <c r="C10" s="1404" t="s">
        <v>24</v>
      </c>
      <c r="D10" s="1546" t="s">
        <v>477</v>
      </c>
      <c r="E10" s="1548"/>
      <c r="F10" s="1549"/>
      <c r="G10" s="1429" t="s">
        <v>848</v>
      </c>
      <c r="H10" s="1429"/>
      <c r="I10" s="1429"/>
      <c r="J10" s="1429"/>
      <c r="K10" s="1429"/>
      <c r="L10" s="1420" t="s">
        <v>25</v>
      </c>
    </row>
    <row r="11" spans="2:16" ht="49.5" customHeight="1" x14ac:dyDescent="0.25">
      <c r="B11" s="1404"/>
      <c r="C11" s="1404"/>
      <c r="D11" s="204" t="s">
        <v>1216</v>
      </c>
      <c r="E11" s="202" t="s">
        <v>77</v>
      </c>
      <c r="F11" s="202" t="s">
        <v>427</v>
      </c>
      <c r="G11" s="456" t="s">
        <v>849</v>
      </c>
      <c r="H11" s="456" t="s">
        <v>850</v>
      </c>
      <c r="I11" s="456" t="s">
        <v>851</v>
      </c>
      <c r="J11" s="456" t="s">
        <v>852</v>
      </c>
      <c r="K11" s="456" t="s">
        <v>853</v>
      </c>
      <c r="L11" s="1420"/>
    </row>
    <row r="12" spans="2:16" ht="26.15" customHeight="1" x14ac:dyDescent="0.25">
      <c r="B12" s="97"/>
      <c r="C12" s="97"/>
      <c r="D12" s="202" t="s">
        <v>78</v>
      </c>
      <c r="E12" s="202" t="s">
        <v>79</v>
      </c>
      <c r="F12" s="202" t="s">
        <v>627</v>
      </c>
      <c r="G12" s="97" t="s">
        <v>20</v>
      </c>
      <c r="H12" s="97" t="s">
        <v>20</v>
      </c>
      <c r="I12" s="97" t="s">
        <v>20</v>
      </c>
      <c r="J12" s="97" t="s">
        <v>20</v>
      </c>
      <c r="K12" s="97" t="s">
        <v>20</v>
      </c>
      <c r="L12" s="1421"/>
    </row>
    <row r="13" spans="2:16" x14ac:dyDescent="0.3">
      <c r="B13" s="73">
        <v>1</v>
      </c>
      <c r="C13" s="21" t="s">
        <v>383</v>
      </c>
      <c r="D13" s="241"/>
      <c r="E13" s="217"/>
      <c r="F13" s="217">
        <f t="shared" ref="F13:F18" si="0">E13-D13</f>
        <v>0</v>
      </c>
      <c r="G13" s="209"/>
      <c r="H13" s="210"/>
      <c r="I13" s="210"/>
      <c r="J13" s="210"/>
      <c r="K13" s="210"/>
      <c r="L13" s="19"/>
    </row>
    <row r="14" spans="2:16" x14ac:dyDescent="0.3">
      <c r="B14" s="73">
        <f>B13+1</f>
        <v>2</v>
      </c>
      <c r="C14" s="21" t="s">
        <v>384</v>
      </c>
      <c r="D14" s="241"/>
      <c r="E14" s="217"/>
      <c r="F14" s="217">
        <f t="shared" si="0"/>
        <v>0</v>
      </c>
      <c r="G14" s="209"/>
      <c r="H14" s="210"/>
      <c r="I14" s="210"/>
      <c r="J14" s="210"/>
      <c r="K14" s="210"/>
      <c r="L14" s="19"/>
    </row>
    <row r="15" spans="2:16" x14ac:dyDescent="0.3">
      <c r="B15" s="73">
        <f t="shared" ref="B15:B20" si="1">B14+1</f>
        <v>3</v>
      </c>
      <c r="C15" s="459" t="s">
        <v>385</v>
      </c>
      <c r="D15" s="460">
        <v>3978.71</v>
      </c>
      <c r="E15" s="460"/>
      <c r="F15" s="460">
        <f t="shared" si="0"/>
        <v>-3978.71</v>
      </c>
      <c r="G15" s="460">
        <f>E19</f>
        <v>4941.959289436345</v>
      </c>
      <c r="H15" s="460">
        <f>G19</f>
        <v>4826.087032496247</v>
      </c>
      <c r="I15" s="460">
        <f>H19</f>
        <v>5084.2831999014807</v>
      </c>
      <c r="J15" s="460">
        <f>I19</f>
        <v>4848.8368622739608</v>
      </c>
      <c r="K15" s="460">
        <f>J19</f>
        <v>4519.2459886464412</v>
      </c>
      <c r="L15" s="19"/>
    </row>
    <row r="16" spans="2:16" x14ac:dyDescent="0.3">
      <c r="B16" s="73">
        <f t="shared" si="1"/>
        <v>4</v>
      </c>
      <c r="C16" s="46" t="s">
        <v>386</v>
      </c>
      <c r="D16" s="241"/>
      <c r="E16" s="241">
        <f>IFERROR('F5'!$F$33*E15/'F5'!D33,0)</f>
        <v>0</v>
      </c>
      <c r="F16" s="241">
        <f t="shared" si="0"/>
        <v>0</v>
      </c>
      <c r="G16" s="218"/>
      <c r="H16" s="218"/>
      <c r="I16" s="218"/>
      <c r="J16" s="218"/>
      <c r="K16" s="218"/>
      <c r="L16" s="19"/>
    </row>
    <row r="17" spans="1:16" x14ac:dyDescent="0.3">
      <c r="B17" s="73">
        <f t="shared" si="1"/>
        <v>5</v>
      </c>
      <c r="C17" s="46" t="s">
        <v>441</v>
      </c>
      <c r="D17" s="241">
        <f>'F4'!D16*70%</f>
        <v>3481.373</v>
      </c>
      <c r="E17" s="241">
        <f>'F4'!E16-'F7'!E12</f>
        <v>4973.3237536804827</v>
      </c>
      <c r="F17" s="241">
        <f t="shared" si="0"/>
        <v>1491.9507536804826</v>
      </c>
      <c r="G17" s="218">
        <f>'F4'!G16-'F7'!D56</f>
        <v>190.41384098726886</v>
      </c>
      <c r="H17" s="218">
        <f>'F4'!H16-'F7'!E56</f>
        <v>584.93201221069614</v>
      </c>
      <c r="I17" s="218">
        <f>'F4'!I16-'F7'!F56</f>
        <v>109.60799999999999</v>
      </c>
      <c r="J17" s="218">
        <f>'F4'!J16-'F7'!G56</f>
        <v>18.75</v>
      </c>
      <c r="K17" s="218">
        <f>'F4'!K16-'F7'!H56</f>
        <v>25</v>
      </c>
      <c r="L17" s="19"/>
    </row>
    <row r="18" spans="1:16" x14ac:dyDescent="0.3">
      <c r="A18" s="407"/>
      <c r="B18" s="73">
        <f t="shared" si="1"/>
        <v>6</v>
      </c>
      <c r="C18" s="46" t="s">
        <v>393</v>
      </c>
      <c r="D18" s="241">
        <v>43.17</v>
      </c>
      <c r="E18" s="241">
        <f>IF((E15-E16+E17)&lt;'F5 (T)'!$E$85,(E15-E16+E17),'F5 (T)'!$E$85)</f>
        <v>31.364464244138148</v>
      </c>
      <c r="F18" s="241">
        <f t="shared" si="0"/>
        <v>-11.805535755861854</v>
      </c>
      <c r="G18" s="217">
        <f>IF((G15-G16+G17)&lt;'F5 (T)'!J85,(G15-G16+G17),'F5 (T)'!J85)</f>
        <v>306.28609792736614</v>
      </c>
      <c r="H18" s="217">
        <f>IF((H15-H16+H17)&lt;'F5 (T)'!E112,(H15-H16+H17),'F5 (T)'!E112)</f>
        <v>326.73584480546248</v>
      </c>
      <c r="I18" s="217">
        <f>IF((I15-I16+I17)&lt;'F5 (T)'!J112,(I15-I16+I17),'F5 (T)'!J112)</f>
        <v>345.0543376275196</v>
      </c>
      <c r="J18" s="217">
        <f>IF((J15-J16+J17)&lt;'F5 (T)'!O112,(J15-J16+J17),'F5 (T)'!O112)</f>
        <v>348.34087362751956</v>
      </c>
      <c r="K18" s="217">
        <f>IF((K15-K16+K17)&lt;'F5 (T)'!T112,(K15-K16+K17),'F5 (T)'!T112)</f>
        <v>348.21379814504479</v>
      </c>
      <c r="L18" s="19"/>
    </row>
    <row r="19" spans="1:16" x14ac:dyDescent="0.3">
      <c r="B19" s="73">
        <f t="shared" si="1"/>
        <v>7</v>
      </c>
      <c r="C19" s="459" t="s">
        <v>387</v>
      </c>
      <c r="D19" s="460">
        <f>D15-D16+D17-D18</f>
        <v>7416.9130000000005</v>
      </c>
      <c r="E19" s="460">
        <f>E15+E17-E18</f>
        <v>4941.959289436345</v>
      </c>
      <c r="F19" s="460">
        <f t="shared" ref="F19:F23" si="2">E19-D19</f>
        <v>-2474.9537105636555</v>
      </c>
      <c r="G19" s="460">
        <f t="shared" ref="G19:K19" si="3">G15+G17-G18</f>
        <v>4826.087032496247</v>
      </c>
      <c r="H19" s="460">
        <f t="shared" si="3"/>
        <v>5084.2831999014807</v>
      </c>
      <c r="I19" s="460">
        <f t="shared" si="3"/>
        <v>4848.8368622739608</v>
      </c>
      <c r="J19" s="460">
        <f t="shared" si="3"/>
        <v>4519.2459886464412</v>
      </c>
      <c r="K19" s="460">
        <f t="shared" si="3"/>
        <v>4196.0321905013961</v>
      </c>
      <c r="L19" s="19"/>
    </row>
    <row r="20" spans="1:16" x14ac:dyDescent="0.3">
      <c r="B20" s="73">
        <f t="shared" si="1"/>
        <v>8</v>
      </c>
      <c r="C20" s="46" t="s">
        <v>388</v>
      </c>
      <c r="D20" s="241"/>
      <c r="E20" s="241"/>
      <c r="F20" s="241">
        <f t="shared" si="2"/>
        <v>0</v>
      </c>
      <c r="G20" s="218"/>
      <c r="H20" s="218"/>
      <c r="I20" s="218"/>
      <c r="J20" s="218"/>
      <c r="K20" s="218"/>
      <c r="L20" s="19"/>
    </row>
    <row r="21" spans="1:16" x14ac:dyDescent="0.3">
      <c r="B21" s="73">
        <v>9</v>
      </c>
      <c r="C21" s="46" t="s">
        <v>445</v>
      </c>
      <c r="D21" s="241">
        <f>AVERAGE(D15,D19)</f>
        <v>5697.8114999999998</v>
      </c>
      <c r="E21" s="241">
        <f>AVERAGE(E15,E19)</f>
        <v>4941.959289436345</v>
      </c>
      <c r="F21" s="241">
        <f t="shared" si="2"/>
        <v>-755.85221056365481</v>
      </c>
      <c r="G21" s="241">
        <f>AVERAGE(G15,G19)</f>
        <v>4884.023160966296</v>
      </c>
      <c r="H21" s="241">
        <f t="shared" ref="H21:K21" si="4">AVERAGE(H15,H19)</f>
        <v>4955.1851161988634</v>
      </c>
      <c r="I21" s="241">
        <f t="shared" si="4"/>
        <v>4966.5600310877207</v>
      </c>
      <c r="J21" s="241">
        <f t="shared" si="4"/>
        <v>4684.041425460201</v>
      </c>
      <c r="K21" s="241">
        <f t="shared" si="4"/>
        <v>4357.6390895739187</v>
      </c>
      <c r="L21" s="19"/>
    </row>
    <row r="22" spans="1:16" ht="15.5" x14ac:dyDescent="0.35">
      <c r="B22" s="73">
        <v>10</v>
      </c>
      <c r="C22" s="46" t="s">
        <v>442</v>
      </c>
      <c r="D22" s="1219">
        <v>9.1999999999999998E-2</v>
      </c>
      <c r="E22" s="1219">
        <f>E122</f>
        <v>9.3265218041738984E-2</v>
      </c>
      <c r="F22" s="1219">
        <f>E22-D22</f>
        <v>1.2652180417389858E-3</v>
      </c>
      <c r="G22" s="1219">
        <f t="shared" ref="G22:K22" si="5">G122</f>
        <v>9.3234149428497504E-2</v>
      </c>
      <c r="H22" s="1219">
        <f t="shared" si="5"/>
        <v>9.3163212037244564E-2</v>
      </c>
      <c r="I22" s="1219">
        <f t="shared" si="5"/>
        <v>9.3078025017881746E-2</v>
      </c>
      <c r="J22" s="1219">
        <f t="shared" si="5"/>
        <v>9.2976753033955056E-2</v>
      </c>
      <c r="K22" s="1219">
        <f t="shared" si="5"/>
        <v>9.2927328672090886E-2</v>
      </c>
      <c r="L22" s="19"/>
    </row>
    <row r="23" spans="1:16" ht="15.5" x14ac:dyDescent="0.35">
      <c r="B23" s="73">
        <v>11</v>
      </c>
      <c r="C23" s="459" t="s">
        <v>31</v>
      </c>
      <c r="D23" s="461">
        <v>59.87</v>
      </c>
      <c r="E23" s="461">
        <f>E21*E22*38/365</f>
        <v>47.985453714908964</v>
      </c>
      <c r="F23" s="461">
        <f t="shared" si="2"/>
        <v>-11.884546285091034</v>
      </c>
      <c r="G23" s="461">
        <f>G21*G22</f>
        <v>455.35774520177438</v>
      </c>
      <c r="H23" s="461">
        <f t="shared" ref="H23:K23" si="6">H21*H22</f>
        <v>461.64096166423303</v>
      </c>
      <c r="I23" s="461">
        <f t="shared" si="6"/>
        <v>462.27759882639441</v>
      </c>
      <c r="J23" s="461">
        <f t="shared" si="6"/>
        <v>435.50696281582793</v>
      </c>
      <c r="K23" s="461">
        <f t="shared" si="6"/>
        <v>404.94375991118642</v>
      </c>
      <c r="L23" s="19"/>
    </row>
    <row r="24" spans="1:16" x14ac:dyDescent="0.3">
      <c r="B24" s="73">
        <v>12</v>
      </c>
      <c r="C24" s="21" t="s">
        <v>390</v>
      </c>
      <c r="D24" s="241"/>
      <c r="E24" s="241"/>
      <c r="F24" s="241"/>
      <c r="G24" s="339"/>
      <c r="H24" s="339"/>
      <c r="I24" s="339"/>
      <c r="J24" s="339"/>
      <c r="K24" s="339"/>
      <c r="L24" s="19"/>
    </row>
    <row r="25" spans="1:16" x14ac:dyDescent="0.3">
      <c r="B25" s="74">
        <v>13</v>
      </c>
      <c r="C25" s="20" t="s">
        <v>443</v>
      </c>
      <c r="D25" s="213">
        <f>SUM(D23:D24)</f>
        <v>59.87</v>
      </c>
      <c r="E25" s="213">
        <f>SUM(E23:E24)</f>
        <v>47.985453714908964</v>
      </c>
      <c r="F25" s="213">
        <f t="shared" ref="F25:G25" si="7">SUM(F23:F24)</f>
        <v>-11.884546285091034</v>
      </c>
      <c r="G25" s="213">
        <f t="shared" si="7"/>
        <v>455.35774520177438</v>
      </c>
      <c r="H25" s="213">
        <f t="shared" ref="H25:K25" si="8">SUM(H23:H24)</f>
        <v>461.64096166423303</v>
      </c>
      <c r="I25" s="213">
        <f t="shared" si="8"/>
        <v>462.27759882639441</v>
      </c>
      <c r="J25" s="213">
        <f t="shared" si="8"/>
        <v>435.50696281582793</v>
      </c>
      <c r="K25" s="213">
        <f t="shared" si="8"/>
        <v>404.94375991118642</v>
      </c>
      <c r="L25" s="19"/>
    </row>
    <row r="26" spans="1:16" s="1" customFormat="1" x14ac:dyDescent="0.3">
      <c r="B26" s="39"/>
      <c r="C26" s="6"/>
      <c r="D26" s="6"/>
      <c r="E26" s="6"/>
      <c r="F26" s="6"/>
      <c r="G26" s="6"/>
      <c r="H26" s="14"/>
      <c r="I26" s="14"/>
      <c r="J26" s="15"/>
      <c r="K26" s="14"/>
      <c r="L26" s="14"/>
      <c r="M26" s="14"/>
      <c r="N26" s="14"/>
      <c r="O26" s="14"/>
      <c r="P26" s="14"/>
    </row>
    <row r="27" spans="1:16" ht="17.5" x14ac:dyDescent="0.25">
      <c r="C27" s="75" t="s">
        <v>444</v>
      </c>
      <c r="D27" s="75"/>
      <c r="E27" s="75"/>
      <c r="F27" s="75"/>
      <c r="G27" s="75"/>
      <c r="H27" s="10"/>
      <c r="I27" s="10"/>
    </row>
    <row r="28" spans="1:16" x14ac:dyDescent="0.25">
      <c r="C28" s="10"/>
      <c r="D28" s="10"/>
      <c r="E28" s="10"/>
      <c r="F28" s="10"/>
      <c r="G28" s="10"/>
      <c r="H28" s="10"/>
      <c r="I28" s="10"/>
      <c r="K28" s="16" t="s">
        <v>10</v>
      </c>
      <c r="O28" s="16"/>
      <c r="P28" s="16"/>
    </row>
    <row r="29" spans="1:16" ht="26.15" customHeight="1" x14ac:dyDescent="0.25">
      <c r="B29" s="1404" t="s">
        <v>330</v>
      </c>
      <c r="C29" s="1404" t="s">
        <v>24</v>
      </c>
      <c r="D29" s="1546" t="s">
        <v>477</v>
      </c>
      <c r="E29" s="1548"/>
      <c r="F29" s="1549"/>
      <c r="G29" s="1429" t="s">
        <v>848</v>
      </c>
      <c r="H29" s="1429"/>
      <c r="I29" s="1429"/>
      <c r="J29" s="1429"/>
      <c r="K29" s="1429"/>
      <c r="L29" s="1420" t="s">
        <v>25</v>
      </c>
    </row>
    <row r="30" spans="1:16" ht="31.5" customHeight="1" x14ac:dyDescent="0.25">
      <c r="B30" s="1404"/>
      <c r="C30" s="1404"/>
      <c r="D30" s="204" t="s">
        <v>1216</v>
      </c>
      <c r="E30" s="202" t="s">
        <v>77</v>
      </c>
      <c r="F30" s="202" t="s">
        <v>427</v>
      </c>
      <c r="G30" s="456" t="s">
        <v>849</v>
      </c>
      <c r="H30" s="456" t="s">
        <v>850</v>
      </c>
      <c r="I30" s="456" t="s">
        <v>851</v>
      </c>
      <c r="J30" s="456" t="s">
        <v>852</v>
      </c>
      <c r="K30" s="456" t="s">
        <v>853</v>
      </c>
      <c r="L30" s="1420"/>
    </row>
    <row r="31" spans="1:16" x14ac:dyDescent="0.25">
      <c r="B31" s="405"/>
      <c r="C31" s="159"/>
      <c r="D31" s="202" t="s">
        <v>78</v>
      </c>
      <c r="E31" s="202" t="s">
        <v>79</v>
      </c>
      <c r="F31" s="202" t="s">
        <v>627</v>
      </c>
      <c r="G31" s="97" t="s">
        <v>20</v>
      </c>
      <c r="H31" s="97" t="s">
        <v>20</v>
      </c>
      <c r="I31" s="97" t="s">
        <v>20</v>
      </c>
      <c r="J31" s="97" t="s">
        <v>20</v>
      </c>
      <c r="K31" s="97" t="s">
        <v>20</v>
      </c>
      <c r="L31" s="1421"/>
    </row>
    <row r="32" spans="1:16" x14ac:dyDescent="0.3">
      <c r="B32" s="74">
        <v>1</v>
      </c>
      <c r="C32" s="212" t="s">
        <v>2997</v>
      </c>
      <c r="D32" s="527"/>
      <c r="E32" s="527"/>
      <c r="F32" s="527"/>
      <c r="G32" s="218"/>
      <c r="H32" s="210"/>
      <c r="I32" s="210"/>
      <c r="J32" s="210"/>
      <c r="K32" s="210"/>
      <c r="L32" s="19"/>
    </row>
    <row r="33" spans="2:12" ht="15" customHeight="1" x14ac:dyDescent="0.3">
      <c r="B33" s="73">
        <v>1.1000000000000001</v>
      </c>
      <c r="C33" s="46" t="s">
        <v>27</v>
      </c>
      <c r="D33" s="331"/>
      <c r="E33" s="331">
        <v>3431.9996766999993</v>
      </c>
      <c r="F33" s="331"/>
      <c r="G33" s="1220">
        <f>E37</f>
        <v>3412.6095043849991</v>
      </c>
      <c r="H33" s="332">
        <f>G37</f>
        <v>3179.9331928889992</v>
      </c>
      <c r="I33" s="332">
        <f t="shared" ref="I33:K33" si="9">H37</f>
        <v>2947.2568813929993</v>
      </c>
      <c r="J33" s="332">
        <f t="shared" si="9"/>
        <v>2714.5805698969994</v>
      </c>
      <c r="K33" s="332">
        <f t="shared" si="9"/>
        <v>2481.9042584009994</v>
      </c>
      <c r="L33" s="116"/>
    </row>
    <row r="34" spans="2:12" ht="29.5" customHeight="1" x14ac:dyDescent="0.3">
      <c r="B34" s="73">
        <f t="shared" ref="B34:B40" si="10">B33+0.1</f>
        <v>1.2000000000000002</v>
      </c>
      <c r="C34" s="1116" t="s">
        <v>386</v>
      </c>
      <c r="D34" s="331"/>
      <c r="E34" s="331"/>
      <c r="F34" s="331"/>
      <c r="G34" s="1220">
        <v>0</v>
      </c>
      <c r="H34" s="332">
        <v>0</v>
      </c>
      <c r="I34" s="332">
        <v>0</v>
      </c>
      <c r="J34" s="332">
        <v>0</v>
      </c>
      <c r="K34" s="332">
        <v>0</v>
      </c>
      <c r="L34" s="116"/>
    </row>
    <row r="35" spans="2:12" ht="15" customHeight="1" x14ac:dyDescent="0.3">
      <c r="B35" s="73">
        <f t="shared" si="10"/>
        <v>1.3000000000000003</v>
      </c>
      <c r="C35" s="46" t="s">
        <v>329</v>
      </c>
      <c r="D35" s="331"/>
      <c r="E35" s="331"/>
      <c r="F35" s="331"/>
      <c r="G35" s="1220">
        <v>0</v>
      </c>
      <c r="H35" s="332">
        <v>0</v>
      </c>
      <c r="I35" s="332">
        <v>0</v>
      </c>
      <c r="J35" s="332">
        <v>0</v>
      </c>
      <c r="K35" s="332">
        <v>0</v>
      </c>
      <c r="L35" s="116"/>
    </row>
    <row r="36" spans="2:12" ht="15" customHeight="1" x14ac:dyDescent="0.3">
      <c r="B36" s="73">
        <f t="shared" si="10"/>
        <v>1.4000000000000004</v>
      </c>
      <c r="C36" s="528" t="s">
        <v>28</v>
      </c>
      <c r="D36" s="331"/>
      <c r="E36" s="331">
        <v>19.390172314999987</v>
      </c>
      <c r="F36" s="331"/>
      <c r="G36" s="1220">
        <v>232.67631149600001</v>
      </c>
      <c r="H36" s="332">
        <v>232.67631149600001</v>
      </c>
      <c r="I36" s="332">
        <v>232.67631149600001</v>
      </c>
      <c r="J36" s="332">
        <v>232.67631149600001</v>
      </c>
      <c r="K36" s="332">
        <v>232.67631149600001</v>
      </c>
      <c r="L36" s="116"/>
    </row>
    <row r="37" spans="2:12" ht="15" customHeight="1" x14ac:dyDescent="0.3">
      <c r="B37" s="73">
        <f t="shared" si="10"/>
        <v>1.5000000000000004</v>
      </c>
      <c r="C37" s="528" t="s">
        <v>29</v>
      </c>
      <c r="D37" s="331"/>
      <c r="E37" s="331">
        <f>+E33-E34+E35-E36</f>
        <v>3412.6095043849991</v>
      </c>
      <c r="F37" s="331"/>
      <c r="G37" s="331">
        <f t="shared" ref="G37:K37" si="11">+G33-G34+G35-G36</f>
        <v>3179.9331928889992</v>
      </c>
      <c r="H37" s="331">
        <f t="shared" si="11"/>
        <v>2947.2568813929993</v>
      </c>
      <c r="I37" s="331">
        <f t="shared" si="11"/>
        <v>2714.5805698969994</v>
      </c>
      <c r="J37" s="331">
        <f t="shared" si="11"/>
        <v>2481.9042584009994</v>
      </c>
      <c r="K37" s="331">
        <f t="shared" si="11"/>
        <v>2249.2279469049995</v>
      </c>
      <c r="L37" s="116"/>
    </row>
    <row r="38" spans="2:12" s="17" customFormat="1" ht="15" customHeight="1" x14ac:dyDescent="0.3">
      <c r="B38" s="74">
        <f t="shared" si="10"/>
        <v>1.6000000000000005</v>
      </c>
      <c r="C38" s="530" t="s">
        <v>446</v>
      </c>
      <c r="D38" s="1218"/>
      <c r="E38" s="301">
        <f>AVERAGE(E33,E37)</f>
        <v>3422.3045905424992</v>
      </c>
      <c r="F38" s="1218"/>
      <c r="G38" s="301">
        <f t="shared" ref="G38:K38" si="12">AVERAGE(G33,G37)</f>
        <v>3296.2713486369994</v>
      </c>
      <c r="H38" s="301">
        <f t="shared" si="12"/>
        <v>3063.595037140999</v>
      </c>
      <c r="I38" s="301">
        <f t="shared" si="12"/>
        <v>2830.9187256449995</v>
      </c>
      <c r="J38" s="301">
        <f t="shared" si="12"/>
        <v>2598.2424141489992</v>
      </c>
      <c r="K38" s="301">
        <f t="shared" si="12"/>
        <v>2365.5661026529997</v>
      </c>
      <c r="L38" s="291"/>
    </row>
    <row r="39" spans="2:12" s="404" customFormat="1" ht="15" customHeight="1" x14ac:dyDescent="0.3">
      <c r="B39" s="1221">
        <f t="shared" si="10"/>
        <v>1.7000000000000006</v>
      </c>
      <c r="C39" s="529" t="s">
        <v>30</v>
      </c>
      <c r="D39" s="401"/>
      <c r="E39" s="401">
        <v>9.2600000000000002E-2</v>
      </c>
      <c r="F39" s="401"/>
      <c r="G39" s="1222">
        <v>9.2600000000000002E-2</v>
      </c>
      <c r="H39" s="402">
        <v>9.2600000000000002E-2</v>
      </c>
      <c r="I39" s="402">
        <v>9.2600000000000002E-2</v>
      </c>
      <c r="J39" s="402">
        <v>9.2600000000000002E-2</v>
      </c>
      <c r="K39" s="402">
        <v>9.2600000000000002E-2</v>
      </c>
      <c r="L39" s="403"/>
    </row>
    <row r="40" spans="2:12" ht="15" customHeight="1" x14ac:dyDescent="0.3">
      <c r="B40" s="73">
        <f t="shared" si="10"/>
        <v>1.8000000000000007</v>
      </c>
      <c r="C40" s="528" t="s">
        <v>31</v>
      </c>
      <c r="D40" s="331"/>
      <c r="E40" s="331">
        <v>24.643526688999998</v>
      </c>
      <c r="F40" s="331"/>
      <c r="G40" s="1220">
        <v>287.25</v>
      </c>
      <c r="H40" s="332">
        <v>287.25</v>
      </c>
      <c r="I40" s="332">
        <v>287.25</v>
      </c>
      <c r="J40" s="332">
        <v>287.25</v>
      </c>
      <c r="K40" s="332">
        <v>287.25</v>
      </c>
      <c r="L40" s="116"/>
    </row>
    <row r="41" spans="2:12" ht="15" customHeight="1" x14ac:dyDescent="0.3">
      <c r="B41" s="73"/>
      <c r="C41" s="528"/>
      <c r="D41" s="331"/>
      <c r="E41" s="331"/>
      <c r="F41" s="331"/>
      <c r="G41" s="1220"/>
      <c r="H41" s="332"/>
      <c r="I41" s="332"/>
      <c r="J41" s="332"/>
      <c r="K41" s="332"/>
      <c r="L41" s="116"/>
    </row>
    <row r="42" spans="2:12" ht="15" customHeight="1" x14ac:dyDescent="0.3">
      <c r="B42" s="74">
        <v>2</v>
      </c>
      <c r="C42" s="530" t="s">
        <v>2998</v>
      </c>
      <c r="D42" s="331"/>
      <c r="E42" s="331"/>
      <c r="F42" s="331"/>
      <c r="G42" s="1220"/>
      <c r="H42" s="332"/>
      <c r="I42" s="332"/>
      <c r="J42" s="332"/>
      <c r="K42" s="332"/>
      <c r="L42" s="116"/>
    </row>
    <row r="43" spans="2:12" ht="15" customHeight="1" x14ac:dyDescent="0.3">
      <c r="B43" s="73">
        <f t="shared" ref="B43:B50" si="13">B42+0.1</f>
        <v>2.1</v>
      </c>
      <c r="C43" s="528" t="s">
        <v>27</v>
      </c>
      <c r="D43" s="331"/>
      <c r="E43" s="331">
        <v>790.5</v>
      </c>
      <c r="F43" s="331"/>
      <c r="G43" s="1220">
        <f>E47</f>
        <v>784.81134736905722</v>
      </c>
      <c r="H43" s="332">
        <f>G47</f>
        <v>786.96134736905719</v>
      </c>
      <c r="I43" s="332">
        <f t="shared" ref="I43:K43" si="14">H47</f>
        <v>768.36908386905725</v>
      </c>
      <c r="J43" s="332">
        <f t="shared" si="14"/>
        <v>749.7768203690573</v>
      </c>
      <c r="K43" s="332">
        <f t="shared" si="14"/>
        <v>731.18455686905736</v>
      </c>
      <c r="L43" s="116"/>
    </row>
    <row r="44" spans="2:12" ht="15" customHeight="1" x14ac:dyDescent="0.3">
      <c r="B44" s="73">
        <f t="shared" si="13"/>
        <v>2.2000000000000002</v>
      </c>
      <c r="C44" s="528" t="s">
        <v>386</v>
      </c>
      <c r="D44" s="331"/>
      <c r="E44" s="331">
        <v>0</v>
      </c>
      <c r="F44" s="331"/>
      <c r="G44" s="1220"/>
      <c r="H44" s="332"/>
      <c r="I44" s="332"/>
      <c r="J44" s="332"/>
      <c r="K44" s="332"/>
      <c r="L44" s="116"/>
    </row>
    <row r="45" spans="2:12" ht="15" customHeight="1" x14ac:dyDescent="0.3">
      <c r="B45" s="73">
        <f t="shared" si="13"/>
        <v>2.3000000000000003</v>
      </c>
      <c r="C45" s="528" t="s">
        <v>329</v>
      </c>
      <c r="D45" s="331"/>
      <c r="E45" s="331">
        <v>0</v>
      </c>
      <c r="F45" s="331"/>
      <c r="G45" s="1220">
        <v>19</v>
      </c>
      <c r="H45" s="332">
        <v>0</v>
      </c>
      <c r="I45" s="332">
        <v>0</v>
      </c>
      <c r="J45" s="332">
        <v>0</v>
      </c>
      <c r="K45" s="332">
        <v>0</v>
      </c>
      <c r="L45" s="116"/>
    </row>
    <row r="46" spans="2:12" ht="15" customHeight="1" x14ac:dyDescent="0.3">
      <c r="B46" s="73">
        <f t="shared" si="13"/>
        <v>2.4000000000000004</v>
      </c>
      <c r="C46" s="528" t="s">
        <v>28</v>
      </c>
      <c r="D46" s="331"/>
      <c r="E46" s="331">
        <v>5.68865263094282</v>
      </c>
      <c r="F46" s="331"/>
      <c r="G46" s="1220">
        <v>16.850000000000001</v>
      </c>
      <c r="H46" s="332">
        <v>18.592263500000001</v>
      </c>
      <c r="I46" s="332">
        <v>18.592263500000001</v>
      </c>
      <c r="J46" s="332">
        <v>18.592263500000001</v>
      </c>
      <c r="K46" s="332">
        <v>18.592263500000001</v>
      </c>
      <c r="L46" s="116"/>
    </row>
    <row r="47" spans="2:12" ht="15" customHeight="1" x14ac:dyDescent="0.3">
      <c r="B47" s="73">
        <f t="shared" si="13"/>
        <v>2.5000000000000004</v>
      </c>
      <c r="C47" s="528" t="s">
        <v>29</v>
      </c>
      <c r="D47" s="331"/>
      <c r="E47" s="331">
        <f>+E43-E44+E45-E46</f>
        <v>784.81134736905722</v>
      </c>
      <c r="F47" s="331"/>
      <c r="G47" s="331">
        <f t="shared" ref="G47:K47" si="15">+G43-G44+G45-G46</f>
        <v>786.96134736905719</v>
      </c>
      <c r="H47" s="331">
        <f t="shared" si="15"/>
        <v>768.36908386905725</v>
      </c>
      <c r="I47" s="331">
        <f t="shared" si="15"/>
        <v>749.7768203690573</v>
      </c>
      <c r="J47" s="331">
        <f t="shared" si="15"/>
        <v>731.18455686905736</v>
      </c>
      <c r="K47" s="331">
        <f t="shared" si="15"/>
        <v>712.59229336905742</v>
      </c>
      <c r="L47" s="116"/>
    </row>
    <row r="48" spans="2:12" ht="15" customHeight="1" x14ac:dyDescent="0.3">
      <c r="B48" s="73">
        <f t="shared" si="13"/>
        <v>2.6000000000000005</v>
      </c>
      <c r="C48" s="528" t="s">
        <v>446</v>
      </c>
      <c r="D48" s="331"/>
      <c r="E48" s="300">
        <f>AVERAGE(E43,E47)</f>
        <v>787.65567368452867</v>
      </c>
      <c r="F48" s="331"/>
      <c r="G48" s="300">
        <f t="shared" ref="G48:K48" si="16">AVERAGE(G43,G47)</f>
        <v>785.88634736905715</v>
      </c>
      <c r="H48" s="300">
        <f t="shared" si="16"/>
        <v>777.66521561905722</v>
      </c>
      <c r="I48" s="300">
        <f t="shared" si="16"/>
        <v>759.07295211905728</v>
      </c>
      <c r="J48" s="300">
        <f t="shared" si="16"/>
        <v>740.48068861905733</v>
      </c>
      <c r="K48" s="300">
        <f t="shared" si="16"/>
        <v>721.88842511905739</v>
      </c>
      <c r="L48" s="116"/>
    </row>
    <row r="49" spans="2:12" s="404" customFormat="1" ht="15" customHeight="1" x14ac:dyDescent="0.3">
      <c r="B49" s="1221">
        <f t="shared" si="13"/>
        <v>2.7000000000000006</v>
      </c>
      <c r="C49" s="529" t="s">
        <v>30</v>
      </c>
      <c r="D49" s="401"/>
      <c r="E49" s="401">
        <v>9.4E-2</v>
      </c>
      <c r="F49" s="401"/>
      <c r="G49" s="1222">
        <v>9.4E-2</v>
      </c>
      <c r="H49" s="402">
        <v>9.4E-2</v>
      </c>
      <c r="I49" s="402">
        <v>9.4E-2</v>
      </c>
      <c r="J49" s="402">
        <v>9.4E-2</v>
      </c>
      <c r="K49" s="402">
        <v>9.4E-2</v>
      </c>
      <c r="L49" s="403"/>
    </row>
    <row r="50" spans="2:12" ht="15" customHeight="1" x14ac:dyDescent="0.3">
      <c r="B50" s="73">
        <f t="shared" si="13"/>
        <v>2.8000000000000007</v>
      </c>
      <c r="C50" s="528" t="s">
        <v>31</v>
      </c>
      <c r="D50" s="331"/>
      <c r="E50" s="331">
        <v>6.181575927117116</v>
      </c>
      <c r="F50" s="331"/>
      <c r="G50" s="1220">
        <v>78.58</v>
      </c>
      <c r="H50" s="332">
        <v>78.58</v>
      </c>
      <c r="I50" s="332">
        <v>78.58</v>
      </c>
      <c r="J50" s="332">
        <v>78.58</v>
      </c>
      <c r="K50" s="332">
        <v>78.58</v>
      </c>
      <c r="L50" s="116"/>
    </row>
    <row r="51" spans="2:12" ht="15" customHeight="1" x14ac:dyDescent="0.3">
      <c r="B51" s="73"/>
      <c r="C51" s="528"/>
      <c r="D51" s="331"/>
      <c r="E51" s="331"/>
      <c r="F51" s="331"/>
      <c r="G51" s="1220"/>
      <c r="H51" s="332"/>
      <c r="I51" s="332"/>
      <c r="J51" s="332"/>
      <c r="K51" s="332"/>
      <c r="L51" s="116"/>
    </row>
    <row r="52" spans="2:12" ht="15" customHeight="1" x14ac:dyDescent="0.3">
      <c r="B52" s="74">
        <v>3</v>
      </c>
      <c r="C52" s="530" t="s">
        <v>2999</v>
      </c>
      <c r="D52" s="331"/>
      <c r="E52" s="331"/>
      <c r="F52" s="331"/>
      <c r="G52" s="1220"/>
      <c r="H52" s="332"/>
      <c r="I52" s="332"/>
      <c r="J52" s="332"/>
      <c r="K52" s="332"/>
      <c r="L52" s="116"/>
    </row>
    <row r="53" spans="2:12" ht="15" customHeight="1" x14ac:dyDescent="0.3">
      <c r="B53" s="73">
        <f>B52+0.1</f>
        <v>3.1</v>
      </c>
      <c r="C53" s="528" t="s">
        <v>27</v>
      </c>
      <c r="D53" s="331"/>
      <c r="E53" s="331">
        <v>252.79999999999998</v>
      </c>
      <c r="F53" s="331"/>
      <c r="G53" s="1220">
        <f>E57</f>
        <v>251.39555974699999</v>
      </c>
      <c r="H53" s="332">
        <f>G57</f>
        <v>188.59555974699998</v>
      </c>
      <c r="I53" s="332">
        <f t="shared" ref="I53:K53" si="17">H57</f>
        <v>125.79555974699998</v>
      </c>
      <c r="J53" s="332">
        <f t="shared" si="17"/>
        <v>62.995559746999987</v>
      </c>
      <c r="K53" s="332">
        <f t="shared" si="17"/>
        <v>-4.4402530000127172E-3</v>
      </c>
      <c r="L53" s="116"/>
    </row>
    <row r="54" spans="2:12" ht="15" customHeight="1" x14ac:dyDescent="0.3">
      <c r="B54" s="73">
        <f t="shared" ref="B54:B60" si="18">B53+0.1</f>
        <v>3.2</v>
      </c>
      <c r="C54" s="528" t="s">
        <v>386</v>
      </c>
      <c r="D54" s="331"/>
      <c r="E54" s="331"/>
      <c r="F54" s="331"/>
      <c r="G54" s="1220">
        <v>0</v>
      </c>
      <c r="H54" s="332">
        <v>0</v>
      </c>
      <c r="I54" s="332">
        <v>0</v>
      </c>
      <c r="J54" s="332">
        <v>0</v>
      </c>
      <c r="K54" s="332">
        <v>0</v>
      </c>
      <c r="L54" s="116"/>
    </row>
    <row r="55" spans="2:12" ht="15" customHeight="1" x14ac:dyDescent="0.3">
      <c r="B55" s="73">
        <f t="shared" si="18"/>
        <v>3.3000000000000003</v>
      </c>
      <c r="C55" s="528" t="s">
        <v>329</v>
      </c>
      <c r="D55" s="331"/>
      <c r="E55" s="331"/>
      <c r="F55" s="331"/>
      <c r="G55" s="1220">
        <v>0</v>
      </c>
      <c r="H55" s="332">
        <v>0</v>
      </c>
      <c r="I55" s="332">
        <v>0</v>
      </c>
      <c r="J55" s="332">
        <v>0</v>
      </c>
      <c r="K55" s="332">
        <v>0</v>
      </c>
      <c r="L55" s="116"/>
    </row>
    <row r="56" spans="2:12" ht="15" customHeight="1" x14ac:dyDescent="0.3">
      <c r="B56" s="73">
        <f t="shared" si="18"/>
        <v>3.4000000000000004</v>
      </c>
      <c r="C56" s="528" t="s">
        <v>28</v>
      </c>
      <c r="D56" s="331"/>
      <c r="E56" s="331">
        <v>1.4044402529999997</v>
      </c>
      <c r="F56" s="331"/>
      <c r="G56" s="1220">
        <v>62.8</v>
      </c>
      <c r="H56" s="332">
        <v>62.8</v>
      </c>
      <c r="I56" s="332">
        <v>62.8</v>
      </c>
      <c r="J56" s="332">
        <v>63</v>
      </c>
      <c r="K56" s="332">
        <v>0</v>
      </c>
      <c r="L56" s="116"/>
    </row>
    <row r="57" spans="2:12" ht="15" customHeight="1" x14ac:dyDescent="0.3">
      <c r="B57" s="73">
        <f t="shared" si="18"/>
        <v>3.5000000000000004</v>
      </c>
      <c r="C57" s="528" t="s">
        <v>29</v>
      </c>
      <c r="D57" s="331"/>
      <c r="E57" s="331">
        <f>+E53-E54+E55-E56</f>
        <v>251.39555974699999</v>
      </c>
      <c r="F57" s="331"/>
      <c r="G57" s="331">
        <f t="shared" ref="G57:K57" si="19">+G53-G54+G55-G56</f>
        <v>188.59555974699998</v>
      </c>
      <c r="H57" s="331">
        <f t="shared" si="19"/>
        <v>125.79555974699998</v>
      </c>
      <c r="I57" s="331">
        <f t="shared" si="19"/>
        <v>62.995559746999987</v>
      </c>
      <c r="J57" s="331">
        <f t="shared" si="19"/>
        <v>-4.4402530000127172E-3</v>
      </c>
      <c r="K57" s="331">
        <f t="shared" si="19"/>
        <v>-4.4402530000127172E-3</v>
      </c>
      <c r="L57" s="116"/>
    </row>
    <row r="58" spans="2:12" s="17" customFormat="1" ht="15" customHeight="1" x14ac:dyDescent="0.3">
      <c r="B58" s="74">
        <f t="shared" si="18"/>
        <v>3.6000000000000005</v>
      </c>
      <c r="C58" s="530" t="s">
        <v>446</v>
      </c>
      <c r="D58" s="1218"/>
      <c r="E58" s="301">
        <f>AVERAGE(E53,E57)</f>
        <v>252.09777987349997</v>
      </c>
      <c r="F58" s="1218"/>
      <c r="G58" s="301">
        <f t="shared" ref="G58:K58" si="20">AVERAGE(G53,G57)</f>
        <v>219.99555974699999</v>
      </c>
      <c r="H58" s="301">
        <f t="shared" si="20"/>
        <v>157.19555974699998</v>
      </c>
      <c r="I58" s="301">
        <f t="shared" si="20"/>
        <v>94.395559746999993</v>
      </c>
      <c r="J58" s="301">
        <f t="shared" si="20"/>
        <v>31.495559746999987</v>
      </c>
      <c r="K58" s="301">
        <f t="shared" si="20"/>
        <v>-4.4402530000127172E-3</v>
      </c>
      <c r="L58" s="291"/>
    </row>
    <row r="59" spans="2:12" s="404" customFormat="1" ht="15" customHeight="1" x14ac:dyDescent="0.3">
      <c r="B59" s="1221">
        <f t="shared" si="18"/>
        <v>3.7000000000000006</v>
      </c>
      <c r="C59" s="529" t="s">
        <v>30</v>
      </c>
      <c r="D59" s="401"/>
      <c r="E59" s="401">
        <v>0.1</v>
      </c>
      <c r="F59" s="401"/>
      <c r="G59" s="1222">
        <v>0.1</v>
      </c>
      <c r="H59" s="402">
        <v>0.1</v>
      </c>
      <c r="I59" s="402">
        <v>0.1</v>
      </c>
      <c r="J59" s="402">
        <v>0.1</v>
      </c>
      <c r="K59" s="402">
        <v>0.1</v>
      </c>
      <c r="L59" s="403"/>
    </row>
    <row r="60" spans="2:12" ht="15" customHeight="1" x14ac:dyDescent="0.3">
      <c r="B60" s="73">
        <f t="shared" si="18"/>
        <v>3.8000000000000007</v>
      </c>
      <c r="C60" s="528" t="s">
        <v>31</v>
      </c>
      <c r="D60" s="331"/>
      <c r="E60" s="331">
        <v>2.0874214709999999</v>
      </c>
      <c r="F60" s="331"/>
      <c r="G60" s="1220">
        <v>24.9</v>
      </c>
      <c r="H60" s="332">
        <v>24.9</v>
      </c>
      <c r="I60" s="332">
        <v>24.9</v>
      </c>
      <c r="J60" s="332">
        <v>24.9</v>
      </c>
      <c r="K60" s="332">
        <v>0</v>
      </c>
      <c r="L60" s="116"/>
    </row>
    <row r="61" spans="2:12" ht="15" customHeight="1" x14ac:dyDescent="0.3">
      <c r="B61" s="74"/>
      <c r="C61" s="530"/>
      <c r="D61" s="331"/>
      <c r="E61" s="331"/>
      <c r="F61" s="331"/>
      <c r="G61" s="1220"/>
      <c r="H61" s="332"/>
      <c r="I61" s="332"/>
      <c r="J61" s="332"/>
      <c r="K61" s="332"/>
      <c r="L61" s="116"/>
    </row>
    <row r="62" spans="2:12" ht="15" customHeight="1" x14ac:dyDescent="0.3">
      <c r="B62" s="74">
        <v>4</v>
      </c>
      <c r="C62" s="530" t="s">
        <v>3000</v>
      </c>
      <c r="D62" s="331"/>
      <c r="E62" s="331"/>
      <c r="F62" s="331"/>
      <c r="G62" s="1220"/>
      <c r="H62" s="332"/>
      <c r="I62" s="332"/>
      <c r="J62" s="332"/>
      <c r="K62" s="332"/>
      <c r="L62" s="116"/>
    </row>
    <row r="63" spans="2:12" ht="15" customHeight="1" x14ac:dyDescent="0.3">
      <c r="B63" s="73">
        <f>B62+0.1</f>
        <v>4.0999999999999996</v>
      </c>
      <c r="C63" s="528" t="s">
        <v>27</v>
      </c>
      <c r="D63" s="331"/>
      <c r="E63" s="331"/>
      <c r="F63" s="331"/>
      <c r="G63" s="1220"/>
      <c r="H63" s="332"/>
      <c r="I63" s="332"/>
      <c r="J63" s="332"/>
      <c r="K63" s="332"/>
      <c r="L63" s="116"/>
    </row>
    <row r="64" spans="2:12" ht="15" customHeight="1" x14ac:dyDescent="0.3">
      <c r="B64" s="73">
        <f t="shared" ref="B64:B70" si="21">B63+0.1</f>
        <v>4.1999999999999993</v>
      </c>
      <c r="C64" s="528" t="s">
        <v>386</v>
      </c>
      <c r="D64" s="331"/>
      <c r="E64" s="331"/>
      <c r="F64" s="331"/>
      <c r="G64" s="1220"/>
      <c r="H64" s="332"/>
      <c r="I64" s="332"/>
      <c r="J64" s="332"/>
      <c r="K64" s="332"/>
      <c r="L64" s="116"/>
    </row>
    <row r="65" spans="2:12" ht="15" customHeight="1" x14ac:dyDescent="0.3">
      <c r="B65" s="73">
        <f t="shared" si="21"/>
        <v>4.2999999999999989</v>
      </c>
      <c r="C65" s="528" t="s">
        <v>329</v>
      </c>
      <c r="D65" s="331"/>
      <c r="E65" s="331"/>
      <c r="F65" s="331"/>
      <c r="G65" s="1220"/>
      <c r="H65" s="332"/>
      <c r="I65" s="332"/>
      <c r="J65" s="332"/>
      <c r="K65" s="332"/>
      <c r="L65" s="116"/>
    </row>
    <row r="66" spans="2:12" ht="15" customHeight="1" x14ac:dyDescent="0.3">
      <c r="B66" s="73">
        <f t="shared" si="21"/>
        <v>4.3999999999999986</v>
      </c>
      <c r="C66" s="528" t="s">
        <v>28</v>
      </c>
      <c r="D66" s="331"/>
      <c r="E66" s="331"/>
      <c r="F66" s="331"/>
      <c r="G66" s="1220"/>
      <c r="H66" s="332"/>
      <c r="I66" s="332"/>
      <c r="J66" s="332"/>
      <c r="K66" s="332"/>
      <c r="L66" s="116"/>
    </row>
    <row r="67" spans="2:12" ht="15" customHeight="1" x14ac:dyDescent="0.3">
      <c r="B67" s="73">
        <f t="shared" si="21"/>
        <v>4.4999999999999982</v>
      </c>
      <c r="C67" s="528" t="s">
        <v>29</v>
      </c>
      <c r="D67" s="331"/>
      <c r="E67" s="331">
        <f>+E63-E64+E65-E66</f>
        <v>0</v>
      </c>
      <c r="F67" s="331"/>
      <c r="G67" s="1220"/>
      <c r="H67" s="332">
        <f>+G63-G64+G65-G66</f>
        <v>0</v>
      </c>
      <c r="I67" s="332"/>
      <c r="J67" s="332"/>
      <c r="K67" s="332">
        <f>+I63-I64+I65-I66</f>
        <v>0</v>
      </c>
      <c r="L67" s="116"/>
    </row>
    <row r="68" spans="2:12" ht="15" customHeight="1" x14ac:dyDescent="0.3">
      <c r="B68" s="73">
        <f t="shared" si="21"/>
        <v>4.5999999999999979</v>
      </c>
      <c r="C68" s="528" t="s">
        <v>446</v>
      </c>
      <c r="D68" s="331"/>
      <c r="E68" s="300">
        <f>AVERAGE(E63,E67)</f>
        <v>0</v>
      </c>
      <c r="F68" s="331"/>
      <c r="G68" s="1220"/>
      <c r="H68" s="332"/>
      <c r="I68" s="332"/>
      <c r="J68" s="332"/>
      <c r="K68" s="332"/>
      <c r="L68" s="116"/>
    </row>
    <row r="69" spans="2:12" s="404" customFormat="1" ht="15" customHeight="1" x14ac:dyDescent="0.3">
      <c r="B69" s="1221">
        <f t="shared" si="21"/>
        <v>4.6999999999999975</v>
      </c>
      <c r="C69" s="529" t="s">
        <v>30</v>
      </c>
      <c r="D69" s="401"/>
      <c r="E69" s="401">
        <f>IFERROR(E70/E68,0)</f>
        <v>0</v>
      </c>
      <c r="F69" s="401"/>
      <c r="G69" s="1222"/>
      <c r="H69" s="402" t="e">
        <f>G70/H68</f>
        <v>#DIV/0!</v>
      </c>
      <c r="I69" s="402"/>
      <c r="J69" s="402"/>
      <c r="K69" s="402" t="e">
        <f>I70/K68</f>
        <v>#DIV/0!</v>
      </c>
      <c r="L69" s="403"/>
    </row>
    <row r="70" spans="2:12" ht="15" customHeight="1" x14ac:dyDescent="0.3">
      <c r="B70" s="73">
        <f t="shared" si="21"/>
        <v>4.7999999999999972</v>
      </c>
      <c r="C70" s="528" t="s">
        <v>31</v>
      </c>
      <c r="D70" s="331"/>
      <c r="E70" s="331"/>
      <c r="F70" s="331"/>
      <c r="G70" s="1220"/>
      <c r="H70" s="332"/>
      <c r="I70" s="332"/>
      <c r="J70" s="332"/>
      <c r="K70" s="332"/>
      <c r="L70" s="116"/>
    </row>
    <row r="71" spans="2:12" ht="15" customHeight="1" x14ac:dyDescent="0.3">
      <c r="B71" s="74"/>
      <c r="C71" s="530"/>
      <c r="D71" s="331"/>
      <c r="E71" s="331"/>
      <c r="F71" s="331"/>
      <c r="G71" s="1220"/>
      <c r="H71" s="332"/>
      <c r="I71" s="332"/>
      <c r="J71" s="332"/>
      <c r="K71" s="332"/>
      <c r="L71" s="116"/>
    </row>
    <row r="72" spans="2:12" ht="15" customHeight="1" x14ac:dyDescent="0.3">
      <c r="B72" s="74">
        <v>5</v>
      </c>
      <c r="C72" s="530" t="s">
        <v>3000</v>
      </c>
      <c r="D72" s="331"/>
      <c r="E72" s="331"/>
      <c r="F72" s="331"/>
      <c r="G72" s="1220"/>
      <c r="H72" s="332"/>
      <c r="I72" s="332"/>
      <c r="J72" s="332"/>
      <c r="K72" s="332"/>
      <c r="L72" s="116"/>
    </row>
    <row r="73" spans="2:12" ht="15" customHeight="1" x14ac:dyDescent="0.3">
      <c r="B73" s="73">
        <f>B72+0.1</f>
        <v>5.0999999999999996</v>
      </c>
      <c r="C73" s="528" t="s">
        <v>27</v>
      </c>
      <c r="D73" s="331"/>
      <c r="E73" s="331"/>
      <c r="F73" s="331"/>
      <c r="G73" s="1220"/>
      <c r="H73" s="332"/>
      <c r="I73" s="332"/>
      <c r="J73" s="332"/>
      <c r="K73" s="332"/>
      <c r="L73" s="116"/>
    </row>
    <row r="74" spans="2:12" ht="15" customHeight="1" x14ac:dyDescent="0.3">
      <c r="B74" s="73">
        <f t="shared" ref="B74:B80" si="22">B73+0.1</f>
        <v>5.1999999999999993</v>
      </c>
      <c r="C74" s="528" t="s">
        <v>386</v>
      </c>
      <c r="D74" s="331"/>
      <c r="E74" s="331"/>
      <c r="F74" s="331"/>
      <c r="G74" s="1220"/>
      <c r="H74" s="332"/>
      <c r="I74" s="332"/>
      <c r="J74" s="332"/>
      <c r="K74" s="332"/>
      <c r="L74" s="116"/>
    </row>
    <row r="75" spans="2:12" ht="15" customHeight="1" x14ac:dyDescent="0.3">
      <c r="B75" s="73">
        <f t="shared" si="22"/>
        <v>5.2999999999999989</v>
      </c>
      <c r="C75" s="528" t="s">
        <v>329</v>
      </c>
      <c r="D75" s="331"/>
      <c r="E75" s="331"/>
      <c r="F75" s="331"/>
      <c r="G75" s="1220"/>
      <c r="H75" s="332"/>
      <c r="I75" s="332"/>
      <c r="J75" s="332"/>
      <c r="K75" s="332"/>
      <c r="L75" s="116"/>
    </row>
    <row r="76" spans="2:12" ht="15" customHeight="1" x14ac:dyDescent="0.3">
      <c r="B76" s="73">
        <f t="shared" si="22"/>
        <v>5.3999999999999986</v>
      </c>
      <c r="C76" s="528" t="s">
        <v>28</v>
      </c>
      <c r="D76" s="331"/>
      <c r="E76" s="331"/>
      <c r="F76" s="331"/>
      <c r="G76" s="1220"/>
      <c r="H76" s="332"/>
      <c r="I76" s="332"/>
      <c r="J76" s="332"/>
      <c r="K76" s="332"/>
      <c r="L76" s="116"/>
    </row>
    <row r="77" spans="2:12" ht="15" customHeight="1" x14ac:dyDescent="0.3">
      <c r="B77" s="73">
        <f t="shared" si="22"/>
        <v>5.4999999999999982</v>
      </c>
      <c r="C77" s="528" t="s">
        <v>29</v>
      </c>
      <c r="D77" s="331"/>
      <c r="E77" s="331">
        <f>+E73-E74+E75-E76</f>
        <v>0</v>
      </c>
      <c r="F77" s="331"/>
      <c r="G77" s="1220"/>
      <c r="H77" s="332">
        <f>+G73-G74+G75-G76</f>
        <v>0</v>
      </c>
      <c r="I77" s="332"/>
      <c r="J77" s="332"/>
      <c r="K77" s="332">
        <f>+I73-I74+I75-I76</f>
        <v>0</v>
      </c>
      <c r="L77" s="116"/>
    </row>
    <row r="78" spans="2:12" ht="15" customHeight="1" x14ac:dyDescent="0.3">
      <c r="B78" s="73">
        <f t="shared" si="22"/>
        <v>5.5999999999999979</v>
      </c>
      <c r="C78" s="528" t="s">
        <v>446</v>
      </c>
      <c r="D78" s="331"/>
      <c r="E78" s="300">
        <f>AVERAGE(E73,E77)</f>
        <v>0</v>
      </c>
      <c r="F78" s="331"/>
      <c r="G78" s="1220"/>
      <c r="H78" s="332"/>
      <c r="I78" s="332"/>
      <c r="J78" s="332"/>
      <c r="K78" s="332"/>
      <c r="L78" s="116"/>
    </row>
    <row r="79" spans="2:12" s="404" customFormat="1" ht="15" customHeight="1" x14ac:dyDescent="0.3">
      <c r="B79" s="1221">
        <f t="shared" si="22"/>
        <v>5.6999999999999975</v>
      </c>
      <c r="C79" s="529" t="s">
        <v>30</v>
      </c>
      <c r="D79" s="401"/>
      <c r="E79" s="401">
        <f>IFERROR(E80/E78,0)</f>
        <v>0</v>
      </c>
      <c r="F79" s="401"/>
      <c r="G79" s="1222"/>
      <c r="H79" s="402" t="e">
        <f>G80/H78</f>
        <v>#DIV/0!</v>
      </c>
      <c r="I79" s="402"/>
      <c r="J79" s="402"/>
      <c r="K79" s="402" t="e">
        <f>I80/K78</f>
        <v>#DIV/0!</v>
      </c>
      <c r="L79" s="403"/>
    </row>
    <row r="80" spans="2:12" ht="15" customHeight="1" x14ac:dyDescent="0.3">
      <c r="B80" s="73">
        <f t="shared" si="22"/>
        <v>5.7999999999999972</v>
      </c>
      <c r="C80" s="528" t="s">
        <v>31</v>
      </c>
      <c r="D80" s="331"/>
      <c r="E80" s="331"/>
      <c r="F80" s="331"/>
      <c r="G80" s="1220"/>
      <c r="H80" s="332"/>
      <c r="I80" s="332"/>
      <c r="J80" s="332"/>
      <c r="K80" s="332"/>
      <c r="L80" s="116"/>
    </row>
    <row r="81" spans="2:12" ht="15" customHeight="1" x14ac:dyDescent="0.3">
      <c r="B81" s="74"/>
      <c r="C81" s="530"/>
      <c r="D81" s="331"/>
      <c r="E81" s="331"/>
      <c r="F81" s="331"/>
      <c r="G81" s="1220"/>
      <c r="H81" s="332"/>
      <c r="I81" s="332"/>
      <c r="J81" s="332"/>
      <c r="K81" s="332"/>
      <c r="L81" s="116"/>
    </row>
    <row r="82" spans="2:12" ht="15" customHeight="1" x14ac:dyDescent="0.3">
      <c r="B82" s="74">
        <v>6</v>
      </c>
      <c r="C82" s="530" t="s">
        <v>3000</v>
      </c>
      <c r="D82" s="331"/>
      <c r="E82" s="331"/>
      <c r="F82" s="331"/>
      <c r="G82" s="1220"/>
      <c r="H82" s="332"/>
      <c r="I82" s="332"/>
      <c r="J82" s="332"/>
      <c r="K82" s="332"/>
      <c r="L82" s="116"/>
    </row>
    <row r="83" spans="2:12" ht="15" customHeight="1" x14ac:dyDescent="0.3">
      <c r="B83" s="73">
        <f>B82+0.1</f>
        <v>6.1</v>
      </c>
      <c r="C83" s="528" t="s">
        <v>27</v>
      </c>
      <c r="D83" s="331"/>
      <c r="E83" s="331"/>
      <c r="F83" s="331"/>
      <c r="G83" s="1220"/>
      <c r="H83" s="332"/>
      <c r="I83" s="332"/>
      <c r="J83" s="332"/>
      <c r="K83" s="332"/>
      <c r="L83" s="116"/>
    </row>
    <row r="84" spans="2:12" ht="15" customHeight="1" x14ac:dyDescent="0.3">
      <c r="B84" s="73">
        <f t="shared" ref="B84:B90" si="23">B83+0.1</f>
        <v>6.1999999999999993</v>
      </c>
      <c r="C84" s="528" t="s">
        <v>386</v>
      </c>
      <c r="D84" s="331"/>
      <c r="E84" s="331"/>
      <c r="F84" s="331"/>
      <c r="G84" s="1220"/>
      <c r="H84" s="332"/>
      <c r="I84" s="332"/>
      <c r="J84" s="332"/>
      <c r="K84" s="332"/>
      <c r="L84" s="116"/>
    </row>
    <row r="85" spans="2:12" ht="15" customHeight="1" x14ac:dyDescent="0.3">
      <c r="B85" s="73">
        <f t="shared" si="23"/>
        <v>6.2999999999999989</v>
      </c>
      <c r="C85" s="528" t="s">
        <v>329</v>
      </c>
      <c r="D85" s="331"/>
      <c r="E85" s="331"/>
      <c r="F85" s="331"/>
      <c r="G85" s="1220"/>
      <c r="H85" s="332"/>
      <c r="I85" s="332"/>
      <c r="J85" s="332"/>
      <c r="K85" s="332"/>
      <c r="L85" s="116"/>
    </row>
    <row r="86" spans="2:12" ht="15" customHeight="1" x14ac:dyDescent="0.3">
      <c r="B86" s="73">
        <f t="shared" si="23"/>
        <v>6.3999999999999986</v>
      </c>
      <c r="C86" s="528" t="s">
        <v>28</v>
      </c>
      <c r="D86" s="331"/>
      <c r="E86" s="331"/>
      <c r="F86" s="331"/>
      <c r="G86" s="1220"/>
      <c r="H86" s="332"/>
      <c r="I86" s="332"/>
      <c r="J86" s="332"/>
      <c r="K86" s="332"/>
      <c r="L86" s="116"/>
    </row>
    <row r="87" spans="2:12" ht="15" customHeight="1" x14ac:dyDescent="0.3">
      <c r="B87" s="73">
        <f t="shared" si="23"/>
        <v>6.4999999999999982</v>
      </c>
      <c r="C87" s="528" t="s">
        <v>29</v>
      </c>
      <c r="D87" s="331"/>
      <c r="E87" s="331">
        <f>+E83-E84+E85-E86</f>
        <v>0</v>
      </c>
      <c r="F87" s="331"/>
      <c r="G87" s="1220"/>
      <c r="H87" s="332">
        <f>+G83-G84+G85-G86</f>
        <v>0</v>
      </c>
      <c r="I87" s="332"/>
      <c r="J87" s="332"/>
      <c r="K87" s="332">
        <f>+I83-I84+I85-I86</f>
        <v>0</v>
      </c>
      <c r="L87" s="116"/>
    </row>
    <row r="88" spans="2:12" ht="15" customHeight="1" x14ac:dyDescent="0.3">
      <c r="B88" s="73">
        <f t="shared" si="23"/>
        <v>6.5999999999999979</v>
      </c>
      <c r="C88" s="528" t="s">
        <v>446</v>
      </c>
      <c r="D88" s="331"/>
      <c r="E88" s="300">
        <f>AVERAGE(E83,E87)</f>
        <v>0</v>
      </c>
      <c r="F88" s="331"/>
      <c r="G88" s="1220"/>
      <c r="H88" s="332"/>
      <c r="I88" s="332"/>
      <c r="J88" s="332"/>
      <c r="K88" s="332"/>
      <c r="L88" s="116"/>
    </row>
    <row r="89" spans="2:12" s="404" customFormat="1" ht="15" customHeight="1" x14ac:dyDescent="0.3">
      <c r="B89" s="1221">
        <f t="shared" si="23"/>
        <v>6.6999999999999975</v>
      </c>
      <c r="C89" s="529" t="s">
        <v>30</v>
      </c>
      <c r="D89" s="401"/>
      <c r="E89" s="401">
        <f>IFERROR(E90/E88,0)</f>
        <v>0</v>
      </c>
      <c r="F89" s="401"/>
      <c r="G89" s="1222"/>
      <c r="H89" s="402" t="e">
        <f>G90/H88</f>
        <v>#DIV/0!</v>
      </c>
      <c r="I89" s="402"/>
      <c r="J89" s="402"/>
      <c r="K89" s="402" t="e">
        <f>I90/K88</f>
        <v>#DIV/0!</v>
      </c>
      <c r="L89" s="403"/>
    </row>
    <row r="90" spans="2:12" ht="15" customHeight="1" x14ac:dyDescent="0.3">
      <c r="B90" s="73">
        <f t="shared" si="23"/>
        <v>6.7999999999999972</v>
      </c>
      <c r="C90" s="528" t="s">
        <v>31</v>
      </c>
      <c r="D90" s="331"/>
      <c r="E90" s="331"/>
      <c r="F90" s="331"/>
      <c r="G90" s="1220"/>
      <c r="H90" s="332"/>
      <c r="I90" s="332"/>
      <c r="J90" s="332"/>
      <c r="K90" s="332"/>
      <c r="L90" s="116"/>
    </row>
    <row r="91" spans="2:12" ht="15" customHeight="1" x14ac:dyDescent="0.3">
      <c r="B91" s="74"/>
      <c r="C91" s="530"/>
      <c r="D91" s="331"/>
      <c r="E91" s="331"/>
      <c r="F91" s="331"/>
      <c r="G91" s="1220"/>
      <c r="H91" s="332"/>
      <c r="I91" s="332"/>
      <c r="J91" s="332"/>
      <c r="K91" s="332"/>
      <c r="L91" s="116"/>
    </row>
    <row r="92" spans="2:12" ht="15" customHeight="1" x14ac:dyDescent="0.3">
      <c r="B92" s="74">
        <v>7</v>
      </c>
      <c r="C92" s="530" t="s">
        <v>3000</v>
      </c>
      <c r="D92" s="331"/>
      <c r="E92" s="331"/>
      <c r="F92" s="331"/>
      <c r="G92" s="1220"/>
      <c r="H92" s="332"/>
      <c r="I92" s="332"/>
      <c r="J92" s="332"/>
      <c r="K92" s="332"/>
      <c r="L92" s="116"/>
    </row>
    <row r="93" spans="2:12" ht="15" customHeight="1" x14ac:dyDescent="0.3">
      <c r="B93" s="73">
        <f>B92+0.1</f>
        <v>7.1</v>
      </c>
      <c r="C93" s="528" t="s">
        <v>27</v>
      </c>
      <c r="D93" s="331"/>
      <c r="E93" s="331"/>
      <c r="F93" s="331"/>
      <c r="G93" s="1220"/>
      <c r="H93" s="332"/>
      <c r="I93" s="332"/>
      <c r="J93" s="332"/>
      <c r="K93" s="332"/>
      <c r="L93" s="116"/>
    </row>
    <row r="94" spans="2:12" ht="15" customHeight="1" x14ac:dyDescent="0.3">
      <c r="B94" s="73">
        <f t="shared" ref="B94:B100" si="24">B93+0.1</f>
        <v>7.1999999999999993</v>
      </c>
      <c r="C94" s="528" t="s">
        <v>386</v>
      </c>
      <c r="D94" s="331"/>
      <c r="E94" s="331"/>
      <c r="F94" s="331"/>
      <c r="G94" s="1220"/>
      <c r="H94" s="332"/>
      <c r="I94" s="332"/>
      <c r="J94" s="332"/>
      <c r="K94" s="332"/>
      <c r="L94" s="116"/>
    </row>
    <row r="95" spans="2:12" ht="15" customHeight="1" x14ac:dyDescent="0.3">
      <c r="B95" s="73">
        <f t="shared" si="24"/>
        <v>7.2999999999999989</v>
      </c>
      <c r="C95" s="528" t="s">
        <v>329</v>
      </c>
      <c r="D95" s="331"/>
      <c r="E95" s="331"/>
      <c r="F95" s="331"/>
      <c r="G95" s="1220"/>
      <c r="H95" s="332"/>
      <c r="I95" s="332"/>
      <c r="J95" s="332"/>
      <c r="K95" s="332"/>
      <c r="L95" s="116"/>
    </row>
    <row r="96" spans="2:12" ht="15" customHeight="1" x14ac:dyDescent="0.3">
      <c r="B96" s="73">
        <f t="shared" si="24"/>
        <v>7.3999999999999986</v>
      </c>
      <c r="C96" s="528" t="s">
        <v>28</v>
      </c>
      <c r="D96" s="331"/>
      <c r="E96" s="331"/>
      <c r="F96" s="331"/>
      <c r="G96" s="1220"/>
      <c r="H96" s="332"/>
      <c r="I96" s="332"/>
      <c r="J96" s="332"/>
      <c r="K96" s="332"/>
      <c r="L96" s="116"/>
    </row>
    <row r="97" spans="2:12" ht="15" customHeight="1" x14ac:dyDescent="0.3">
      <c r="B97" s="73">
        <f t="shared" si="24"/>
        <v>7.4999999999999982</v>
      </c>
      <c r="C97" s="528" t="s">
        <v>29</v>
      </c>
      <c r="D97" s="331"/>
      <c r="E97" s="331">
        <f>+E93-E94+E95-E96</f>
        <v>0</v>
      </c>
      <c r="F97" s="331"/>
      <c r="G97" s="1220"/>
      <c r="H97" s="332">
        <f>+G93-G94+G95-G96</f>
        <v>0</v>
      </c>
      <c r="I97" s="332"/>
      <c r="J97" s="332"/>
      <c r="K97" s="332">
        <f>+I93-I94+I95-I96</f>
        <v>0</v>
      </c>
      <c r="L97" s="116"/>
    </row>
    <row r="98" spans="2:12" ht="15" customHeight="1" x14ac:dyDescent="0.3">
      <c r="B98" s="73">
        <f t="shared" si="24"/>
        <v>7.5999999999999979</v>
      </c>
      <c r="C98" s="528" t="s">
        <v>446</v>
      </c>
      <c r="D98" s="331"/>
      <c r="E98" s="300">
        <f>AVERAGE(E93,E97)</f>
        <v>0</v>
      </c>
      <c r="F98" s="331"/>
      <c r="G98" s="1220"/>
      <c r="H98" s="332"/>
      <c r="I98" s="332"/>
      <c r="J98" s="332"/>
      <c r="K98" s="332"/>
      <c r="L98" s="116"/>
    </row>
    <row r="99" spans="2:12" s="404" customFormat="1" ht="15" customHeight="1" x14ac:dyDescent="0.3">
      <c r="B99" s="1221">
        <f t="shared" si="24"/>
        <v>7.6999999999999975</v>
      </c>
      <c r="C99" s="529" t="s">
        <v>30</v>
      </c>
      <c r="D99" s="401"/>
      <c r="E99" s="401">
        <f>IFERROR(E100/E98,0)</f>
        <v>0</v>
      </c>
      <c r="F99" s="401"/>
      <c r="G99" s="1222"/>
      <c r="H99" s="402" t="e">
        <f>G100/H98</f>
        <v>#DIV/0!</v>
      </c>
      <c r="I99" s="402"/>
      <c r="J99" s="402"/>
      <c r="K99" s="402" t="e">
        <f>I100/K98</f>
        <v>#DIV/0!</v>
      </c>
      <c r="L99" s="403"/>
    </row>
    <row r="100" spans="2:12" ht="15" customHeight="1" x14ac:dyDescent="0.3">
      <c r="B100" s="73">
        <f t="shared" si="24"/>
        <v>7.7999999999999972</v>
      </c>
      <c r="C100" s="528" t="s">
        <v>31</v>
      </c>
      <c r="D100" s="331"/>
      <c r="E100" s="331"/>
      <c r="F100" s="331"/>
      <c r="G100" s="1220"/>
      <c r="H100" s="332"/>
      <c r="I100" s="332"/>
      <c r="J100" s="332"/>
      <c r="K100" s="332"/>
      <c r="L100" s="116"/>
    </row>
    <row r="101" spans="2:12" ht="15" customHeight="1" x14ac:dyDescent="0.3">
      <c r="B101" s="74"/>
      <c r="C101" s="530"/>
      <c r="D101" s="331"/>
      <c r="E101" s="331"/>
      <c r="F101" s="331"/>
      <c r="G101" s="1220"/>
      <c r="H101" s="332"/>
      <c r="I101" s="332"/>
      <c r="J101" s="332"/>
      <c r="K101" s="332"/>
      <c r="L101" s="116"/>
    </row>
    <row r="102" spans="2:12" ht="15" customHeight="1" x14ac:dyDescent="0.3">
      <c r="B102" s="74">
        <v>8</v>
      </c>
      <c r="C102" s="530" t="s">
        <v>3000</v>
      </c>
      <c r="D102" s="331"/>
      <c r="E102" s="331"/>
      <c r="F102" s="331"/>
      <c r="G102" s="1220"/>
      <c r="H102" s="332"/>
      <c r="I102" s="332"/>
      <c r="J102" s="332"/>
      <c r="K102" s="332"/>
      <c r="L102" s="116"/>
    </row>
    <row r="103" spans="2:12" ht="15" customHeight="1" x14ac:dyDescent="0.3">
      <c r="B103" s="73">
        <f>B102+0.1</f>
        <v>8.1</v>
      </c>
      <c r="C103" s="528" t="s">
        <v>27</v>
      </c>
      <c r="D103" s="331"/>
      <c r="E103" s="331"/>
      <c r="F103" s="331"/>
      <c r="G103" s="1220"/>
      <c r="H103" s="332"/>
      <c r="I103" s="332"/>
      <c r="J103" s="332"/>
      <c r="K103" s="332"/>
      <c r="L103" s="116"/>
    </row>
    <row r="104" spans="2:12" ht="15" customHeight="1" x14ac:dyDescent="0.3">
      <c r="B104" s="73">
        <f t="shared" ref="B104:B110" si="25">B103+0.1</f>
        <v>8.1999999999999993</v>
      </c>
      <c r="C104" s="528" t="s">
        <v>386</v>
      </c>
      <c r="D104" s="331"/>
      <c r="E104" s="331"/>
      <c r="F104" s="331"/>
      <c r="G104" s="1220"/>
      <c r="H104" s="332"/>
      <c r="I104" s="332"/>
      <c r="J104" s="332"/>
      <c r="K104" s="332"/>
      <c r="L104" s="116"/>
    </row>
    <row r="105" spans="2:12" ht="15" customHeight="1" x14ac:dyDescent="0.3">
      <c r="B105" s="73">
        <f t="shared" si="25"/>
        <v>8.2999999999999989</v>
      </c>
      <c r="C105" s="528" t="s">
        <v>329</v>
      </c>
      <c r="D105" s="331"/>
      <c r="E105" s="331"/>
      <c r="F105" s="331"/>
      <c r="G105" s="1220"/>
      <c r="H105" s="332"/>
      <c r="I105" s="332"/>
      <c r="J105" s="332"/>
      <c r="K105" s="332"/>
      <c r="L105" s="116"/>
    </row>
    <row r="106" spans="2:12" ht="15" customHeight="1" x14ac:dyDescent="0.3">
      <c r="B106" s="73">
        <f t="shared" si="25"/>
        <v>8.3999999999999986</v>
      </c>
      <c r="C106" s="528" t="s">
        <v>28</v>
      </c>
      <c r="D106" s="331"/>
      <c r="E106" s="331"/>
      <c r="F106" s="331"/>
      <c r="G106" s="1220"/>
      <c r="H106" s="332"/>
      <c r="I106" s="332"/>
      <c r="J106" s="332"/>
      <c r="K106" s="332"/>
      <c r="L106" s="116"/>
    </row>
    <row r="107" spans="2:12" ht="15" customHeight="1" x14ac:dyDescent="0.3">
      <c r="B107" s="73">
        <f t="shared" si="25"/>
        <v>8.4999999999999982</v>
      </c>
      <c r="C107" s="528" t="s">
        <v>29</v>
      </c>
      <c r="D107" s="331"/>
      <c r="E107" s="331">
        <f>+E103-E104+E105-E106</f>
        <v>0</v>
      </c>
      <c r="F107" s="331"/>
      <c r="G107" s="1220"/>
      <c r="H107" s="332">
        <f>+G103-G104+G105-G106</f>
        <v>0</v>
      </c>
      <c r="I107" s="332"/>
      <c r="J107" s="332"/>
      <c r="K107" s="332">
        <f>+I103-I104+I105-I106</f>
        <v>0</v>
      </c>
      <c r="L107" s="116"/>
    </row>
    <row r="108" spans="2:12" ht="15" customHeight="1" x14ac:dyDescent="0.3">
      <c r="B108" s="73">
        <f t="shared" si="25"/>
        <v>8.5999999999999979</v>
      </c>
      <c r="C108" s="528" t="s">
        <v>446</v>
      </c>
      <c r="D108" s="331"/>
      <c r="E108" s="300">
        <f>AVERAGE(E103,E107)</f>
        <v>0</v>
      </c>
      <c r="F108" s="331"/>
      <c r="G108" s="1220"/>
      <c r="H108" s="332"/>
      <c r="I108" s="332"/>
      <c r="J108" s="332"/>
      <c r="K108" s="332"/>
      <c r="L108" s="116"/>
    </row>
    <row r="109" spans="2:12" s="404" customFormat="1" ht="15" customHeight="1" x14ac:dyDescent="0.3">
      <c r="B109" s="1221">
        <f t="shared" si="25"/>
        <v>8.6999999999999975</v>
      </c>
      <c r="C109" s="529" t="s">
        <v>30</v>
      </c>
      <c r="D109" s="401"/>
      <c r="E109" s="401">
        <f>IFERROR(E110/E108,0)</f>
        <v>0</v>
      </c>
      <c r="F109" s="401"/>
      <c r="G109" s="1222"/>
      <c r="H109" s="402" t="e">
        <f>G110/H108</f>
        <v>#DIV/0!</v>
      </c>
      <c r="I109" s="402"/>
      <c r="J109" s="402"/>
      <c r="K109" s="402" t="e">
        <f>I110/K108</f>
        <v>#DIV/0!</v>
      </c>
      <c r="L109" s="403"/>
    </row>
    <row r="110" spans="2:12" ht="15" customHeight="1" x14ac:dyDescent="0.3">
      <c r="B110" s="73">
        <f t="shared" si="25"/>
        <v>8.7999999999999972</v>
      </c>
      <c r="C110" s="528" t="s">
        <v>31</v>
      </c>
      <c r="D110" s="331"/>
      <c r="E110" s="331"/>
      <c r="F110" s="331"/>
      <c r="G110" s="1220"/>
      <c r="H110" s="332"/>
      <c r="I110" s="332"/>
      <c r="J110" s="332"/>
      <c r="K110" s="332"/>
      <c r="L110" s="116"/>
    </row>
    <row r="111" spans="2:12" ht="15" customHeight="1" x14ac:dyDescent="0.3">
      <c r="B111" s="73"/>
      <c r="C111" s="528" t="s">
        <v>22</v>
      </c>
      <c r="D111" s="333"/>
      <c r="E111" s="333"/>
      <c r="F111" s="333"/>
      <c r="G111" s="333"/>
      <c r="H111" s="333"/>
      <c r="I111" s="333"/>
      <c r="J111" s="333"/>
      <c r="K111" s="333"/>
      <c r="L111" s="116"/>
    </row>
    <row r="112" spans="2:12" ht="15" customHeight="1" x14ac:dyDescent="0.3">
      <c r="B112" s="73"/>
      <c r="C112" s="528" t="s">
        <v>22</v>
      </c>
      <c r="D112" s="333"/>
      <c r="E112" s="333"/>
      <c r="F112" s="333"/>
      <c r="G112" s="333"/>
      <c r="H112" s="333"/>
      <c r="I112" s="333"/>
      <c r="J112" s="333"/>
      <c r="K112" s="333"/>
      <c r="L112" s="116"/>
    </row>
    <row r="113" spans="2:12" ht="15" customHeight="1" x14ac:dyDescent="0.3">
      <c r="B113" s="73"/>
      <c r="C113" s="528" t="s">
        <v>22</v>
      </c>
      <c r="D113" s="333"/>
      <c r="E113" s="333"/>
      <c r="F113" s="333"/>
      <c r="G113" s="333"/>
      <c r="H113" s="333"/>
      <c r="I113" s="333"/>
      <c r="J113" s="333"/>
      <c r="K113" s="333"/>
      <c r="L113" s="116"/>
    </row>
    <row r="114" spans="2:12" ht="15" customHeight="1" x14ac:dyDescent="0.3">
      <c r="B114" s="73"/>
      <c r="C114" s="528"/>
      <c r="D114" s="333"/>
      <c r="E114" s="333"/>
      <c r="F114" s="333"/>
      <c r="G114" s="333"/>
      <c r="H114" s="333"/>
      <c r="I114" s="333"/>
      <c r="J114" s="333"/>
      <c r="K114" s="333"/>
      <c r="L114" s="116"/>
    </row>
    <row r="115" spans="2:12" ht="15" customHeight="1" x14ac:dyDescent="0.3">
      <c r="B115" s="74">
        <v>9</v>
      </c>
      <c r="C115" s="530" t="s">
        <v>267</v>
      </c>
      <c r="D115" s="333"/>
      <c r="E115" s="333"/>
      <c r="F115" s="333"/>
      <c r="G115" s="333"/>
      <c r="H115" s="333"/>
      <c r="I115" s="333"/>
      <c r="J115" s="333"/>
      <c r="K115" s="333"/>
      <c r="L115" s="116"/>
    </row>
    <row r="116" spans="2:12" ht="15" customHeight="1" x14ac:dyDescent="0.3">
      <c r="B116" s="73">
        <f t="shared" ref="B116:B123" si="26">B115+0.1</f>
        <v>9.1</v>
      </c>
      <c r="C116" s="528" t="s">
        <v>27</v>
      </c>
      <c r="D116" s="333"/>
      <c r="E116" s="333">
        <f t="shared" ref="E116:E123" si="27">E33+E43+E53+E63+E73+E83+E93+E103</f>
        <v>4475.2996766999995</v>
      </c>
      <c r="F116" s="333"/>
      <c r="G116" s="333">
        <f t="shared" ref="G116:H123" si="28">G33+G43+G53+G63+G73+G83+G93+G103</f>
        <v>4448.8164115010568</v>
      </c>
      <c r="H116" s="333">
        <f t="shared" si="28"/>
        <v>4155.4901000050568</v>
      </c>
      <c r="I116" s="333">
        <f t="shared" ref="I116:K116" si="29">I33+I43+I53+I63+I73+I83+I93+I103</f>
        <v>3841.4215250090565</v>
      </c>
      <c r="J116" s="333">
        <f t="shared" si="29"/>
        <v>3527.3529500130562</v>
      </c>
      <c r="K116" s="333">
        <f t="shared" si="29"/>
        <v>3213.0843750170566</v>
      </c>
      <c r="L116" s="116"/>
    </row>
    <row r="117" spans="2:12" ht="15" customHeight="1" x14ac:dyDescent="0.3">
      <c r="B117" s="73">
        <f t="shared" si="26"/>
        <v>9.1999999999999993</v>
      </c>
      <c r="C117" s="528" t="s">
        <v>386</v>
      </c>
      <c r="D117" s="333"/>
      <c r="E117" s="333">
        <f t="shared" si="27"/>
        <v>0</v>
      </c>
      <c r="F117" s="333"/>
      <c r="G117" s="333">
        <f t="shared" si="28"/>
        <v>0</v>
      </c>
      <c r="H117" s="333">
        <f t="shared" si="28"/>
        <v>0</v>
      </c>
      <c r="I117" s="333">
        <f t="shared" ref="I117:K117" si="30">I34+I44+I54+I64+I74+I84+I94+I104</f>
        <v>0</v>
      </c>
      <c r="J117" s="333">
        <f t="shared" si="30"/>
        <v>0</v>
      </c>
      <c r="K117" s="333">
        <f t="shared" si="30"/>
        <v>0</v>
      </c>
      <c r="L117" s="116"/>
    </row>
    <row r="118" spans="2:12" ht="15" customHeight="1" x14ac:dyDescent="0.3">
      <c r="B118" s="73">
        <f t="shared" si="26"/>
        <v>9.2999999999999989</v>
      </c>
      <c r="C118" s="528" t="s">
        <v>329</v>
      </c>
      <c r="D118" s="333"/>
      <c r="E118" s="333">
        <f t="shared" si="27"/>
        <v>0</v>
      </c>
      <c r="F118" s="333"/>
      <c r="G118" s="333">
        <f t="shared" si="28"/>
        <v>19</v>
      </c>
      <c r="H118" s="333">
        <f t="shared" si="28"/>
        <v>0</v>
      </c>
      <c r="I118" s="333">
        <f t="shared" ref="I118:K118" si="31">I35+I45+I55+I65+I75+I85+I95+I105</f>
        <v>0</v>
      </c>
      <c r="J118" s="333">
        <f t="shared" si="31"/>
        <v>0</v>
      </c>
      <c r="K118" s="333">
        <f t="shared" si="31"/>
        <v>0</v>
      </c>
      <c r="L118" s="116"/>
    </row>
    <row r="119" spans="2:12" ht="15" customHeight="1" x14ac:dyDescent="0.3">
      <c r="B119" s="73">
        <f t="shared" si="26"/>
        <v>9.3999999999999986</v>
      </c>
      <c r="C119" s="528" t="s">
        <v>28</v>
      </c>
      <c r="D119" s="333"/>
      <c r="E119" s="333">
        <f t="shared" si="27"/>
        <v>26.483265198942807</v>
      </c>
      <c r="F119" s="333"/>
      <c r="G119" s="333">
        <f t="shared" si="28"/>
        <v>312.32631149600002</v>
      </c>
      <c r="H119" s="333">
        <f t="shared" si="28"/>
        <v>314.068574996</v>
      </c>
      <c r="I119" s="333">
        <f t="shared" ref="I119:K119" si="32">I36+I46+I56+I66+I76+I86+I96+I106</f>
        <v>314.068574996</v>
      </c>
      <c r="J119" s="333">
        <f t="shared" si="32"/>
        <v>314.26857499599998</v>
      </c>
      <c r="K119" s="333">
        <f t="shared" si="32"/>
        <v>251.26857499600001</v>
      </c>
      <c r="L119" s="116"/>
    </row>
    <row r="120" spans="2:12" ht="15" customHeight="1" x14ac:dyDescent="0.3">
      <c r="B120" s="73">
        <f t="shared" si="26"/>
        <v>9.4999999999999982</v>
      </c>
      <c r="C120" s="528" t="s">
        <v>29</v>
      </c>
      <c r="D120" s="333"/>
      <c r="E120" s="333">
        <f t="shared" si="27"/>
        <v>4448.8164115010568</v>
      </c>
      <c r="F120" s="333"/>
      <c r="G120" s="333">
        <f t="shared" si="28"/>
        <v>4155.4901000050568</v>
      </c>
      <c r="H120" s="333">
        <f t="shared" si="28"/>
        <v>3841.4215250090565</v>
      </c>
      <c r="I120" s="333">
        <f t="shared" ref="I120:K120" si="33">I37+I47+I57+I67+I77+I87+I97+I107</f>
        <v>3527.3529500130562</v>
      </c>
      <c r="J120" s="333">
        <f t="shared" si="33"/>
        <v>3213.0843750170566</v>
      </c>
      <c r="K120" s="333">
        <f t="shared" si="33"/>
        <v>2961.8158000210569</v>
      </c>
      <c r="L120" s="116"/>
    </row>
    <row r="121" spans="2:12" ht="15" customHeight="1" x14ac:dyDescent="0.3">
      <c r="B121" s="73">
        <f t="shared" si="26"/>
        <v>9.5999999999999979</v>
      </c>
      <c r="C121" s="528" t="s">
        <v>446</v>
      </c>
      <c r="D121" s="333"/>
      <c r="E121" s="333">
        <f>AVERAGE(E116,E120)</f>
        <v>4462.0580441005277</v>
      </c>
      <c r="F121" s="333"/>
      <c r="G121" s="333">
        <f t="shared" ref="G121:H121" si="34">AVERAGE(G116,G120)</f>
        <v>4302.1532557530572</v>
      </c>
      <c r="H121" s="333">
        <f t="shared" si="34"/>
        <v>3998.4558125070566</v>
      </c>
      <c r="I121" s="333">
        <f t="shared" ref="I121" si="35">AVERAGE(I116,I120)</f>
        <v>3684.3872375110564</v>
      </c>
      <c r="J121" s="333">
        <f t="shared" ref="J121" si="36">AVERAGE(J116,J120)</f>
        <v>3370.2186625150562</v>
      </c>
      <c r="K121" s="333">
        <f t="shared" ref="K121" si="37">AVERAGE(K116,K120)</f>
        <v>3087.450087519057</v>
      </c>
      <c r="L121" s="116"/>
    </row>
    <row r="122" spans="2:12" s="404" customFormat="1" ht="15" customHeight="1" x14ac:dyDescent="0.3">
      <c r="B122" s="1221">
        <f t="shared" si="26"/>
        <v>9.6999999999999975</v>
      </c>
      <c r="C122" s="529" t="s">
        <v>30</v>
      </c>
      <c r="D122" s="403"/>
      <c r="E122" s="403">
        <f>(E38*E39+E48*E49+E58*E59)/SUM(E38,E48,E58)</f>
        <v>9.3265218041738984E-2</v>
      </c>
      <c r="F122" s="403"/>
      <c r="G122" s="403">
        <f>(G38*G39+G48*G49+G58*G59)/SUM(G38,G48,G58)</f>
        <v>9.3234149428497504E-2</v>
      </c>
      <c r="H122" s="403">
        <f>(H38*H39+H48*H49+H58*H59)/SUM(H38,H48,H58)</f>
        <v>9.3163212037244564E-2</v>
      </c>
      <c r="I122" s="403">
        <f t="shared" ref="I122:K122" si="38">(I38*I39+I48*I49+I58*I59)/SUM(I38,I48,I58)</f>
        <v>9.3078025017881746E-2</v>
      </c>
      <c r="J122" s="403">
        <f t="shared" si="38"/>
        <v>9.2976753033955056E-2</v>
      </c>
      <c r="K122" s="403">
        <f t="shared" si="38"/>
        <v>9.2927328672090886E-2</v>
      </c>
      <c r="L122" s="403"/>
    </row>
    <row r="123" spans="2:12" ht="15" customHeight="1" x14ac:dyDescent="0.3">
      <c r="B123" s="73">
        <f t="shared" si="26"/>
        <v>9.7999999999999972</v>
      </c>
      <c r="C123" s="528" t="s">
        <v>31</v>
      </c>
      <c r="D123" s="333"/>
      <c r="E123" s="333">
        <f t="shared" si="27"/>
        <v>32.912524087117113</v>
      </c>
      <c r="F123" s="333"/>
      <c r="G123" s="333">
        <f t="shared" si="28"/>
        <v>390.72999999999996</v>
      </c>
      <c r="H123" s="333">
        <f t="shared" si="28"/>
        <v>390.72999999999996</v>
      </c>
      <c r="I123" s="333">
        <f t="shared" ref="I123:K123" si="39">I40+I50+I60+I70+I80+I90+I100+I110</f>
        <v>390.72999999999996</v>
      </c>
      <c r="J123" s="333">
        <f t="shared" si="39"/>
        <v>390.72999999999996</v>
      </c>
      <c r="K123" s="333">
        <f t="shared" si="39"/>
        <v>365.83</v>
      </c>
      <c r="L123" s="116"/>
    </row>
    <row r="124" spans="2:12" ht="15" customHeight="1" x14ac:dyDescent="0.3">
      <c r="B124" s="73"/>
      <c r="C124" s="293"/>
      <c r="D124" s="333"/>
      <c r="E124" s="224"/>
      <c r="F124" s="333"/>
      <c r="G124" s="333"/>
      <c r="H124" s="333"/>
      <c r="I124" s="333"/>
      <c r="J124" s="333"/>
      <c r="K124" s="333"/>
      <c r="L124" s="116"/>
    </row>
    <row r="125" spans="2:12" ht="15" customHeight="1" x14ac:dyDescent="0.3">
      <c r="B125" s="73"/>
      <c r="C125" s="293"/>
      <c r="D125" s="333"/>
      <c r="E125" s="333"/>
      <c r="F125" s="333"/>
      <c r="G125" s="333"/>
      <c r="H125" s="333"/>
      <c r="I125" s="333"/>
      <c r="J125" s="333"/>
      <c r="K125" s="333"/>
      <c r="L125" s="116"/>
    </row>
    <row r="126" spans="2:12" s="17" customFormat="1" ht="15" customHeight="1" x14ac:dyDescent="0.3">
      <c r="B126" s="74">
        <v>10</v>
      </c>
      <c r="C126" s="294" t="s">
        <v>32</v>
      </c>
      <c r="D126" s="334"/>
      <c r="E126" s="334">
        <f>E123</f>
        <v>32.912524087117113</v>
      </c>
      <c r="F126" s="334"/>
      <c r="G126" s="334">
        <f>G123</f>
        <v>390.72999999999996</v>
      </c>
      <c r="H126" s="334">
        <f>H123</f>
        <v>390.72999999999996</v>
      </c>
      <c r="I126" s="334">
        <f t="shared" ref="I126:K126" si="40">I123</f>
        <v>390.72999999999996</v>
      </c>
      <c r="J126" s="334">
        <f t="shared" si="40"/>
        <v>390.72999999999996</v>
      </c>
      <c r="K126" s="334">
        <f t="shared" si="40"/>
        <v>365.83</v>
      </c>
      <c r="L126" s="291"/>
    </row>
    <row r="127" spans="2:12" ht="15" customHeight="1" x14ac:dyDescent="0.3">
      <c r="B127" s="73">
        <v>11</v>
      </c>
      <c r="C127" s="295" t="s">
        <v>33</v>
      </c>
      <c r="D127" s="333"/>
      <c r="E127" s="333"/>
      <c r="F127" s="333"/>
      <c r="G127" s="333"/>
      <c r="H127" s="333"/>
      <c r="I127" s="333"/>
      <c r="J127" s="333"/>
      <c r="K127" s="333"/>
      <c r="L127" s="116"/>
    </row>
    <row r="128" spans="2:12" ht="15" customHeight="1" x14ac:dyDescent="0.25">
      <c r="B128" s="74">
        <v>12</v>
      </c>
      <c r="C128" s="296" t="s">
        <v>34</v>
      </c>
      <c r="D128" s="333"/>
      <c r="E128" s="334">
        <f>E126-E127</f>
        <v>32.912524087117113</v>
      </c>
      <c r="F128" s="334"/>
      <c r="G128" s="334">
        <f>G126-G127</f>
        <v>390.72999999999996</v>
      </c>
      <c r="H128" s="334">
        <f>H126-H127</f>
        <v>390.72999999999996</v>
      </c>
      <c r="I128" s="334">
        <f t="shared" ref="I128:K128" si="41">I126-I127</f>
        <v>390.72999999999996</v>
      </c>
      <c r="J128" s="334">
        <f t="shared" si="41"/>
        <v>390.72999999999996</v>
      </c>
      <c r="K128" s="334">
        <f t="shared" si="41"/>
        <v>365.83</v>
      </c>
      <c r="L128" s="116"/>
    </row>
    <row r="129" spans="2:17" ht="15" customHeight="1" x14ac:dyDescent="0.25">
      <c r="B129" s="73"/>
      <c r="C129" s="297"/>
      <c r="D129" s="333"/>
      <c r="E129" s="333"/>
      <c r="F129" s="333"/>
      <c r="G129" s="333"/>
      <c r="H129" s="333"/>
      <c r="I129" s="333"/>
      <c r="J129" s="333"/>
      <c r="K129" s="333"/>
      <c r="L129" s="116"/>
    </row>
    <row r="130" spans="2:17" x14ac:dyDescent="0.25">
      <c r="C130" s="298"/>
      <c r="D130" s="298"/>
      <c r="E130" s="298"/>
      <c r="F130" s="298"/>
      <c r="G130" s="298"/>
      <c r="H130" s="299"/>
      <c r="I130" s="299"/>
      <c r="N130" s="18"/>
      <c r="O130" s="18"/>
      <c r="P130" s="18"/>
      <c r="Q130" s="18"/>
    </row>
  </sheetData>
  <mergeCells count="10">
    <mergeCell ref="B10:B11"/>
    <mergeCell ref="C10:C11"/>
    <mergeCell ref="B29:B30"/>
    <mergeCell ref="L10:L12"/>
    <mergeCell ref="L29:L31"/>
    <mergeCell ref="G10:K10"/>
    <mergeCell ref="G29:K29"/>
    <mergeCell ref="C29:C30"/>
    <mergeCell ref="D10:F10"/>
    <mergeCell ref="D29:F29"/>
  </mergeCells>
  <pageMargins left="1.02" right="0.25" top="1" bottom="1" header="0.25" footer="0.25"/>
  <pageSetup paperSize="9" scale="40" fitToHeight="0" orientation="landscape" r:id="rId1"/>
  <headerFooter alignWithMargins="0">
    <oddHeader>&amp;F</oddHeader>
  </headerFooter>
  <rowBreaks count="1" manualBreakCount="1">
    <brk id="26" max="17" man="1"/>
  </row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pageSetUpPr fitToPage="1"/>
  </sheetPr>
  <dimension ref="B2:R86"/>
  <sheetViews>
    <sheetView showGridLines="0" zoomScale="75" zoomScaleNormal="75" workbookViewId="0">
      <pane xSplit="3" ySplit="9" topLeftCell="D26" activePane="bottomRight" state="frozen"/>
      <selection pane="topRight" activeCell="D1" sqref="D1"/>
      <selection pane="bottomLeft" activeCell="A10" sqref="A10"/>
      <selection pane="bottomRight" activeCell="E35" sqref="E35"/>
    </sheetView>
  </sheetViews>
  <sheetFormatPr defaultColWidth="9.453125" defaultRowHeight="14" x14ac:dyDescent="0.25"/>
  <cols>
    <col min="1" max="1" width="6.453125" style="10" customWidth="1"/>
    <col min="2" max="2" width="8.453125" style="10" customWidth="1"/>
    <col min="3" max="3" width="64" style="10" customWidth="1"/>
    <col min="4" max="7" width="19.453125" style="10" customWidth="1"/>
    <col min="8" max="8" width="21.54296875" style="10" customWidth="1"/>
    <col min="9" max="11" width="20.54296875" style="10" customWidth="1"/>
    <col min="12" max="20" width="16.54296875" style="10" customWidth="1"/>
    <col min="21" max="16384" width="9.453125" style="10"/>
  </cols>
  <sheetData>
    <row r="2" spans="2:18" x14ac:dyDescent="0.25">
      <c r="B2" s="1406" t="str">
        <f>Index!B2</f>
        <v xml:space="preserve">      Maharashtra State Power Generation Company Ltd.</v>
      </c>
      <c r="C2" s="1406"/>
      <c r="D2" s="1406"/>
      <c r="E2" s="1406"/>
      <c r="F2" s="1406"/>
      <c r="G2" s="1406"/>
      <c r="H2" s="1406"/>
      <c r="I2" s="1406"/>
      <c r="J2" s="1406"/>
      <c r="K2" s="1406"/>
      <c r="L2" s="1406"/>
      <c r="M2" s="1406"/>
      <c r="N2" s="1406"/>
    </row>
    <row r="3" spans="2:18" ht="15" customHeight="1" x14ac:dyDescent="0.25">
      <c r="B3" s="1406" t="str">
        <f>Index!B3</f>
        <v>MYT Petition Formats for Bhusawal Unit 6</v>
      </c>
      <c r="C3" s="1406"/>
      <c r="D3" s="1406"/>
      <c r="E3" s="1406"/>
      <c r="F3" s="1406"/>
      <c r="G3" s="1406"/>
      <c r="H3" s="1406"/>
      <c r="I3" s="1406"/>
      <c r="J3" s="1406"/>
      <c r="K3" s="1406"/>
      <c r="L3" s="1406"/>
      <c r="M3" s="1406"/>
      <c r="N3" s="1406"/>
    </row>
    <row r="4" spans="2:18" ht="15" x14ac:dyDescent="0.25">
      <c r="B4" s="1531" t="s">
        <v>891</v>
      </c>
      <c r="C4" s="1531"/>
      <c r="D4" s="1531"/>
      <c r="E4" s="1531"/>
      <c r="F4" s="1531"/>
      <c r="G4" s="1531"/>
      <c r="H4" s="1531"/>
      <c r="I4" s="1531"/>
      <c r="J4" s="1531"/>
      <c r="K4" s="1531"/>
      <c r="L4" s="1531"/>
      <c r="M4" s="1531"/>
      <c r="N4" s="1531"/>
    </row>
    <row r="6" spans="2:18" x14ac:dyDescent="0.25">
      <c r="F6" s="17" t="s">
        <v>10</v>
      </c>
    </row>
    <row r="7" spans="2:18" ht="15" customHeight="1" x14ac:dyDescent="0.25">
      <c r="B7" s="1539" t="s">
        <v>330</v>
      </c>
      <c r="C7" s="1539" t="s">
        <v>35</v>
      </c>
      <c r="D7" s="1546" t="s">
        <v>477</v>
      </c>
      <c r="E7" s="1548"/>
      <c r="F7" s="1549"/>
    </row>
    <row r="8" spans="2:18" ht="28" x14ac:dyDescent="0.25">
      <c r="B8" s="1540"/>
      <c r="C8" s="1540"/>
      <c r="D8" s="204" t="s">
        <v>1216</v>
      </c>
      <c r="E8" s="202" t="s">
        <v>77</v>
      </c>
      <c r="F8" s="202" t="s">
        <v>427</v>
      </c>
    </row>
    <row r="9" spans="2:18" x14ac:dyDescent="0.25">
      <c r="B9" s="1541"/>
      <c r="C9" s="1541"/>
      <c r="D9" s="202" t="s">
        <v>78</v>
      </c>
      <c r="E9" s="202" t="s">
        <v>79</v>
      </c>
      <c r="F9" s="202" t="s">
        <v>627</v>
      </c>
    </row>
    <row r="10" spans="2:18" x14ac:dyDescent="0.25">
      <c r="B10" s="77">
        <v>1</v>
      </c>
      <c r="C10" s="76" t="s">
        <v>561</v>
      </c>
      <c r="D10" s="218">
        <v>994.68</v>
      </c>
      <c r="E10" s="218">
        <f>Assumptions!G213</f>
        <v>0</v>
      </c>
      <c r="F10" s="218">
        <f>E10-D10</f>
        <v>-994.68</v>
      </c>
      <c r="P10" s="224"/>
      <c r="Q10" s="224"/>
      <c r="R10" s="224"/>
    </row>
    <row r="11" spans="2:18" x14ac:dyDescent="0.25">
      <c r="B11" s="77">
        <f>B10+1</f>
        <v>2</v>
      </c>
      <c r="C11" s="76" t="s">
        <v>515</v>
      </c>
      <c r="D11" s="209"/>
      <c r="E11" s="209"/>
      <c r="F11" s="209">
        <f>E11-D11</f>
        <v>0</v>
      </c>
      <c r="P11" s="224"/>
      <c r="Q11" s="224"/>
      <c r="R11" s="224"/>
    </row>
    <row r="12" spans="2:18" x14ac:dyDescent="0.25">
      <c r="B12" s="77">
        <f t="shared" ref="B12:B21" si="0">B11+1</f>
        <v>3</v>
      </c>
      <c r="C12" s="76" t="s">
        <v>562</v>
      </c>
      <c r="D12" s="209">
        <f>'F4'!D16*30%</f>
        <v>1492.0170000000001</v>
      </c>
      <c r="E12" s="209">
        <v>862.73708301060003</v>
      </c>
      <c r="F12" s="209">
        <f>E12-D12</f>
        <v>-629.27991698940002</v>
      </c>
      <c r="G12" s="404" t="s">
        <v>2860</v>
      </c>
      <c r="P12" s="224"/>
      <c r="Q12" s="224"/>
      <c r="R12" s="224"/>
    </row>
    <row r="13" spans="2:18" x14ac:dyDescent="0.3">
      <c r="B13" s="173">
        <f t="shared" si="0"/>
        <v>4</v>
      </c>
      <c r="C13" s="24" t="s">
        <v>36</v>
      </c>
      <c r="D13" s="209"/>
      <c r="E13" s="209">
        <f>IFERROR('F5'!F33*E10/'F5'!D33,0)</f>
        <v>0</v>
      </c>
      <c r="F13" s="218">
        <f>E13-D13</f>
        <v>0</v>
      </c>
      <c r="P13" s="224"/>
      <c r="Q13" s="224"/>
      <c r="R13" s="224"/>
    </row>
    <row r="14" spans="2:18" x14ac:dyDescent="0.25">
      <c r="B14" s="77">
        <f t="shared" si="0"/>
        <v>5</v>
      </c>
      <c r="C14" s="76" t="s">
        <v>37</v>
      </c>
      <c r="D14" s="218">
        <f>D10+D12-D13</f>
        <v>2486.6970000000001</v>
      </c>
      <c r="E14" s="218">
        <f>E10+E12-E13</f>
        <v>862.73708301060003</v>
      </c>
      <c r="F14" s="209">
        <f>E14-D14</f>
        <v>-1623.9599169894</v>
      </c>
      <c r="H14" s="350"/>
      <c r="P14" s="224"/>
      <c r="Q14" s="224"/>
      <c r="R14" s="224"/>
    </row>
    <row r="15" spans="2:18" x14ac:dyDescent="0.25">
      <c r="B15" s="77"/>
      <c r="C15" s="76"/>
      <c r="D15" s="209"/>
      <c r="E15" s="209"/>
      <c r="F15" s="209"/>
      <c r="P15" s="224"/>
      <c r="Q15" s="224"/>
      <c r="R15" s="224"/>
    </row>
    <row r="16" spans="2:18" x14ac:dyDescent="0.25">
      <c r="B16" s="77"/>
      <c r="C16" s="78" t="s">
        <v>391</v>
      </c>
      <c r="D16" s="19"/>
      <c r="E16" s="19"/>
      <c r="F16" s="209"/>
      <c r="P16" s="224"/>
      <c r="Q16" s="224"/>
      <c r="R16" s="224"/>
    </row>
    <row r="17" spans="2:18" x14ac:dyDescent="0.25">
      <c r="B17" s="77">
        <v>6</v>
      </c>
      <c r="C17" s="76" t="s">
        <v>517</v>
      </c>
      <c r="D17" s="226">
        <v>0.14000000000000001</v>
      </c>
      <c r="E17" s="398">
        <f>Assumptions!$G$212</f>
        <v>0.14000000000000001</v>
      </c>
      <c r="F17" s="227">
        <f>E17-D17</f>
        <v>0</v>
      </c>
      <c r="P17" s="224"/>
      <c r="Q17" s="224"/>
      <c r="R17" s="224"/>
    </row>
    <row r="18" spans="2:18" x14ac:dyDescent="0.25">
      <c r="B18" s="77">
        <v>7</v>
      </c>
      <c r="C18" s="76" t="s">
        <v>544</v>
      </c>
      <c r="D18" s="227">
        <f>D17/(1-D23)</f>
        <v>0.14000000000000001</v>
      </c>
      <c r="E18" s="399">
        <f>E17/(1-E23)</f>
        <v>0.14000000000000001</v>
      </c>
      <c r="F18" s="227">
        <f>E18-D18</f>
        <v>0</v>
      </c>
      <c r="P18" s="224"/>
      <c r="Q18" s="224"/>
      <c r="R18" s="224"/>
    </row>
    <row r="19" spans="2:18" x14ac:dyDescent="0.25">
      <c r="B19" s="77">
        <v>8</v>
      </c>
      <c r="C19" s="76" t="s">
        <v>518</v>
      </c>
      <c r="D19" s="209">
        <f>D10*D18</f>
        <v>139.2552</v>
      </c>
      <c r="E19" s="209">
        <f>E10*E18</f>
        <v>0</v>
      </c>
      <c r="F19" s="209">
        <f>E19-D19</f>
        <v>-139.2552</v>
      </c>
      <c r="P19" s="224"/>
      <c r="Q19" s="224"/>
      <c r="R19" s="224"/>
    </row>
    <row r="20" spans="2:18" x14ac:dyDescent="0.25">
      <c r="B20" s="77">
        <f t="shared" si="0"/>
        <v>9</v>
      </c>
      <c r="C20" s="76" t="s">
        <v>519</v>
      </c>
      <c r="D20" s="209">
        <f>(D12-D13)*D18/2</f>
        <v>104.44119000000002</v>
      </c>
      <c r="E20" s="209">
        <f>(E12-E13)*E18*38/365</f>
        <v>12.574688442784637</v>
      </c>
      <c r="F20" s="209">
        <f>E20-D20</f>
        <v>-91.866501557215386</v>
      </c>
      <c r="P20" s="224"/>
      <c r="Q20" s="224"/>
      <c r="R20" s="224"/>
    </row>
    <row r="21" spans="2:18" x14ac:dyDescent="0.25">
      <c r="B21" s="89">
        <f t="shared" si="0"/>
        <v>10</v>
      </c>
      <c r="C21" s="78" t="s">
        <v>392</v>
      </c>
      <c r="D21" s="223">
        <f>SUM(D19:D20)</f>
        <v>243.69639000000001</v>
      </c>
      <c r="E21" s="223">
        <f>SUM(E19:E20)</f>
        <v>12.574688442784637</v>
      </c>
      <c r="F21" s="247">
        <f>E21-D21</f>
        <v>-231.12170155721537</v>
      </c>
      <c r="P21" s="224"/>
      <c r="Q21" s="224"/>
      <c r="R21" s="224"/>
    </row>
    <row r="22" spans="2:18" x14ac:dyDescent="0.25">
      <c r="B22" s="19"/>
      <c r="C22" s="19"/>
      <c r="D22" s="19"/>
      <c r="E22" s="19"/>
      <c r="F22" s="209"/>
      <c r="P22" s="224"/>
      <c r="Q22" s="224"/>
      <c r="R22" s="224"/>
    </row>
    <row r="23" spans="2:18" x14ac:dyDescent="0.25">
      <c r="B23" s="77"/>
      <c r="C23" s="78" t="s">
        <v>707</v>
      </c>
      <c r="D23" s="19"/>
      <c r="E23" s="226"/>
      <c r="F23" s="218"/>
    </row>
    <row r="27" spans="2:18" x14ac:dyDescent="0.25">
      <c r="C27" s="206" t="s">
        <v>658</v>
      </c>
    </row>
    <row r="29" spans="2:18" x14ac:dyDescent="0.25">
      <c r="B29" s="1408" t="s">
        <v>327</v>
      </c>
      <c r="C29" s="1411" t="s">
        <v>35</v>
      </c>
      <c r="D29" s="1583" t="s">
        <v>136</v>
      </c>
      <c r="E29" s="177" t="s">
        <v>477</v>
      </c>
    </row>
    <row r="30" spans="2:18" ht="28" x14ac:dyDescent="0.25">
      <c r="B30" s="1409"/>
      <c r="C30" s="1411"/>
      <c r="D30" s="1584"/>
      <c r="E30" s="97" t="s">
        <v>77</v>
      </c>
    </row>
    <row r="31" spans="2:18" x14ac:dyDescent="0.25">
      <c r="B31" s="73">
        <v>1</v>
      </c>
      <c r="C31" s="76" t="s">
        <v>664</v>
      </c>
      <c r="D31" s="77" t="s">
        <v>96</v>
      </c>
      <c r="E31" s="19"/>
    </row>
    <row r="32" spans="2:18" x14ac:dyDescent="0.25">
      <c r="B32" s="77">
        <f>B31+1</f>
        <v>2</v>
      </c>
      <c r="C32" s="76" t="s">
        <v>659</v>
      </c>
      <c r="D32" s="77" t="s">
        <v>96</v>
      </c>
      <c r="E32" s="245">
        <f>Assumptions!G214</f>
        <v>5.0000000000000001E-3</v>
      </c>
    </row>
    <row r="33" spans="2:14" x14ac:dyDescent="0.25">
      <c r="B33" s="77"/>
      <c r="C33" s="76"/>
      <c r="D33" s="76"/>
      <c r="E33" s="19"/>
    </row>
    <row r="34" spans="2:14" x14ac:dyDescent="0.3">
      <c r="B34" s="77">
        <v>3</v>
      </c>
      <c r="C34" s="24" t="s">
        <v>665</v>
      </c>
      <c r="D34" s="207" t="s">
        <v>660</v>
      </c>
      <c r="E34" s="19"/>
    </row>
    <row r="35" spans="2:14" x14ac:dyDescent="0.25">
      <c r="B35" s="77">
        <f>B34+1</f>
        <v>4</v>
      </c>
      <c r="C35" s="76" t="s">
        <v>661</v>
      </c>
      <c r="D35" s="77" t="s">
        <v>96</v>
      </c>
      <c r="E35" s="245">
        <f>Assumptions!G215</f>
        <v>0</v>
      </c>
    </row>
    <row r="36" spans="2:14" x14ac:dyDescent="0.25">
      <c r="B36" s="77"/>
      <c r="C36" s="76"/>
      <c r="D36" s="76"/>
      <c r="E36" s="19"/>
    </row>
    <row r="37" spans="2:14" x14ac:dyDescent="0.25">
      <c r="B37" s="77">
        <v>5</v>
      </c>
      <c r="C37" s="76" t="s">
        <v>666</v>
      </c>
      <c r="D37" s="77" t="s">
        <v>96</v>
      </c>
      <c r="E37" s="398">
        <f>E32+E35</f>
        <v>5.0000000000000001E-3</v>
      </c>
    </row>
    <row r="38" spans="2:14" x14ac:dyDescent="0.25">
      <c r="B38" s="77"/>
      <c r="C38" s="76"/>
      <c r="D38" s="76"/>
      <c r="E38" s="19"/>
    </row>
    <row r="39" spans="2:14" x14ac:dyDescent="0.25">
      <c r="B39" s="77"/>
      <c r="C39" s="78" t="s">
        <v>663</v>
      </c>
      <c r="D39" s="76"/>
      <c r="E39" s="19"/>
    </row>
    <row r="40" spans="2:14" x14ac:dyDescent="0.25">
      <c r="B40" s="77">
        <v>6</v>
      </c>
      <c r="C40" s="76" t="s">
        <v>563</v>
      </c>
      <c r="D40" s="77" t="s">
        <v>423</v>
      </c>
      <c r="E40" s="211">
        <f>E10*E37</f>
        <v>0</v>
      </c>
    </row>
    <row r="41" spans="2:14" x14ac:dyDescent="0.25">
      <c r="B41" s="77">
        <v>7</v>
      </c>
      <c r="C41" s="76" t="s">
        <v>564</v>
      </c>
      <c r="D41" s="77" t="s">
        <v>423</v>
      </c>
      <c r="E41" s="211">
        <f>(E12-E13)*E37/365*38</f>
        <v>0.44909601581373704</v>
      </c>
    </row>
    <row r="42" spans="2:14" x14ac:dyDescent="0.25">
      <c r="B42" s="89">
        <v>8</v>
      </c>
      <c r="C42" s="78" t="s">
        <v>662</v>
      </c>
      <c r="D42" s="78"/>
      <c r="E42" s="346">
        <f>SUM(E40:E41)</f>
        <v>0.44909601581373704</v>
      </c>
    </row>
    <row r="43" spans="2:14" x14ac:dyDescent="0.25">
      <c r="E43" s="350">
        <f>E42+E21</f>
        <v>13.023784458598374</v>
      </c>
    </row>
    <row r="44" spans="2:14" x14ac:dyDescent="0.25">
      <c r="C44" s="1582"/>
      <c r="D44" s="1582"/>
      <c r="E44" s="1582"/>
      <c r="F44" s="1582"/>
      <c r="G44" s="1582"/>
      <c r="H44" s="1582"/>
      <c r="I44" s="1582"/>
      <c r="J44" s="1582"/>
      <c r="K44" s="1582"/>
      <c r="L44" s="1582"/>
      <c r="M44" s="1582"/>
      <c r="N44" s="1582"/>
    </row>
    <row r="50" spans="2:9" x14ac:dyDescent="0.25">
      <c r="B50" s="17" t="s">
        <v>2988</v>
      </c>
    </row>
    <row r="51" spans="2:9" ht="15" x14ac:dyDescent="0.25">
      <c r="B51" s="139" t="s">
        <v>330</v>
      </c>
      <c r="C51" s="535" t="s">
        <v>35</v>
      </c>
      <c r="D51" s="1416" t="s">
        <v>848</v>
      </c>
      <c r="E51" s="1417"/>
      <c r="F51" s="1417"/>
      <c r="G51" s="1417"/>
      <c r="H51" s="1418"/>
      <c r="I51" s="537" t="s">
        <v>25</v>
      </c>
    </row>
    <row r="52" spans="2:9" ht="15" x14ac:dyDescent="0.25">
      <c r="B52" s="656"/>
      <c r="C52" s="164"/>
      <c r="D52" s="456" t="s">
        <v>849</v>
      </c>
      <c r="E52" s="456" t="s">
        <v>850</v>
      </c>
      <c r="F52" s="456" t="s">
        <v>851</v>
      </c>
      <c r="G52" s="456" t="s">
        <v>852</v>
      </c>
      <c r="H52" s="456" t="s">
        <v>853</v>
      </c>
      <c r="I52" s="538"/>
    </row>
    <row r="53" spans="2:9" x14ac:dyDescent="0.25">
      <c r="B53" s="657"/>
      <c r="C53" s="536"/>
      <c r="D53" s="97" t="s">
        <v>20</v>
      </c>
      <c r="E53" s="97" t="s">
        <v>20</v>
      </c>
      <c r="F53" s="97" t="s">
        <v>20</v>
      </c>
      <c r="G53" s="97" t="s">
        <v>20</v>
      </c>
      <c r="H53" s="97" t="s">
        <v>20</v>
      </c>
      <c r="I53" s="539"/>
    </row>
    <row r="54" spans="2:9" x14ac:dyDescent="0.25">
      <c r="B54" s="77">
        <v>1</v>
      </c>
      <c r="C54" s="76" t="s">
        <v>561</v>
      </c>
      <c r="D54" s="209">
        <f>E14</f>
        <v>862.73708301060003</v>
      </c>
      <c r="E54" s="209">
        <f>D58</f>
        <v>910.34054325741727</v>
      </c>
      <c r="F54" s="209">
        <f t="shared" ref="F54:H54" si="1">E58</f>
        <v>1056.5735463100914</v>
      </c>
      <c r="G54" s="209">
        <f t="shared" si="1"/>
        <v>1083.9755463100914</v>
      </c>
      <c r="H54" s="209">
        <f t="shared" si="1"/>
        <v>1083.9755463100914</v>
      </c>
      <c r="I54" s="209"/>
    </row>
    <row r="55" spans="2:9" x14ac:dyDescent="0.25">
      <c r="B55" s="77">
        <f>B54+1</f>
        <v>2</v>
      </c>
      <c r="C55" s="76" t="s">
        <v>515</v>
      </c>
      <c r="D55" s="209"/>
      <c r="E55" s="209"/>
      <c r="F55" s="209"/>
      <c r="G55" s="209"/>
      <c r="H55" s="209"/>
      <c r="I55" s="209"/>
    </row>
    <row r="56" spans="2:9" x14ac:dyDescent="0.25">
      <c r="B56" s="77">
        <f t="shared" ref="B56:B65" si="2">B55+1</f>
        <v>3</v>
      </c>
      <c r="C56" s="76" t="s">
        <v>562</v>
      </c>
      <c r="D56" s="209">
        <f>'F4'!G14*Assumptions!H16</f>
        <v>47.603460246817214</v>
      </c>
      <c r="E56" s="209">
        <f>'F4'!H14*Assumptions!I16</f>
        <v>146.23300305267404</v>
      </c>
      <c r="F56" s="209">
        <f>'F4'!I14*Assumptions!J16</f>
        <v>27.402000000000001</v>
      </c>
      <c r="G56" s="209">
        <f>'F4'!J14*Assumptions!K16</f>
        <v>0</v>
      </c>
      <c r="H56" s="209">
        <f>'F4'!K14*Assumptions!L16</f>
        <v>0</v>
      </c>
      <c r="I56" s="209"/>
    </row>
    <row r="57" spans="2:9" x14ac:dyDescent="0.3">
      <c r="B57" s="173">
        <f t="shared" si="2"/>
        <v>4</v>
      </c>
      <c r="C57" s="24" t="s">
        <v>36</v>
      </c>
      <c r="D57" s="209">
        <f>'F5'!K33*'F7'!D54/'F5'!I33</f>
        <v>0</v>
      </c>
      <c r="E57" s="209">
        <f>'F5'!F59*'F7'!E54/'F5'!D59</f>
        <v>0</v>
      </c>
      <c r="F57" s="209">
        <f>'F5'!K59*'F7'!F54/'F5'!I59</f>
        <v>0</v>
      </c>
      <c r="G57" s="209">
        <f>'F5'!P59*'F7'!G54/'F5'!N59</f>
        <v>0</v>
      </c>
      <c r="H57" s="209">
        <f>'F5'!U59*'F7'!H54/'F5'!S59</f>
        <v>0</v>
      </c>
      <c r="I57" s="209"/>
    </row>
    <row r="58" spans="2:9" x14ac:dyDescent="0.25">
      <c r="B58" s="77">
        <f t="shared" si="2"/>
        <v>5</v>
      </c>
      <c r="C58" s="76" t="s">
        <v>37</v>
      </c>
      <c r="D58" s="209">
        <f>D54+D56-D57</f>
        <v>910.34054325741727</v>
      </c>
      <c r="E58" s="209">
        <f>E54+E56-E57</f>
        <v>1056.5735463100914</v>
      </c>
      <c r="F58" s="209">
        <f t="shared" ref="F58:H58" si="3">F54+F56-F57</f>
        <v>1083.9755463100914</v>
      </c>
      <c r="G58" s="209">
        <f t="shared" si="3"/>
        <v>1083.9755463100914</v>
      </c>
      <c r="H58" s="209">
        <f t="shared" si="3"/>
        <v>1083.9755463100914</v>
      </c>
      <c r="I58" s="209"/>
    </row>
    <row r="59" spans="2:9" x14ac:dyDescent="0.25">
      <c r="B59" s="77"/>
      <c r="C59" s="76"/>
      <c r="D59" s="209"/>
      <c r="E59" s="209"/>
      <c r="F59" s="209"/>
      <c r="G59" s="209"/>
      <c r="H59" s="209"/>
      <c r="I59" s="209"/>
    </row>
    <row r="60" spans="2:9" x14ac:dyDescent="0.25">
      <c r="B60" s="77"/>
      <c r="C60" s="78" t="s">
        <v>391</v>
      </c>
      <c r="D60" s="209"/>
      <c r="E60" s="209"/>
      <c r="F60" s="209"/>
      <c r="G60" s="209"/>
      <c r="H60" s="209"/>
      <c r="I60" s="209"/>
    </row>
    <row r="61" spans="2:9" x14ac:dyDescent="0.25">
      <c r="B61" s="77">
        <v>6</v>
      </c>
      <c r="C61" s="76" t="s">
        <v>517</v>
      </c>
      <c r="D61" s="398">
        <f>Assumptions!H212</f>
        <v>0.155</v>
      </c>
      <c r="E61" s="398">
        <f>Assumptions!I212</f>
        <v>0.155</v>
      </c>
      <c r="F61" s="398">
        <f>Assumptions!J212</f>
        <v>0.155</v>
      </c>
      <c r="G61" s="398">
        <f>Assumptions!K212</f>
        <v>0.155</v>
      </c>
      <c r="H61" s="398">
        <f>Assumptions!L212</f>
        <v>0.155</v>
      </c>
      <c r="I61" s="209"/>
    </row>
    <row r="62" spans="2:9" x14ac:dyDescent="0.25">
      <c r="B62" s="77">
        <v>7</v>
      </c>
      <c r="C62" s="76" t="s">
        <v>544</v>
      </c>
      <c r="D62" s="398">
        <f>D61/(1-Assumptions!H$219)</f>
        <v>0.155</v>
      </c>
      <c r="E62" s="398">
        <f>E61/(1-Assumptions!I$219)</f>
        <v>0.155</v>
      </c>
      <c r="F62" s="398">
        <f>F61/(1-Assumptions!J$219)</f>
        <v>0.155</v>
      </c>
      <c r="G62" s="398">
        <f>G61/(1-Assumptions!K$219)</f>
        <v>0.155</v>
      </c>
      <c r="H62" s="398">
        <f>H61/(1-Assumptions!L$219)</f>
        <v>0.155</v>
      </c>
      <c r="I62" s="209"/>
    </row>
    <row r="63" spans="2:9" x14ac:dyDescent="0.25">
      <c r="B63" s="77">
        <v>8</v>
      </c>
      <c r="C63" s="76" t="s">
        <v>518</v>
      </c>
      <c r="D63" s="209">
        <f>D54*D62</f>
        <v>133.724247866643</v>
      </c>
      <c r="E63" s="209">
        <f>E54*E62</f>
        <v>141.10278420489968</v>
      </c>
      <c r="F63" s="209">
        <f t="shared" ref="F63:H63" si="4">F54*F62</f>
        <v>163.76889967806417</v>
      </c>
      <c r="G63" s="209">
        <f t="shared" si="4"/>
        <v>168.01620967806417</v>
      </c>
      <c r="H63" s="209">
        <f t="shared" si="4"/>
        <v>168.01620967806417</v>
      </c>
      <c r="I63" s="209"/>
    </row>
    <row r="64" spans="2:9" x14ac:dyDescent="0.25">
      <c r="B64" s="77">
        <f t="shared" si="2"/>
        <v>9</v>
      </c>
      <c r="C64" s="76" t="s">
        <v>519</v>
      </c>
      <c r="D64" s="209">
        <f>D56*D62/2</f>
        <v>3.6892681691283342</v>
      </c>
      <c r="E64" s="209">
        <f>E56*E62/2</f>
        <v>11.333057736582237</v>
      </c>
      <c r="F64" s="209">
        <f t="shared" ref="F64:H64" si="5">F56*F62/2</f>
        <v>2.1236549999999998</v>
      </c>
      <c r="G64" s="209">
        <f t="shared" si="5"/>
        <v>0</v>
      </c>
      <c r="H64" s="209">
        <f t="shared" si="5"/>
        <v>0</v>
      </c>
      <c r="I64" s="209"/>
    </row>
    <row r="65" spans="2:9" x14ac:dyDescent="0.25">
      <c r="B65" s="89">
        <f t="shared" si="2"/>
        <v>10</v>
      </c>
      <c r="C65" s="78" t="s">
        <v>392</v>
      </c>
      <c r="D65" s="223">
        <f>SUM(D63:D64)</f>
        <v>137.41351603577132</v>
      </c>
      <c r="E65" s="223">
        <f>SUM(E63:E64)</f>
        <v>152.43584194148193</v>
      </c>
      <c r="F65" s="223">
        <f t="shared" ref="F65:H65" si="6">SUM(F63:F64)</f>
        <v>165.89255467806419</v>
      </c>
      <c r="G65" s="223">
        <f t="shared" si="6"/>
        <v>168.01620967806417</v>
      </c>
      <c r="H65" s="223">
        <f t="shared" si="6"/>
        <v>168.01620967806417</v>
      </c>
      <c r="I65" s="209"/>
    </row>
    <row r="69" spans="2:9" x14ac:dyDescent="0.25">
      <c r="B69" s="17" t="s">
        <v>2989</v>
      </c>
    </row>
    <row r="70" spans="2:9" ht="15" x14ac:dyDescent="0.25">
      <c r="B70" s="139" t="s">
        <v>330</v>
      </c>
      <c r="C70" s="535" t="s">
        <v>35</v>
      </c>
      <c r="D70" s="1416" t="s">
        <v>848</v>
      </c>
      <c r="E70" s="1417"/>
      <c r="F70" s="1417"/>
      <c r="G70" s="1417"/>
      <c r="H70" s="1418"/>
      <c r="I70" s="537" t="s">
        <v>25</v>
      </c>
    </row>
    <row r="71" spans="2:9" ht="15" x14ac:dyDescent="0.25">
      <c r="B71" s="656"/>
      <c r="C71" s="164"/>
      <c r="D71" s="456" t="s">
        <v>849</v>
      </c>
      <c r="E71" s="456" t="s">
        <v>850</v>
      </c>
      <c r="F71" s="456" t="s">
        <v>851</v>
      </c>
      <c r="G71" s="456" t="s">
        <v>852</v>
      </c>
      <c r="H71" s="456" t="s">
        <v>853</v>
      </c>
      <c r="I71" s="538"/>
    </row>
    <row r="72" spans="2:9" x14ac:dyDescent="0.25">
      <c r="B72" s="657"/>
      <c r="C72" s="536"/>
      <c r="D72" s="97" t="s">
        <v>20</v>
      </c>
      <c r="E72" s="97" t="s">
        <v>20</v>
      </c>
      <c r="F72" s="97" t="s">
        <v>20</v>
      </c>
      <c r="G72" s="97" t="s">
        <v>20</v>
      </c>
      <c r="H72" s="97" t="s">
        <v>20</v>
      </c>
      <c r="I72" s="539"/>
    </row>
    <row r="73" spans="2:9" x14ac:dyDescent="0.25">
      <c r="B73" s="77">
        <v>1</v>
      </c>
      <c r="C73" s="76" t="s">
        <v>561</v>
      </c>
      <c r="D73" s="209"/>
      <c r="E73" s="209">
        <f t="shared" ref="E73:F73" si="7">D77</f>
        <v>0</v>
      </c>
      <c r="F73" s="209">
        <f t="shared" si="7"/>
        <v>0</v>
      </c>
      <c r="G73" s="209">
        <f t="shared" ref="G73" si="8">F77</f>
        <v>0</v>
      </c>
      <c r="H73" s="209">
        <f t="shared" ref="H73" si="9">G77</f>
        <v>3.75</v>
      </c>
      <c r="I73" s="209"/>
    </row>
    <row r="74" spans="2:9" x14ac:dyDescent="0.25">
      <c r="B74" s="77">
        <f>B73+1</f>
        <v>2</v>
      </c>
      <c r="C74" s="76" t="s">
        <v>515</v>
      </c>
      <c r="D74" s="209"/>
      <c r="E74" s="209"/>
      <c r="F74" s="209"/>
      <c r="G74" s="209"/>
      <c r="H74" s="209"/>
      <c r="I74" s="209"/>
    </row>
    <row r="75" spans="2:9" x14ac:dyDescent="0.25">
      <c r="B75" s="77">
        <f t="shared" ref="B75:B77" si="10">B74+1</f>
        <v>3</v>
      </c>
      <c r="C75" s="76" t="s">
        <v>562</v>
      </c>
      <c r="D75" s="209">
        <f>'F4'!G15*Assumptions!H16</f>
        <v>0</v>
      </c>
      <c r="E75" s="209">
        <f>'F4'!H15*Assumptions!I16</f>
        <v>0</v>
      </c>
      <c r="F75" s="209">
        <f>'F4'!I15*Assumptions!J16</f>
        <v>0</v>
      </c>
      <c r="G75" s="209">
        <f>'F4'!J15*Assumptions!K16</f>
        <v>3.75</v>
      </c>
      <c r="H75" s="209">
        <f>'F4'!K15*Assumptions!L16</f>
        <v>5</v>
      </c>
      <c r="I75" s="209"/>
    </row>
    <row r="76" spans="2:9" x14ac:dyDescent="0.3">
      <c r="B76" s="173">
        <f t="shared" si="10"/>
        <v>4</v>
      </c>
      <c r="C76" s="24" t="s">
        <v>36</v>
      </c>
      <c r="D76" s="209"/>
      <c r="E76" s="209"/>
      <c r="F76" s="209"/>
      <c r="G76" s="209"/>
      <c r="H76" s="209"/>
      <c r="I76" s="209"/>
    </row>
    <row r="77" spans="2:9" x14ac:dyDescent="0.25">
      <c r="B77" s="77">
        <f t="shared" si="10"/>
        <v>5</v>
      </c>
      <c r="C77" s="76" t="s">
        <v>37</v>
      </c>
      <c r="D77" s="209">
        <f>D73+D75-D76</f>
        <v>0</v>
      </c>
      <c r="E77" s="209">
        <f>E73+E75-E76</f>
        <v>0</v>
      </c>
      <c r="F77" s="209">
        <f t="shared" ref="F77:H77" si="11">F73+F75-F76</f>
        <v>0</v>
      </c>
      <c r="G77" s="209">
        <f t="shared" si="11"/>
        <v>3.75</v>
      </c>
      <c r="H77" s="209">
        <f t="shared" si="11"/>
        <v>8.75</v>
      </c>
      <c r="I77" s="209"/>
    </row>
    <row r="78" spans="2:9" x14ac:dyDescent="0.25">
      <c r="B78" s="77"/>
      <c r="C78" s="76"/>
      <c r="D78" s="209"/>
      <c r="E78" s="209"/>
      <c r="F78" s="209"/>
      <c r="G78" s="209"/>
      <c r="H78" s="209"/>
      <c r="I78" s="209"/>
    </row>
    <row r="79" spans="2:9" x14ac:dyDescent="0.25">
      <c r="B79" s="77"/>
      <c r="C79" s="78" t="s">
        <v>391</v>
      </c>
      <c r="D79" s="209"/>
      <c r="E79" s="209"/>
      <c r="F79" s="209"/>
      <c r="G79" s="209"/>
      <c r="H79" s="209"/>
      <c r="I79" s="209"/>
    </row>
    <row r="80" spans="2:9" ht="28" x14ac:dyDescent="0.25">
      <c r="B80" s="77">
        <v>6</v>
      </c>
      <c r="C80" s="76" t="s">
        <v>2990</v>
      </c>
      <c r="D80" s="398">
        <f>MIN((F2.4!$G$98+3.5%),14%)</f>
        <v>0.125</v>
      </c>
      <c r="E80" s="398">
        <f>D80</f>
        <v>0.125</v>
      </c>
      <c r="F80" s="398">
        <f t="shared" ref="F80:H80" si="12">E80</f>
        <v>0.125</v>
      </c>
      <c r="G80" s="398">
        <f t="shared" si="12"/>
        <v>0.125</v>
      </c>
      <c r="H80" s="398">
        <f t="shared" si="12"/>
        <v>0.125</v>
      </c>
      <c r="I80" s="209"/>
    </row>
    <row r="81" spans="2:9" x14ac:dyDescent="0.25">
      <c r="B81" s="77">
        <f>B80+1</f>
        <v>7</v>
      </c>
      <c r="C81" s="76" t="s">
        <v>2995</v>
      </c>
      <c r="D81" s="398">
        <v>1.4999999999999999E-2</v>
      </c>
      <c r="E81" s="398">
        <f>D81</f>
        <v>1.4999999999999999E-2</v>
      </c>
      <c r="F81" s="398">
        <f t="shared" ref="F81:H81" si="13">E81</f>
        <v>1.4999999999999999E-2</v>
      </c>
      <c r="G81" s="398">
        <f t="shared" si="13"/>
        <v>1.4999999999999999E-2</v>
      </c>
      <c r="H81" s="398">
        <f t="shared" si="13"/>
        <v>1.4999999999999999E-2</v>
      </c>
      <c r="I81" s="209"/>
    </row>
    <row r="82" spans="2:9" x14ac:dyDescent="0.25">
      <c r="B82" s="89">
        <f t="shared" ref="B82:B86" si="14">B81+1</f>
        <v>8</v>
      </c>
      <c r="C82" s="78" t="s">
        <v>2996</v>
      </c>
      <c r="D82" s="1216">
        <f>SUM(D80:D81)</f>
        <v>0.14000000000000001</v>
      </c>
      <c r="E82" s="1216">
        <f t="shared" ref="E82:H82" si="15">SUM(E80:E81)</f>
        <v>0.14000000000000001</v>
      </c>
      <c r="F82" s="1216">
        <f t="shared" si="15"/>
        <v>0.14000000000000001</v>
      </c>
      <c r="G82" s="1216">
        <f t="shared" si="15"/>
        <v>0.14000000000000001</v>
      </c>
      <c r="H82" s="1216">
        <f t="shared" si="15"/>
        <v>0.14000000000000001</v>
      </c>
      <c r="I82" s="209"/>
    </row>
    <row r="83" spans="2:9" x14ac:dyDescent="0.25">
      <c r="B83" s="89">
        <f t="shared" si="14"/>
        <v>9</v>
      </c>
      <c r="C83" s="78" t="s">
        <v>544</v>
      </c>
      <c r="D83" s="1216">
        <f>D82/(1-Assumptions!H$219)</f>
        <v>0.14000000000000001</v>
      </c>
      <c r="E83" s="1216">
        <f>E82/(1-Assumptions!I$219)</f>
        <v>0.14000000000000001</v>
      </c>
      <c r="F83" s="1216">
        <f>F82/(1-Assumptions!J$219)</f>
        <v>0.14000000000000001</v>
      </c>
      <c r="G83" s="1216">
        <f>G82/(1-Assumptions!K$219)</f>
        <v>0.14000000000000001</v>
      </c>
      <c r="H83" s="1216">
        <f>H82/(1-Assumptions!L$219)</f>
        <v>0.14000000000000001</v>
      </c>
      <c r="I83" s="209"/>
    </row>
    <row r="84" spans="2:9" x14ac:dyDescent="0.25">
      <c r="B84" s="77">
        <f t="shared" si="14"/>
        <v>10</v>
      </c>
      <c r="C84" s="76" t="s">
        <v>518</v>
      </c>
      <c r="D84" s="209">
        <f>D73*D83</f>
        <v>0</v>
      </c>
      <c r="E84" s="209">
        <f>E73*E83</f>
        <v>0</v>
      </c>
      <c r="F84" s="209">
        <f t="shared" ref="F84:H84" si="16">F73*F83</f>
        <v>0</v>
      </c>
      <c r="G84" s="209">
        <f t="shared" si="16"/>
        <v>0</v>
      </c>
      <c r="H84" s="209">
        <f t="shared" si="16"/>
        <v>0.52500000000000002</v>
      </c>
      <c r="I84" s="209"/>
    </row>
    <row r="85" spans="2:9" x14ac:dyDescent="0.25">
      <c r="B85" s="77">
        <f t="shared" si="14"/>
        <v>11</v>
      </c>
      <c r="C85" s="76" t="s">
        <v>519</v>
      </c>
      <c r="D85" s="209">
        <f>D75*D83/2</f>
        <v>0</v>
      </c>
      <c r="E85" s="209">
        <f>E75*E83/2</f>
        <v>0</v>
      </c>
      <c r="F85" s="209">
        <f t="shared" ref="F85:H85" si="17">F75*F83/2</f>
        <v>0</v>
      </c>
      <c r="G85" s="209">
        <f t="shared" si="17"/>
        <v>0.26250000000000001</v>
      </c>
      <c r="H85" s="209">
        <f t="shared" si="17"/>
        <v>0.35000000000000003</v>
      </c>
      <c r="I85" s="209"/>
    </row>
    <row r="86" spans="2:9" x14ac:dyDescent="0.25">
      <c r="B86" s="77">
        <f t="shared" si="14"/>
        <v>12</v>
      </c>
      <c r="C86" s="78" t="s">
        <v>392</v>
      </c>
      <c r="D86" s="223">
        <f>SUM(D84:D85)</f>
        <v>0</v>
      </c>
      <c r="E86" s="223">
        <f>SUM(E84:E85)</f>
        <v>0</v>
      </c>
      <c r="F86" s="223">
        <f t="shared" ref="F86:H86" si="18">SUM(F84:F85)</f>
        <v>0</v>
      </c>
      <c r="G86" s="223">
        <f t="shared" si="18"/>
        <v>0.26250000000000001</v>
      </c>
      <c r="H86" s="223">
        <f t="shared" si="18"/>
        <v>0.875</v>
      </c>
      <c r="I86" s="209"/>
    </row>
  </sheetData>
  <mergeCells count="12">
    <mergeCell ref="D70:H70"/>
    <mergeCell ref="D51:H51"/>
    <mergeCell ref="B3:N3"/>
    <mergeCell ref="B2:N2"/>
    <mergeCell ref="C44:N44"/>
    <mergeCell ref="B4:N4"/>
    <mergeCell ref="B29:B30"/>
    <mergeCell ref="C29:C30"/>
    <mergeCell ref="D29:D30"/>
    <mergeCell ref="B7:B9"/>
    <mergeCell ref="C7:C9"/>
    <mergeCell ref="D7:F7"/>
  </mergeCells>
  <pageMargins left="1.02" right="0.25" top="1" bottom="1" header="0.25" footer="0.25"/>
  <pageSetup paperSize="9" scale="38" orientation="landscape" r:id="rId1"/>
  <headerFooter alignWithMargins="0">
    <oddHeader>&amp;F</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Z37"/>
  <sheetViews>
    <sheetView showGridLines="0" tabSelected="1" zoomScale="70" zoomScaleNormal="70" zoomScaleSheetLayoutView="78" workbookViewId="0">
      <pane xSplit="3" ySplit="9" topLeftCell="D10" activePane="bottomRight" state="frozen"/>
      <selection activeCell="B28" sqref="B28"/>
      <selection pane="topRight" activeCell="B28" sqref="B28"/>
      <selection pane="bottomLeft" activeCell="B28" sqref="B28"/>
      <selection pane="bottomRight" activeCell="I20" sqref="I20"/>
    </sheetView>
  </sheetViews>
  <sheetFormatPr defaultColWidth="9.453125" defaultRowHeight="14" outlineLevelCol="1" x14ac:dyDescent="0.25"/>
  <cols>
    <col min="1" max="1" width="6.54296875" style="10" customWidth="1"/>
    <col min="2" max="2" width="6.453125" style="10" customWidth="1"/>
    <col min="3" max="3" width="36.1796875" style="10" customWidth="1"/>
    <col min="4" max="4" width="12.54296875" style="10" customWidth="1"/>
    <col min="5" max="5" width="12.54296875" style="10" customWidth="1" outlineLevel="1"/>
    <col min="6" max="6" width="12.54296875" style="10" customWidth="1"/>
    <col min="7" max="7" width="14.54296875" style="10" customWidth="1" outlineLevel="1"/>
    <col min="8" max="8" width="12.54296875" style="10" customWidth="1" outlineLevel="1"/>
    <col min="9" max="13" width="12.54296875" style="10" customWidth="1"/>
    <col min="14" max="14" width="30.81640625" style="10" bestFit="1" customWidth="1"/>
    <col min="15" max="15" width="14" style="10" bestFit="1" customWidth="1"/>
    <col min="16" max="16" width="13" style="10" customWidth="1"/>
    <col min="17" max="17" width="15.54296875" style="10" customWidth="1"/>
    <col min="18" max="18" width="19.81640625" style="10" customWidth="1"/>
    <col min="19" max="23" width="13.1796875" style="10" customWidth="1"/>
    <col min="24" max="24" width="15.54296875" style="10" customWidth="1"/>
    <col min="25" max="16384" width="9.453125" style="10"/>
  </cols>
  <sheetData>
    <row r="2" spans="2:26" x14ac:dyDescent="0.25">
      <c r="B2" s="1406" t="str">
        <f>Index!B2</f>
        <v xml:space="preserve">      Maharashtra State Power Generation Company Ltd.</v>
      </c>
      <c r="C2" s="1406"/>
      <c r="D2" s="1406"/>
      <c r="E2" s="1406"/>
      <c r="F2" s="1406"/>
      <c r="G2" s="1406"/>
      <c r="H2" s="1406"/>
      <c r="I2" s="1406"/>
      <c r="J2" s="1406"/>
      <c r="K2" s="1406"/>
      <c r="L2" s="1406"/>
      <c r="M2" s="62"/>
      <c r="N2" s="1406"/>
      <c r="O2" s="1406"/>
      <c r="P2" s="1406"/>
      <c r="Q2" s="1406"/>
      <c r="R2" s="1406"/>
      <c r="S2" s="1406"/>
      <c r="T2" s="1406"/>
      <c r="U2" s="1406"/>
      <c r="V2" s="1406"/>
      <c r="W2" s="1406"/>
      <c r="X2" s="1406"/>
      <c r="Y2" s="17"/>
      <c r="Z2" s="17"/>
    </row>
    <row r="3" spans="2:26" s="1" customFormat="1" x14ac:dyDescent="0.3">
      <c r="B3" s="1407" t="str">
        <f>Index!B3</f>
        <v>MYT Petition Formats for Bhusawal Unit 6</v>
      </c>
      <c r="C3" s="1407"/>
      <c r="D3" s="1407"/>
      <c r="E3" s="1407"/>
      <c r="F3" s="1407"/>
      <c r="G3" s="1407"/>
      <c r="H3" s="1407"/>
      <c r="I3" s="1407"/>
      <c r="J3" s="1407"/>
      <c r="K3" s="1407"/>
      <c r="L3" s="1407"/>
      <c r="M3" s="63"/>
      <c r="N3" s="1407"/>
      <c r="O3" s="1407"/>
      <c r="P3" s="1407"/>
      <c r="Q3" s="1407"/>
      <c r="R3" s="1407"/>
      <c r="S3" s="1407"/>
      <c r="T3" s="1407"/>
      <c r="U3" s="1407"/>
      <c r="V3" s="1407"/>
      <c r="W3" s="1407"/>
      <c r="X3" s="1407"/>
      <c r="Y3" s="51"/>
      <c r="Z3" s="51"/>
    </row>
    <row r="4" spans="2:26" s="1" customFormat="1" x14ac:dyDescent="0.3">
      <c r="B4" s="1407" t="s">
        <v>76</v>
      </c>
      <c r="C4" s="1407"/>
      <c r="D4" s="1407"/>
      <c r="E4" s="1407"/>
      <c r="F4" s="1407"/>
      <c r="G4" s="1407"/>
      <c r="H4" s="1407"/>
      <c r="I4" s="1407"/>
      <c r="J4" s="1407"/>
      <c r="K4" s="1407"/>
      <c r="L4" s="1407"/>
      <c r="M4" s="63"/>
      <c r="N4" s="1407"/>
      <c r="O4" s="1407"/>
      <c r="P4" s="1407"/>
      <c r="Q4" s="1407"/>
      <c r="R4" s="1407"/>
      <c r="S4" s="1407"/>
      <c r="T4" s="1407"/>
      <c r="U4" s="1407"/>
      <c r="V4" s="1407"/>
      <c r="W4" s="1407"/>
      <c r="X4" s="1407"/>
      <c r="Y4" s="51"/>
      <c r="Z4" s="51"/>
    </row>
    <row r="7" spans="2:26" ht="12.75" customHeight="1" x14ac:dyDescent="0.25">
      <c r="B7" s="1408" t="s">
        <v>327</v>
      </c>
      <c r="C7" s="1411" t="s">
        <v>35</v>
      </c>
      <c r="D7" s="1411" t="s">
        <v>5</v>
      </c>
      <c r="E7" s="1413" t="s">
        <v>477</v>
      </c>
      <c r="F7" s="1414"/>
      <c r="G7" s="1414"/>
      <c r="H7" s="1415"/>
      <c r="I7" s="456"/>
      <c r="J7" s="1416" t="s">
        <v>848</v>
      </c>
      <c r="K7" s="1417"/>
      <c r="L7" s="1417"/>
      <c r="M7" s="1418"/>
      <c r="N7" s="1404" t="s">
        <v>25</v>
      </c>
    </row>
    <row r="8" spans="2:26" ht="28" customHeight="1" x14ac:dyDescent="0.25">
      <c r="B8" s="1409"/>
      <c r="C8" s="1411"/>
      <c r="D8" s="1411"/>
      <c r="E8" s="97" t="s">
        <v>1215</v>
      </c>
      <c r="F8" s="97" t="s">
        <v>860</v>
      </c>
      <c r="G8" s="97" t="s">
        <v>3002</v>
      </c>
      <c r="H8" s="97" t="s">
        <v>427</v>
      </c>
      <c r="I8" s="456" t="s">
        <v>849</v>
      </c>
      <c r="J8" s="456" t="s">
        <v>850</v>
      </c>
      <c r="K8" s="456" t="s">
        <v>851</v>
      </c>
      <c r="L8" s="456" t="s">
        <v>852</v>
      </c>
      <c r="M8" s="456" t="s">
        <v>853</v>
      </c>
      <c r="N8" s="1404"/>
    </row>
    <row r="9" spans="2:26" ht="30" x14ac:dyDescent="0.25">
      <c r="B9" s="1410"/>
      <c r="C9" s="1412"/>
      <c r="D9" s="1412"/>
      <c r="E9" s="97" t="s">
        <v>78</v>
      </c>
      <c r="F9" s="97" t="s">
        <v>79</v>
      </c>
      <c r="G9" s="97" t="s">
        <v>1198</v>
      </c>
      <c r="H9" s="97" t="s">
        <v>1199</v>
      </c>
      <c r="I9" s="1366" t="s">
        <v>3067</v>
      </c>
      <c r="J9" s="456" t="s">
        <v>20</v>
      </c>
      <c r="K9" s="456" t="s">
        <v>20</v>
      </c>
      <c r="L9" s="456" t="s">
        <v>20</v>
      </c>
      <c r="M9" s="456" t="s">
        <v>20</v>
      </c>
      <c r="N9" s="1405"/>
    </row>
    <row r="10" spans="2:26" x14ac:dyDescent="0.25">
      <c r="B10" s="19"/>
      <c r="C10" s="19"/>
      <c r="D10" s="93"/>
      <c r="E10" s="93"/>
      <c r="F10" s="93"/>
      <c r="G10" s="93"/>
      <c r="H10" s="93"/>
      <c r="I10" s="19"/>
      <c r="J10" s="19"/>
      <c r="K10" s="19"/>
      <c r="L10" s="19"/>
      <c r="M10" s="19"/>
      <c r="N10" s="19"/>
    </row>
    <row r="11" spans="2:26" x14ac:dyDescent="0.25">
      <c r="B11" s="73">
        <v>1</v>
      </c>
      <c r="C11" s="19" t="s">
        <v>80</v>
      </c>
      <c r="D11" s="93" t="s">
        <v>54</v>
      </c>
      <c r="E11" s="429">
        <f>F2.2!E155</f>
        <v>263.25</v>
      </c>
      <c r="F11" s="416">
        <f>F2.2!F155</f>
        <v>100.15371702710812</v>
      </c>
      <c r="G11" s="416">
        <f>F2.2!G155</f>
        <v>126.19411905086571</v>
      </c>
      <c r="H11" s="416">
        <f t="shared" ref="H11:H22" si="0">G11-F11</f>
        <v>26.040402023757593</v>
      </c>
      <c r="I11" s="397">
        <f>F2.2!J155</f>
        <v>1535.1375095202443</v>
      </c>
      <c r="J11" s="397">
        <f>F2.2!K155</f>
        <v>1599.1959079234887</v>
      </c>
      <c r="K11" s="397">
        <f>F2.2!L155</f>
        <v>1651.6845845725936</v>
      </c>
      <c r="L11" s="397">
        <f>F2.2!M155</f>
        <v>1696.586938716029</v>
      </c>
      <c r="M11" s="397">
        <f>F2.2!N155</f>
        <v>1747.48454687751</v>
      </c>
      <c r="N11" s="218"/>
    </row>
    <row r="12" spans="2:26" x14ac:dyDescent="0.25">
      <c r="B12" s="73">
        <f>B11+1</f>
        <v>2</v>
      </c>
      <c r="C12" s="19" t="s">
        <v>1146</v>
      </c>
      <c r="D12" s="93"/>
      <c r="E12" s="429"/>
      <c r="F12" s="416"/>
      <c r="G12" s="416"/>
      <c r="H12" s="416"/>
      <c r="I12" s="397">
        <f>SUM(F2.2!E198:E198)</f>
        <v>0</v>
      </c>
      <c r="J12" s="397">
        <f>SUM(F2.2!F198:F198)</f>
        <v>1.7222866056000003E-2</v>
      </c>
      <c r="K12" s="397">
        <f>SUM(F2.2!G198:G198)</f>
        <v>3.4540103980799999E-2</v>
      </c>
      <c r="L12" s="397">
        <f>SUM(F2.2!H198:H198)</f>
        <v>3.4445732112000006E-2</v>
      </c>
      <c r="M12" s="397">
        <f>SUM(F2.2!I198:I198)</f>
        <v>3.4445732112000006E-2</v>
      </c>
      <c r="N12" s="218"/>
    </row>
    <row r="13" spans="2:26" x14ac:dyDescent="0.25">
      <c r="B13" s="73">
        <f t="shared" ref="B13:B31" si="1">B12+1</f>
        <v>3</v>
      </c>
      <c r="C13" s="19" t="s">
        <v>81</v>
      </c>
      <c r="D13" s="93" t="s">
        <v>38</v>
      </c>
      <c r="E13" s="429">
        <f>'F3'!E17+F3.1!D27</f>
        <v>18.739999999999998</v>
      </c>
      <c r="F13" s="368">
        <f>'F3'!F17</f>
        <v>12.733890271129535</v>
      </c>
      <c r="G13" s="416">
        <f>'F3'!G17</f>
        <v>10.099909816226141</v>
      </c>
      <c r="H13" s="416">
        <f t="shared" si="0"/>
        <v>-2.6339804549033943</v>
      </c>
      <c r="I13" s="397">
        <f>'F3'!I17</f>
        <v>168.47928986766439</v>
      </c>
      <c r="J13" s="397">
        <f>'F3'!J17</f>
        <v>175.78802383952939</v>
      </c>
      <c r="K13" s="397">
        <f>'F3'!K17</f>
        <v>183.44325782734091</v>
      </c>
      <c r="L13" s="397">
        <f>'F3'!L17</f>
        <v>191.37971067479003</v>
      </c>
      <c r="M13" s="397">
        <f>'F3'!M17</f>
        <v>199.66413254288605</v>
      </c>
      <c r="N13" s="218"/>
    </row>
    <row r="14" spans="2:26" x14ac:dyDescent="0.25">
      <c r="B14" s="73">
        <f t="shared" si="1"/>
        <v>4</v>
      </c>
      <c r="C14" s="19" t="s">
        <v>1147</v>
      </c>
      <c r="D14" s="93"/>
      <c r="E14" s="93"/>
      <c r="F14" s="368"/>
      <c r="G14" s="416"/>
      <c r="H14" s="416">
        <f t="shared" si="0"/>
        <v>0</v>
      </c>
      <c r="I14" s="397">
        <f>'F3'!E24</f>
        <v>0</v>
      </c>
      <c r="J14" s="397">
        <f>'F3'!F24</f>
        <v>0.48066917599999998</v>
      </c>
      <c r="K14" s="397">
        <f>'F3'!G24</f>
        <v>1.0029643026416</v>
      </c>
      <c r="L14" s="397">
        <f>'F3'!H24</f>
        <v>1.0463926569459809</v>
      </c>
      <c r="M14" s="397">
        <f>'F3'!I24</f>
        <v>1.0917014589917422</v>
      </c>
      <c r="N14" s="218"/>
    </row>
    <row r="15" spans="2:26" x14ac:dyDescent="0.25">
      <c r="B15" s="73">
        <f t="shared" si="1"/>
        <v>5</v>
      </c>
      <c r="C15" s="19" t="s">
        <v>2849</v>
      </c>
      <c r="D15" s="93" t="s">
        <v>38</v>
      </c>
      <c r="E15" s="429">
        <f>'F3'!E30</f>
        <v>0</v>
      </c>
      <c r="F15" s="368">
        <f>G15</f>
        <v>0.39331454999999993</v>
      </c>
      <c r="G15" s="416">
        <f>F3.1!$E$27</f>
        <v>0.39331454999999993</v>
      </c>
      <c r="H15" s="416"/>
      <c r="I15" s="397">
        <f>F3.1!F27</f>
        <v>45.509639999999997</v>
      </c>
      <c r="J15" s="397">
        <f>F3.1!G27</f>
        <v>50.060603999999998</v>
      </c>
      <c r="K15" s="397">
        <f>F3.1!H27</f>
        <v>63.297825016799997</v>
      </c>
      <c r="L15" s="397">
        <f>F3.1!I27</f>
        <v>137.43509359755603</v>
      </c>
      <c r="M15" s="397">
        <f>F3.1!J27</f>
        <v>228.22287371582999</v>
      </c>
      <c r="N15" s="218"/>
    </row>
    <row r="16" spans="2:26" x14ac:dyDescent="0.25">
      <c r="B16" s="73">
        <f t="shared" si="1"/>
        <v>6</v>
      </c>
      <c r="C16" s="76" t="s">
        <v>324</v>
      </c>
      <c r="D16" s="93" t="s">
        <v>68</v>
      </c>
      <c r="E16" s="430">
        <v>43.17</v>
      </c>
      <c r="F16" s="416">
        <f>G16</f>
        <v>31.364464244138148</v>
      </c>
      <c r="G16" s="368">
        <f>'F5 (T)'!E85</f>
        <v>31.364464244138148</v>
      </c>
      <c r="H16" s="416">
        <f t="shared" si="0"/>
        <v>0</v>
      </c>
      <c r="I16" s="397">
        <f>'F5 (T)'!J85</f>
        <v>306.28609792736614</v>
      </c>
      <c r="J16" s="397">
        <f>'F5 (T)'!$E$112</f>
        <v>326.73584480546248</v>
      </c>
      <c r="K16" s="397">
        <f>'F5 (T)'!$J$112</f>
        <v>345.0543376275196</v>
      </c>
      <c r="L16" s="397">
        <f>'F5 (T)'!$O$112</f>
        <v>348.34087362751956</v>
      </c>
      <c r="M16" s="397">
        <f>'F5 (T)'!$T$112</f>
        <v>348.21379814504479</v>
      </c>
      <c r="N16" s="218"/>
    </row>
    <row r="17" spans="2:23" x14ac:dyDescent="0.25">
      <c r="B17" s="73">
        <f t="shared" si="1"/>
        <v>7</v>
      </c>
      <c r="C17" s="76" t="s">
        <v>809</v>
      </c>
      <c r="D17" s="93"/>
      <c r="E17" s="1289">
        <v>0</v>
      </c>
      <c r="F17" s="416">
        <v>0</v>
      </c>
      <c r="G17" s="368">
        <v>0</v>
      </c>
      <c r="H17" s="416">
        <v>0</v>
      </c>
      <c r="I17" s="397">
        <v>0</v>
      </c>
      <c r="J17" s="397">
        <v>0</v>
      </c>
      <c r="K17" s="397">
        <v>0</v>
      </c>
      <c r="L17" s="397">
        <v>0</v>
      </c>
      <c r="M17" s="397">
        <v>0</v>
      </c>
      <c r="N17" s="218"/>
    </row>
    <row r="18" spans="2:23" x14ac:dyDescent="0.25">
      <c r="B18" s="73">
        <f t="shared" si="1"/>
        <v>8</v>
      </c>
      <c r="C18" s="19" t="s">
        <v>323</v>
      </c>
      <c r="D18" s="93" t="s">
        <v>69</v>
      </c>
      <c r="E18" s="430">
        <f>'F6'!D25</f>
        <v>59.87</v>
      </c>
      <c r="F18" s="416">
        <f t="shared" ref="F18" si="2">G18</f>
        <v>47.985453714908964</v>
      </c>
      <c r="G18" s="416">
        <f>'F6'!E25</f>
        <v>47.985453714908964</v>
      </c>
      <c r="H18" s="416">
        <f t="shared" si="0"/>
        <v>0</v>
      </c>
      <c r="I18" s="397">
        <f>'F6'!G25</f>
        <v>455.35774520177438</v>
      </c>
      <c r="J18" s="397">
        <f>'F6'!H25</f>
        <v>461.64096166423303</v>
      </c>
      <c r="K18" s="397">
        <f>'F6'!I25</f>
        <v>462.27759882639441</v>
      </c>
      <c r="L18" s="397">
        <f>'F6'!J25</f>
        <v>435.50696281582793</v>
      </c>
      <c r="M18" s="397">
        <f>'F6'!K25</f>
        <v>404.94375991118642</v>
      </c>
      <c r="N18" s="218"/>
    </row>
    <row r="19" spans="2:23" x14ac:dyDescent="0.25">
      <c r="B19" s="73">
        <f t="shared" si="1"/>
        <v>9</v>
      </c>
      <c r="C19" s="19" t="s">
        <v>1194</v>
      </c>
      <c r="D19" s="93"/>
      <c r="E19" s="430">
        <v>0</v>
      </c>
      <c r="F19" s="423">
        <v>0</v>
      </c>
      <c r="G19" s="397">
        <v>0</v>
      </c>
      <c r="H19" s="397"/>
      <c r="I19" s="397">
        <v>0</v>
      </c>
      <c r="J19" s="397">
        <v>0</v>
      </c>
      <c r="K19" s="397">
        <v>0</v>
      </c>
      <c r="L19" s="397">
        <v>0</v>
      </c>
      <c r="M19" s="397">
        <v>0</v>
      </c>
      <c r="N19" s="218"/>
    </row>
    <row r="20" spans="2:23" s="431" customFormat="1" x14ac:dyDescent="0.25">
      <c r="B20" s="73">
        <f t="shared" si="1"/>
        <v>10</v>
      </c>
      <c r="C20" s="76" t="s">
        <v>84</v>
      </c>
      <c r="D20" s="93" t="s">
        <v>58</v>
      </c>
      <c r="E20" s="429">
        <f>F2.4!E34</f>
        <v>10.83</v>
      </c>
      <c r="F20" s="429">
        <f ca="1">F2.4!F34</f>
        <v>12.751818387882624</v>
      </c>
      <c r="G20" s="416">
        <f ca="1">F2.4!F35</f>
        <v>12.751818387882624</v>
      </c>
      <c r="H20" s="416">
        <f t="shared" ca="1" si="0"/>
        <v>0</v>
      </c>
      <c r="I20" s="397">
        <f ca="1">F2.4!F73</f>
        <v>65.528749978966417</v>
      </c>
      <c r="J20" s="397">
        <f ca="1">F2.4!G73</f>
        <v>68.468801803697673</v>
      </c>
      <c r="K20" s="397">
        <f ca="1">F2.4!H73</f>
        <v>71.394446999371198</v>
      </c>
      <c r="L20" s="397">
        <f ca="1">F2.4!I73</f>
        <v>73.928402489313598</v>
      </c>
      <c r="M20" s="397">
        <f ca="1">F2.4!J73</f>
        <v>76.448347983367825</v>
      </c>
      <c r="N20" s="1004"/>
    </row>
    <row r="21" spans="2:23" x14ac:dyDescent="0.25">
      <c r="B21" s="73">
        <f t="shared" si="1"/>
        <v>11</v>
      </c>
      <c r="C21" s="76" t="s">
        <v>1148</v>
      </c>
      <c r="D21" s="93"/>
      <c r="E21" s="429"/>
      <c r="F21" s="429"/>
      <c r="G21" s="416"/>
      <c r="H21" s="416"/>
      <c r="I21" s="397">
        <f>F2.4!E85</f>
        <v>0</v>
      </c>
      <c r="J21" s="397">
        <f>F2.4!F85</f>
        <v>5.2829181445599997E-2</v>
      </c>
      <c r="K21" s="397">
        <f>F2.4!G85</f>
        <v>5.7646989959314006E-2</v>
      </c>
      <c r="L21" s="397">
        <f>F2.4!H85</f>
        <v>5.8026988059477341E-2</v>
      </c>
      <c r="M21" s="397">
        <f>F2.4!I85</f>
        <v>5.842344007737775E-2</v>
      </c>
      <c r="N21" s="218"/>
    </row>
    <row r="22" spans="2:23" x14ac:dyDescent="0.25">
      <c r="B22" s="73">
        <f t="shared" si="1"/>
        <v>12</v>
      </c>
      <c r="C22" s="76" t="s">
        <v>85</v>
      </c>
      <c r="D22" s="93" t="s">
        <v>74</v>
      </c>
      <c r="E22" s="430">
        <f>'F10'!D27</f>
        <v>0</v>
      </c>
      <c r="F22" s="368">
        <f>G22</f>
        <v>2.6848839353548359</v>
      </c>
      <c r="G22" s="416">
        <f>'F10'!E27</f>
        <v>2.6848839353548359</v>
      </c>
      <c r="H22" s="416">
        <f t="shared" si="0"/>
        <v>0</v>
      </c>
      <c r="I22" s="397">
        <f>'F10'!G27</f>
        <v>39.692297492787119</v>
      </c>
      <c r="J22" s="397">
        <f>'F10'!H27</f>
        <v>43.661527242065837</v>
      </c>
      <c r="K22" s="397">
        <f>'F10'!I27</f>
        <v>48.02767996627243</v>
      </c>
      <c r="L22" s="397">
        <f>'F10'!J27</f>
        <v>52.830447962899676</v>
      </c>
      <c r="M22" s="397">
        <f>'F10'!K27</f>
        <v>58.113492759189647</v>
      </c>
      <c r="N22" s="218"/>
    </row>
    <row r="23" spans="2:23" x14ac:dyDescent="0.25">
      <c r="B23" s="73">
        <f t="shared" si="1"/>
        <v>13</v>
      </c>
      <c r="C23" s="76" t="s">
        <v>3003</v>
      </c>
      <c r="D23" s="93"/>
      <c r="E23" s="430"/>
      <c r="F23" s="368"/>
      <c r="G23" s="416"/>
      <c r="H23" s="416"/>
      <c r="I23" s="397">
        <f>'F10'!G33</f>
        <v>5.5345911949685543E-2</v>
      </c>
      <c r="J23" s="397">
        <f>'F10'!H33</f>
        <v>0.27672955974842767</v>
      </c>
      <c r="K23" s="397">
        <f>'F10'!I33</f>
        <v>0.27672955974842767</v>
      </c>
      <c r="L23" s="397">
        <f>'F10'!J33</f>
        <v>0.27672955974842767</v>
      </c>
      <c r="M23" s="397">
        <f>'F10'!K33</f>
        <v>0.22138364779874217</v>
      </c>
      <c r="N23" s="218"/>
    </row>
    <row r="24" spans="2:23" x14ac:dyDescent="0.25">
      <c r="B24" s="73">
        <f t="shared" si="1"/>
        <v>14</v>
      </c>
      <c r="C24" s="76" t="s">
        <v>3009</v>
      </c>
      <c r="D24" s="93"/>
      <c r="E24" s="430"/>
      <c r="F24" s="368"/>
      <c r="G24" s="416"/>
      <c r="H24" s="416"/>
      <c r="I24" s="397">
        <f>'F10'!G38</f>
        <v>0</v>
      </c>
      <c r="J24" s="397">
        <f>'F10'!H38</f>
        <v>0</v>
      </c>
      <c r="K24" s="397">
        <f>'F10'!I38</f>
        <v>0</v>
      </c>
      <c r="L24" s="397">
        <f>'F10'!J38</f>
        <v>0</v>
      </c>
      <c r="M24" s="397">
        <f>'F10'!K38</f>
        <v>0</v>
      </c>
      <c r="N24" s="218"/>
    </row>
    <row r="25" spans="2:23" x14ac:dyDescent="0.25">
      <c r="B25" s="73">
        <f t="shared" si="1"/>
        <v>15</v>
      </c>
      <c r="C25" s="19"/>
      <c r="D25" s="93"/>
      <c r="E25" s="430"/>
      <c r="F25" s="368"/>
      <c r="G25" s="416"/>
      <c r="H25" s="416"/>
      <c r="I25" s="397"/>
      <c r="J25" s="397"/>
      <c r="K25" s="397"/>
      <c r="L25" s="397"/>
      <c r="M25" s="397"/>
      <c r="N25" s="218"/>
    </row>
    <row r="26" spans="2:23" x14ac:dyDescent="0.25">
      <c r="B26" s="73">
        <f t="shared" si="1"/>
        <v>16</v>
      </c>
      <c r="C26" s="22" t="s">
        <v>87</v>
      </c>
      <c r="D26" s="366"/>
      <c r="E26" s="308">
        <f>SUM(E11:E25)</f>
        <v>395.86</v>
      </c>
      <c r="F26" s="308">
        <f t="shared" ref="F26:H26" ca="1" si="3">SUM(F11:F25)</f>
        <v>208.06754213052224</v>
      </c>
      <c r="G26" s="308">
        <f ca="1">SUM(G11:G25)</f>
        <v>231.47396369937641</v>
      </c>
      <c r="H26" s="308">
        <f t="shared" ca="1" si="3"/>
        <v>23.406421568854199</v>
      </c>
      <c r="I26" s="308">
        <f t="shared" ref="I26:M26" ca="1" si="4">SUM(I11:I25)</f>
        <v>2616.0466759007522</v>
      </c>
      <c r="J26" s="308">
        <f t="shared" ca="1" si="4"/>
        <v>2726.3791220617272</v>
      </c>
      <c r="K26" s="308">
        <f t="shared" ca="1" si="4"/>
        <v>2826.5516117926222</v>
      </c>
      <c r="L26" s="308">
        <f ca="1">SUM(L11:L25)</f>
        <v>2937.4240248208012</v>
      </c>
      <c r="M26" s="308">
        <f t="shared" ca="1" si="4"/>
        <v>3064.4969062139949</v>
      </c>
      <c r="N26" s="218"/>
    </row>
    <row r="27" spans="2:23" x14ac:dyDescent="0.25">
      <c r="B27" s="73">
        <f t="shared" si="1"/>
        <v>17</v>
      </c>
      <c r="C27" s="19" t="s">
        <v>2991</v>
      </c>
      <c r="D27" s="93" t="s">
        <v>71</v>
      </c>
      <c r="E27" s="430">
        <f>'F7'!D21</f>
        <v>243.69639000000001</v>
      </c>
      <c r="F27" s="368">
        <f>G27</f>
        <v>13.023784458598374</v>
      </c>
      <c r="G27" s="368">
        <f>'F7'!E21+'F7'!E42</f>
        <v>13.023784458598374</v>
      </c>
      <c r="H27" s="416">
        <f>G27-F27</f>
        <v>0</v>
      </c>
      <c r="I27" s="416">
        <f>'F7'!D65</f>
        <v>137.41351603577132</v>
      </c>
      <c r="J27" s="416">
        <f>'F7'!E65</f>
        <v>152.43584194148193</v>
      </c>
      <c r="K27" s="416">
        <f>'F7'!F65</f>
        <v>165.89255467806419</v>
      </c>
      <c r="L27" s="416">
        <f>'F7'!G65</f>
        <v>168.01620967806417</v>
      </c>
      <c r="M27" s="416">
        <f>'F7'!H65</f>
        <v>168.01620967806417</v>
      </c>
      <c r="N27" s="218"/>
    </row>
    <row r="28" spans="2:23" x14ac:dyDescent="0.25">
      <c r="B28" s="73">
        <f t="shared" si="1"/>
        <v>18</v>
      </c>
      <c r="C28" s="19" t="s">
        <v>2992</v>
      </c>
      <c r="D28" s="93" t="s">
        <v>71</v>
      </c>
      <c r="E28" s="430"/>
      <c r="F28" s="368">
        <f>G28</f>
        <v>0</v>
      </c>
      <c r="G28" s="368"/>
      <c r="H28" s="416"/>
      <c r="I28" s="416">
        <f>'F7'!D86</f>
        <v>0</v>
      </c>
      <c r="J28" s="416">
        <f>'F7'!E86</f>
        <v>0</v>
      </c>
      <c r="K28" s="416">
        <f>'F7'!F86</f>
        <v>0</v>
      </c>
      <c r="L28" s="416">
        <f>'F7'!G86</f>
        <v>0.26250000000000001</v>
      </c>
      <c r="M28" s="416">
        <f>'F7'!H86</f>
        <v>0.875</v>
      </c>
      <c r="N28" s="218"/>
    </row>
    <row r="29" spans="2:23" x14ac:dyDescent="0.25">
      <c r="B29" s="73">
        <f t="shared" si="1"/>
        <v>19</v>
      </c>
      <c r="C29" s="19" t="s">
        <v>1195</v>
      </c>
      <c r="D29" s="93"/>
      <c r="E29" s="430"/>
      <c r="F29" s="423">
        <v>0</v>
      </c>
      <c r="G29" s="423">
        <v>0</v>
      </c>
      <c r="H29" s="397"/>
      <c r="I29" s="423">
        <v>0</v>
      </c>
      <c r="J29" s="423">
        <v>0</v>
      </c>
      <c r="K29" s="423">
        <v>0</v>
      </c>
      <c r="L29" s="423">
        <v>0</v>
      </c>
      <c r="M29" s="423">
        <v>0</v>
      </c>
      <c r="N29" s="218"/>
    </row>
    <row r="30" spans="2:23" x14ac:dyDescent="0.25">
      <c r="B30" s="73">
        <f t="shared" si="1"/>
        <v>20</v>
      </c>
      <c r="C30" s="19" t="s">
        <v>89</v>
      </c>
      <c r="D30" s="93" t="s">
        <v>75</v>
      </c>
      <c r="E30" s="430">
        <f>'F11'!D26</f>
        <v>0</v>
      </c>
      <c r="F30" s="368">
        <f>G30</f>
        <v>9.6886971481063677E-2</v>
      </c>
      <c r="G30" s="416">
        <f>'F11'!E26</f>
        <v>9.6886971481063677E-2</v>
      </c>
      <c r="H30" s="416">
        <f>G30-F30</f>
        <v>0</v>
      </c>
      <c r="I30" s="416">
        <f>'F11'!G26</f>
        <v>1.060912337717647</v>
      </c>
      <c r="J30" s="416">
        <f>'F11'!H26</f>
        <v>1.1139579546035294</v>
      </c>
      <c r="K30" s="416">
        <f>'F11'!I26</f>
        <v>1.1696558523337059</v>
      </c>
      <c r="L30" s="416">
        <f>'F11'!J26</f>
        <v>1.2281386449503915</v>
      </c>
      <c r="M30" s="416">
        <f>'F11'!K26</f>
        <v>1.289545577197911</v>
      </c>
      <c r="N30" s="218"/>
    </row>
    <row r="31" spans="2:23" x14ac:dyDescent="0.25">
      <c r="B31" s="73">
        <f t="shared" si="1"/>
        <v>21</v>
      </c>
      <c r="C31" s="22" t="s">
        <v>90</v>
      </c>
      <c r="D31" s="93"/>
      <c r="E31" s="308">
        <f>SUM(E26:E29)-E30</f>
        <v>639.55638999999996</v>
      </c>
      <c r="F31" s="308">
        <f t="shared" ref="F31:M31" ca="1" si="5">SUM(F26:F29)-F30</f>
        <v>220.99443961763956</v>
      </c>
      <c r="G31" s="308">
        <f t="shared" ca="1" si="5"/>
        <v>244.40086118649373</v>
      </c>
      <c r="H31" s="308">
        <f t="shared" ca="1" si="5"/>
        <v>23.406421568854199</v>
      </c>
      <c r="I31" s="308">
        <f t="shared" ca="1" si="5"/>
        <v>2752.3992795988061</v>
      </c>
      <c r="J31" s="308">
        <f t="shared" ca="1" si="5"/>
        <v>2877.7010060486059</v>
      </c>
      <c r="K31" s="308">
        <f t="shared" ca="1" si="5"/>
        <v>2991.2745106183529</v>
      </c>
      <c r="L31" s="308">
        <f t="shared" ca="1" si="5"/>
        <v>3104.4745958539147</v>
      </c>
      <c r="M31" s="308">
        <f t="shared" ca="1" si="5"/>
        <v>3232.0985703148613</v>
      </c>
      <c r="N31" s="218"/>
    </row>
    <row r="32" spans="2:23" s="431" customFormat="1" x14ac:dyDescent="0.25">
      <c r="B32" s="449"/>
      <c r="E32" s="432"/>
      <c r="F32" s="350"/>
      <c r="G32" s="350"/>
      <c r="H32" s="350"/>
      <c r="I32" s="432"/>
      <c r="J32" s="432"/>
      <c r="K32" s="432"/>
      <c r="L32" s="432"/>
      <c r="M32" s="432"/>
      <c r="N32" s="433"/>
      <c r="O32" s="432"/>
      <c r="P32" s="432"/>
      <c r="Q32" s="786"/>
      <c r="S32" s="784"/>
      <c r="T32" s="784"/>
      <c r="U32" s="784"/>
      <c r="V32" s="784"/>
      <c r="W32" s="784"/>
    </row>
    <row r="33" spans="5:23" x14ac:dyDescent="0.25">
      <c r="E33" s="766"/>
      <c r="F33" s="766"/>
      <c r="G33" s="766"/>
      <c r="H33" s="766"/>
      <c r="I33" s="766"/>
      <c r="J33" s="766"/>
      <c r="K33" s="766"/>
      <c r="L33" s="766"/>
      <c r="M33" s="766"/>
      <c r="N33" s="248"/>
      <c r="S33" s="350">
        <f>S32*10^7</f>
        <v>0</v>
      </c>
      <c r="T33" s="350">
        <f t="shared" ref="T33:W33" si="6">T32*10^7</f>
        <v>0</v>
      </c>
      <c r="U33" s="350">
        <f t="shared" si="6"/>
        <v>0</v>
      </c>
      <c r="V33" s="350">
        <f t="shared" si="6"/>
        <v>0</v>
      </c>
      <c r="W33" s="350">
        <f t="shared" si="6"/>
        <v>0</v>
      </c>
    </row>
    <row r="34" spans="5:23" ht="15.5" x14ac:dyDescent="0.25">
      <c r="E34" s="1317"/>
      <c r="F34" s="1317"/>
      <c r="G34" s="1317"/>
      <c r="H34" s="1317"/>
      <c r="I34" s="1317"/>
      <c r="J34" s="1317"/>
      <c r="K34" s="1317"/>
      <c r="L34" s="1317"/>
      <c r="M34" s="1317"/>
    </row>
    <row r="37" spans="5:23" x14ac:dyDescent="0.25">
      <c r="H37" s="431"/>
      <c r="I37" s="431"/>
      <c r="J37" s="431"/>
      <c r="K37" s="432"/>
      <c r="L37" s="431"/>
      <c r="M37" s="431"/>
      <c r="N37" s="431"/>
      <c r="O37" s="432"/>
      <c r="P37" s="432"/>
    </row>
  </sheetData>
  <mergeCells count="12">
    <mergeCell ref="N7:N9"/>
    <mergeCell ref="B2:L2"/>
    <mergeCell ref="B3:L3"/>
    <mergeCell ref="B4:L4"/>
    <mergeCell ref="N2:X2"/>
    <mergeCell ref="N3:X3"/>
    <mergeCell ref="N4:X4"/>
    <mergeCell ref="B7:B9"/>
    <mergeCell ref="C7:C9"/>
    <mergeCell ref="D7:D9"/>
    <mergeCell ref="E7:H7"/>
    <mergeCell ref="J7:M7"/>
  </mergeCells>
  <printOptions horizontalCentered="1" verticalCentered="1" headings="1"/>
  <pageMargins left="0.82677165354330717" right="0.86614173228346458" top="2.93" bottom="1.6" header="0.51181102362204722" footer="0.51181102362204722"/>
  <pageSetup paperSize="9" scale="60" orientation="landscape" r:id="rId1"/>
  <headerFooter alignWithMargins="0"/>
  <colBreaks count="1" manualBreakCount="1">
    <brk id="13" max="24"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B1:P52"/>
  <sheetViews>
    <sheetView showGridLines="0" view="pageBreakPreview" zoomScale="53" zoomScaleNormal="75" workbookViewId="0">
      <selection activeCell="O21" sqref="O21"/>
    </sheetView>
  </sheetViews>
  <sheetFormatPr defaultColWidth="9.453125" defaultRowHeight="14" x14ac:dyDescent="0.3"/>
  <cols>
    <col min="1" max="1" width="4.453125" style="1" customWidth="1"/>
    <col min="2" max="2" width="30.453125" style="1" customWidth="1"/>
    <col min="3" max="14" width="10.54296875" style="1" customWidth="1"/>
    <col min="15" max="15" width="19.81640625" style="1" customWidth="1"/>
    <col min="16" max="16384" width="9.453125" style="1"/>
  </cols>
  <sheetData>
    <row r="1" spans="2:16" x14ac:dyDescent="0.3">
      <c r="B1" s="53"/>
    </row>
    <row r="2" spans="2:16" x14ac:dyDescent="0.3">
      <c r="B2" s="1406" t="str">
        <f>Index!B2</f>
        <v xml:space="preserve">      Maharashtra State Power Generation Company Ltd.</v>
      </c>
      <c r="C2" s="1488"/>
      <c r="D2" s="1488"/>
      <c r="E2" s="1488"/>
      <c r="F2" s="1488"/>
      <c r="G2" s="1488"/>
      <c r="H2" s="1488"/>
      <c r="I2" s="1488"/>
      <c r="J2" s="1488"/>
      <c r="K2" s="1488"/>
      <c r="L2" s="1488"/>
      <c r="M2" s="1488"/>
      <c r="N2" s="1488"/>
      <c r="O2" s="1488"/>
    </row>
    <row r="3" spans="2:16" x14ac:dyDescent="0.3">
      <c r="B3" s="1406" t="str">
        <f>Index!B3</f>
        <v>MYT Petition Formats for Bhusawal Unit 6</v>
      </c>
      <c r="C3" s="1488"/>
      <c r="D3" s="1488"/>
      <c r="E3" s="1488"/>
      <c r="F3" s="1488"/>
      <c r="G3" s="1488"/>
      <c r="H3" s="1488"/>
      <c r="I3" s="1488"/>
      <c r="J3" s="1488"/>
      <c r="K3" s="1488"/>
      <c r="L3" s="1488"/>
      <c r="M3" s="1488"/>
      <c r="N3" s="1488"/>
      <c r="O3" s="1488"/>
    </row>
    <row r="4" spans="2:16" x14ac:dyDescent="0.3">
      <c r="B4" s="1407" t="s">
        <v>272</v>
      </c>
      <c r="C4" s="1488"/>
      <c r="D4" s="1488"/>
      <c r="E4" s="1488"/>
      <c r="F4" s="1488"/>
      <c r="G4" s="1488"/>
      <c r="H4" s="1488"/>
      <c r="I4" s="1488"/>
      <c r="J4" s="1488"/>
      <c r="K4" s="1488"/>
      <c r="L4" s="1488"/>
      <c r="M4" s="1488"/>
      <c r="N4" s="1488"/>
      <c r="O4" s="1488"/>
    </row>
    <row r="5" spans="2:16" x14ac:dyDescent="0.3">
      <c r="B5" s="13"/>
      <c r="C5" s="6"/>
      <c r="D5" s="6"/>
      <c r="E5" s="6"/>
      <c r="F5" s="6"/>
      <c r="G5" s="6"/>
      <c r="H5" s="6"/>
      <c r="I5" s="54"/>
    </row>
    <row r="6" spans="2:16" x14ac:dyDescent="0.3">
      <c r="B6" s="42" t="s">
        <v>667</v>
      </c>
      <c r="C6" s="6"/>
      <c r="D6" s="6"/>
      <c r="E6" s="6"/>
      <c r="F6" s="6"/>
      <c r="G6" s="6"/>
      <c r="H6" s="6"/>
      <c r="I6" s="54"/>
    </row>
    <row r="7" spans="2:16" x14ac:dyDescent="0.3">
      <c r="B7" s="42" t="s">
        <v>26</v>
      </c>
      <c r="C7" s="50"/>
      <c r="D7" s="50"/>
      <c r="O7" s="50" t="s">
        <v>273</v>
      </c>
    </row>
    <row r="8" spans="2:16" x14ac:dyDescent="0.3">
      <c r="B8" s="79" t="s">
        <v>274</v>
      </c>
      <c r="C8" s="64" t="s">
        <v>275</v>
      </c>
      <c r="D8" s="64" t="s">
        <v>276</v>
      </c>
      <c r="E8" s="80" t="s">
        <v>277</v>
      </c>
      <c r="F8" s="80" t="s">
        <v>278</v>
      </c>
      <c r="G8" s="80" t="s">
        <v>279</v>
      </c>
      <c r="H8" s="80" t="s">
        <v>280</v>
      </c>
      <c r="I8" s="80" t="s">
        <v>281</v>
      </c>
      <c r="J8" s="80" t="s">
        <v>282</v>
      </c>
      <c r="K8" s="80" t="s">
        <v>283</v>
      </c>
      <c r="L8" s="80" t="s">
        <v>284</v>
      </c>
      <c r="M8" s="80" t="s">
        <v>285</v>
      </c>
      <c r="N8" s="80" t="s">
        <v>286</v>
      </c>
      <c r="O8" s="80" t="s">
        <v>267</v>
      </c>
    </row>
    <row r="9" spans="2:16" x14ac:dyDescent="0.3">
      <c r="B9" s="81" t="s">
        <v>708</v>
      </c>
      <c r="C9" s="216">
        <f>F9.1!E16</f>
        <v>0</v>
      </c>
      <c r="D9" s="216">
        <f>F9.1!F16</f>
        <v>0</v>
      </c>
      <c r="E9" s="216">
        <f>F9.1!G16</f>
        <v>0</v>
      </c>
      <c r="F9" s="216">
        <f>F9.1!H16</f>
        <v>0</v>
      </c>
      <c r="G9" s="216">
        <f>F9.1!I16</f>
        <v>0</v>
      </c>
      <c r="H9" s="216">
        <f>F9.1!J16</f>
        <v>0</v>
      </c>
      <c r="I9" s="216">
        <f>F9.1!K16</f>
        <v>0</v>
      </c>
      <c r="J9" s="216">
        <f>F9.1!L16</f>
        <v>0</v>
      </c>
      <c r="K9" s="216">
        <f>F9.1!M16</f>
        <v>0</v>
      </c>
      <c r="L9" s="216">
        <f>F9.1!N16</f>
        <v>0</v>
      </c>
      <c r="M9" s="216">
        <f>F9.1!O16</f>
        <v>82.987923104749996</v>
      </c>
      <c r="N9" s="216">
        <f>F9.1!P16</f>
        <v>202.51896199999999</v>
      </c>
      <c r="O9" s="216">
        <f>SUM(C9:N9)</f>
        <v>285.50688510474998</v>
      </c>
    </row>
    <row r="10" spans="2:16" x14ac:dyDescent="0.3">
      <c r="B10" s="81"/>
      <c r="C10" s="216"/>
      <c r="D10" s="216"/>
      <c r="E10" s="216"/>
      <c r="F10" s="216"/>
      <c r="G10" s="216"/>
      <c r="H10" s="216"/>
      <c r="I10" s="216"/>
      <c r="J10" s="216"/>
      <c r="K10" s="216"/>
      <c r="L10" s="216"/>
      <c r="M10" s="216"/>
      <c r="N10" s="216"/>
      <c r="O10" s="216">
        <f>SUM(C10:N10)</f>
        <v>0</v>
      </c>
    </row>
    <row r="11" spans="2:16" s="4" customFormat="1" x14ac:dyDescent="0.3">
      <c r="B11" s="55" t="s">
        <v>267</v>
      </c>
      <c r="C11" s="216">
        <f>SUM(C9:C10)</f>
        <v>0</v>
      </c>
      <c r="D11" s="216">
        <f t="shared" ref="D11:O11" si="0">SUM(D9:D10)</f>
        <v>0</v>
      </c>
      <c r="E11" s="216">
        <f t="shared" si="0"/>
        <v>0</v>
      </c>
      <c r="F11" s="216">
        <f t="shared" si="0"/>
        <v>0</v>
      </c>
      <c r="G11" s="216">
        <f t="shared" si="0"/>
        <v>0</v>
      </c>
      <c r="H11" s="216">
        <f t="shared" si="0"/>
        <v>0</v>
      </c>
      <c r="I11" s="216">
        <f t="shared" si="0"/>
        <v>0</v>
      </c>
      <c r="J11" s="216">
        <f t="shared" si="0"/>
        <v>0</v>
      </c>
      <c r="K11" s="216">
        <f t="shared" si="0"/>
        <v>0</v>
      </c>
      <c r="L11" s="216">
        <f t="shared" si="0"/>
        <v>0</v>
      </c>
      <c r="M11" s="216">
        <f t="shared" si="0"/>
        <v>82.987923104749996</v>
      </c>
      <c r="N11" s="216">
        <f t="shared" si="0"/>
        <v>202.51896199999999</v>
      </c>
      <c r="O11" s="216">
        <f t="shared" si="0"/>
        <v>285.50688510474998</v>
      </c>
    </row>
    <row r="12" spans="2:16" x14ac:dyDescent="0.3">
      <c r="B12" s="163"/>
      <c r="E12" s="165"/>
      <c r="F12" s="166"/>
      <c r="G12" s="165"/>
      <c r="H12" s="165"/>
    </row>
    <row r="14" spans="2:16" ht="16" x14ac:dyDescent="0.3">
      <c r="B14" s="42"/>
      <c r="C14" s="6"/>
      <c r="D14" s="6"/>
      <c r="E14" s="6"/>
      <c r="F14" s="6"/>
      <c r="G14" s="6"/>
      <c r="H14" s="6"/>
      <c r="I14" s="6"/>
      <c r="J14" s="6"/>
      <c r="K14" s="6"/>
      <c r="L14" s="6"/>
      <c r="M14" s="6"/>
      <c r="N14" s="6"/>
      <c r="O14" s="54"/>
      <c r="P14" s="34"/>
    </row>
    <row r="15" spans="2:16" x14ac:dyDescent="0.3">
      <c r="B15" s="42" t="s">
        <v>855</v>
      </c>
      <c r="C15" s="6"/>
      <c r="D15" s="6"/>
      <c r="E15" s="6"/>
      <c r="F15" s="6"/>
      <c r="G15" s="6"/>
      <c r="H15" s="6"/>
      <c r="I15" s="54"/>
    </row>
    <row r="16" spans="2:16" x14ac:dyDescent="0.3">
      <c r="B16" s="42" t="s">
        <v>656</v>
      </c>
      <c r="C16" s="50"/>
      <c r="D16" s="50"/>
      <c r="O16" s="50" t="s">
        <v>273</v>
      </c>
    </row>
    <row r="17" spans="2:15" x14ac:dyDescent="0.3">
      <c r="B17" s="79" t="s">
        <v>274</v>
      </c>
      <c r="C17" s="64" t="s">
        <v>275</v>
      </c>
      <c r="D17" s="64" t="s">
        <v>276</v>
      </c>
      <c r="E17" s="80" t="s">
        <v>277</v>
      </c>
      <c r="F17" s="80" t="s">
        <v>278</v>
      </c>
      <c r="G17" s="80" t="s">
        <v>279</v>
      </c>
      <c r="H17" s="80" t="s">
        <v>280</v>
      </c>
      <c r="I17" s="80" t="s">
        <v>281</v>
      </c>
      <c r="J17" s="80" t="s">
        <v>282</v>
      </c>
      <c r="K17" s="80" t="s">
        <v>283</v>
      </c>
      <c r="L17" s="80" t="s">
        <v>284</v>
      </c>
      <c r="M17" s="80" t="s">
        <v>285</v>
      </c>
      <c r="N17" s="80" t="s">
        <v>286</v>
      </c>
      <c r="O17" s="80" t="s">
        <v>267</v>
      </c>
    </row>
    <row r="18" spans="2:15" x14ac:dyDescent="0.3">
      <c r="B18" s="135" t="s">
        <v>708</v>
      </c>
      <c r="C18" s="300">
        <f>F2.2!$J$37*30/365</f>
        <v>316.76505664865755</v>
      </c>
      <c r="D18" s="300">
        <f>F2.2!$J$37*31/365</f>
        <v>327.32389187027945</v>
      </c>
      <c r="E18" s="300">
        <f>F2.2!$J$37*30/365</f>
        <v>316.76505664865755</v>
      </c>
      <c r="F18" s="300">
        <f>F2.2!$J$37*31/365</f>
        <v>327.32389187027945</v>
      </c>
      <c r="G18" s="300">
        <f>F2.2!$J$37*31/365</f>
        <v>327.32389187027945</v>
      </c>
      <c r="H18" s="300">
        <f>F2.2!$J$37*30/365</f>
        <v>316.76505664865755</v>
      </c>
      <c r="I18" s="300">
        <f>F2.2!$J$37*31/365</f>
        <v>327.32389187027945</v>
      </c>
      <c r="J18" s="300">
        <f>F2.2!$J$37*30/365</f>
        <v>316.76505664865755</v>
      </c>
      <c r="K18" s="300">
        <f>F2.2!$J$37*31/365</f>
        <v>327.32389187027945</v>
      </c>
      <c r="L18" s="300">
        <f>F2.2!$J$37*31/365</f>
        <v>327.32389187027945</v>
      </c>
      <c r="M18" s="300">
        <f>F2.2!$J$37*28/365</f>
        <v>295.64738620541368</v>
      </c>
      <c r="N18" s="300">
        <f>F2.2!$J$37*31/365</f>
        <v>327.32389187027945</v>
      </c>
      <c r="O18" s="300">
        <f>SUM(C18:N18)</f>
        <v>3853.9748558920005</v>
      </c>
    </row>
    <row r="19" spans="2:15" x14ac:dyDescent="0.3">
      <c r="B19" s="81"/>
      <c r="C19" s="216"/>
      <c r="D19" s="216"/>
      <c r="E19" s="216"/>
      <c r="F19" s="216"/>
      <c r="G19" s="216"/>
      <c r="H19" s="216"/>
      <c r="I19" s="216"/>
      <c r="J19" s="216"/>
      <c r="K19" s="216"/>
      <c r="L19" s="216"/>
      <c r="M19" s="216"/>
      <c r="N19" s="216"/>
      <c r="O19" s="216">
        <f>SUM(C19:N19)</f>
        <v>0</v>
      </c>
    </row>
    <row r="20" spans="2:15" s="4" customFormat="1" x14ac:dyDescent="0.3">
      <c r="B20" s="55" t="s">
        <v>267</v>
      </c>
      <c r="C20" s="216">
        <f t="shared" ref="C20:O20" si="1">SUM(C18:C19)</f>
        <v>316.76505664865755</v>
      </c>
      <c r="D20" s="216">
        <f t="shared" si="1"/>
        <v>327.32389187027945</v>
      </c>
      <c r="E20" s="216">
        <f t="shared" si="1"/>
        <v>316.76505664865755</v>
      </c>
      <c r="F20" s="216">
        <f t="shared" si="1"/>
        <v>327.32389187027945</v>
      </c>
      <c r="G20" s="216">
        <f t="shared" si="1"/>
        <v>327.32389187027945</v>
      </c>
      <c r="H20" s="216">
        <f t="shared" si="1"/>
        <v>316.76505664865755</v>
      </c>
      <c r="I20" s="216">
        <f t="shared" si="1"/>
        <v>327.32389187027945</v>
      </c>
      <c r="J20" s="216">
        <f t="shared" si="1"/>
        <v>316.76505664865755</v>
      </c>
      <c r="K20" s="216">
        <f t="shared" si="1"/>
        <v>327.32389187027945</v>
      </c>
      <c r="L20" s="216">
        <f t="shared" si="1"/>
        <v>327.32389187027945</v>
      </c>
      <c r="M20" s="216">
        <f t="shared" si="1"/>
        <v>295.64738620541368</v>
      </c>
      <c r="N20" s="216">
        <f t="shared" si="1"/>
        <v>327.32389187027945</v>
      </c>
      <c r="O20" s="216">
        <f t="shared" si="1"/>
        <v>3853.9748558920005</v>
      </c>
    </row>
    <row r="21" spans="2:15" x14ac:dyDescent="0.3">
      <c r="O21" s="406">
        <f>F2.2!$J$37-O20</f>
        <v>0</v>
      </c>
    </row>
    <row r="23" spans="2:15" x14ac:dyDescent="0.3">
      <c r="B23" s="42" t="s">
        <v>856</v>
      </c>
      <c r="C23" s="6"/>
      <c r="D23" s="6"/>
      <c r="E23" s="6"/>
      <c r="F23" s="6"/>
      <c r="G23" s="6"/>
      <c r="H23" s="6"/>
      <c r="I23" s="54"/>
    </row>
    <row r="24" spans="2:15" x14ac:dyDescent="0.3">
      <c r="B24" s="42" t="s">
        <v>656</v>
      </c>
      <c r="C24" s="50"/>
      <c r="D24" s="50"/>
      <c r="O24" s="50" t="s">
        <v>273</v>
      </c>
    </row>
    <row r="25" spans="2:15" x14ac:dyDescent="0.3">
      <c r="B25" s="79" t="s">
        <v>274</v>
      </c>
      <c r="C25" s="64" t="s">
        <v>275</v>
      </c>
      <c r="D25" s="64" t="s">
        <v>276</v>
      </c>
      <c r="E25" s="80" t="s">
        <v>277</v>
      </c>
      <c r="F25" s="80" t="s">
        <v>278</v>
      </c>
      <c r="G25" s="80" t="s">
        <v>279</v>
      </c>
      <c r="H25" s="80" t="s">
        <v>280</v>
      </c>
      <c r="I25" s="80" t="s">
        <v>281</v>
      </c>
      <c r="J25" s="80" t="s">
        <v>282</v>
      </c>
      <c r="K25" s="80" t="s">
        <v>283</v>
      </c>
      <c r="L25" s="80" t="s">
        <v>284</v>
      </c>
      <c r="M25" s="80" t="s">
        <v>285</v>
      </c>
      <c r="N25" s="80" t="s">
        <v>286</v>
      </c>
      <c r="O25" s="80" t="s">
        <v>267</v>
      </c>
    </row>
    <row r="26" spans="2:15" x14ac:dyDescent="0.3">
      <c r="B26" s="135" t="s">
        <v>708</v>
      </c>
      <c r="C26" s="300">
        <f>F2.2!$K$37*30/365</f>
        <v>380.29068000000001</v>
      </c>
      <c r="D26" s="300">
        <f>F2.2!$K$37*31/365</f>
        <v>392.96703600000001</v>
      </c>
      <c r="E26" s="300">
        <f>F2.2!$K$37*30/365</f>
        <v>380.29068000000001</v>
      </c>
      <c r="F26" s="300">
        <f>F2.2!$K$37*31/365</f>
        <v>392.96703600000001</v>
      </c>
      <c r="G26" s="300">
        <f>F2.2!$K$37*31/365</f>
        <v>392.96703600000001</v>
      </c>
      <c r="H26" s="300">
        <f>F2.2!$K$37*30/365</f>
        <v>380.29068000000001</v>
      </c>
      <c r="I26" s="300">
        <f>F2.2!$K$37*31/365</f>
        <v>392.96703600000001</v>
      </c>
      <c r="J26" s="300">
        <f>F2.2!$K$37*30/365</f>
        <v>380.29068000000001</v>
      </c>
      <c r="K26" s="300">
        <f>F2.2!$K$37*31/365</f>
        <v>392.96703600000001</v>
      </c>
      <c r="L26" s="300">
        <f>F2.2!$K$37*31/365</f>
        <v>392.96703600000001</v>
      </c>
      <c r="M26" s="300">
        <f>F2.2!$K$37*28/365</f>
        <v>354.93796800000001</v>
      </c>
      <c r="N26" s="300">
        <f>F2.2!$K$37*31/365</f>
        <v>392.96703600000001</v>
      </c>
      <c r="O26" s="300">
        <f>SUM(C26:N26)</f>
        <v>4626.8699400000005</v>
      </c>
    </row>
    <row r="27" spans="2:15" x14ac:dyDescent="0.3">
      <c r="B27" s="81"/>
      <c r="C27" s="216"/>
      <c r="D27" s="216"/>
      <c r="E27" s="216"/>
      <c r="F27" s="216"/>
      <c r="G27" s="216"/>
      <c r="H27" s="216"/>
      <c r="I27" s="216"/>
      <c r="J27" s="216"/>
      <c r="K27" s="216"/>
      <c r="L27" s="216"/>
      <c r="M27" s="216"/>
      <c r="N27" s="216"/>
      <c r="O27" s="216">
        <f>SUM(C27:N27)</f>
        <v>0</v>
      </c>
    </row>
    <row r="28" spans="2:15" s="4" customFormat="1" x14ac:dyDescent="0.3">
      <c r="B28" s="55" t="s">
        <v>267</v>
      </c>
      <c r="C28" s="216">
        <f>SUM(C26:C27)</f>
        <v>380.29068000000001</v>
      </c>
      <c r="D28" s="216">
        <f t="shared" ref="D28:O28" si="2">SUM(D26:D27)</f>
        <v>392.96703600000001</v>
      </c>
      <c r="E28" s="216">
        <f t="shared" si="2"/>
        <v>380.29068000000001</v>
      </c>
      <c r="F28" s="216">
        <f t="shared" si="2"/>
        <v>392.96703600000001</v>
      </c>
      <c r="G28" s="216">
        <f t="shared" si="2"/>
        <v>392.96703600000001</v>
      </c>
      <c r="H28" s="216">
        <f t="shared" si="2"/>
        <v>380.29068000000001</v>
      </c>
      <c r="I28" s="216">
        <f t="shared" si="2"/>
        <v>392.96703600000001</v>
      </c>
      <c r="J28" s="216">
        <f t="shared" si="2"/>
        <v>380.29068000000001</v>
      </c>
      <c r="K28" s="216">
        <f t="shared" si="2"/>
        <v>392.96703600000001</v>
      </c>
      <c r="L28" s="216">
        <f t="shared" si="2"/>
        <v>392.96703600000001</v>
      </c>
      <c r="M28" s="216">
        <f t="shared" si="2"/>
        <v>354.93796800000001</v>
      </c>
      <c r="N28" s="216">
        <f t="shared" si="2"/>
        <v>392.96703600000001</v>
      </c>
      <c r="O28" s="216">
        <f t="shared" si="2"/>
        <v>4626.8699400000005</v>
      </c>
    </row>
    <row r="31" spans="2:15" x14ac:dyDescent="0.3">
      <c r="B31" s="42" t="s">
        <v>857</v>
      </c>
      <c r="C31" s="6"/>
      <c r="D31" s="6"/>
      <c r="E31" s="6"/>
      <c r="F31" s="6"/>
      <c r="G31" s="6"/>
      <c r="H31" s="6"/>
      <c r="I31" s="54"/>
    </row>
    <row r="32" spans="2:15" x14ac:dyDescent="0.3">
      <c r="B32" s="42" t="s">
        <v>656</v>
      </c>
      <c r="C32" s="50"/>
      <c r="D32" s="50"/>
      <c r="O32" s="50" t="s">
        <v>273</v>
      </c>
    </row>
    <row r="33" spans="2:15" x14ac:dyDescent="0.3">
      <c r="B33" s="79" t="s">
        <v>274</v>
      </c>
      <c r="C33" s="64" t="s">
        <v>275</v>
      </c>
      <c r="D33" s="64" t="s">
        <v>276</v>
      </c>
      <c r="E33" s="80" t="s">
        <v>277</v>
      </c>
      <c r="F33" s="80" t="s">
        <v>278</v>
      </c>
      <c r="G33" s="80" t="s">
        <v>279</v>
      </c>
      <c r="H33" s="80" t="s">
        <v>280</v>
      </c>
      <c r="I33" s="80" t="s">
        <v>281</v>
      </c>
      <c r="J33" s="80" t="s">
        <v>282</v>
      </c>
      <c r="K33" s="80" t="s">
        <v>283</v>
      </c>
      <c r="L33" s="80" t="s">
        <v>284</v>
      </c>
      <c r="M33" s="80" t="s">
        <v>285</v>
      </c>
      <c r="N33" s="80" t="s">
        <v>286</v>
      </c>
      <c r="O33" s="80" t="s">
        <v>267</v>
      </c>
    </row>
    <row r="34" spans="2:15" x14ac:dyDescent="0.3">
      <c r="B34" s="135" t="s">
        <v>708</v>
      </c>
      <c r="C34" s="300">
        <f>F2.2!$L$37*30/366</f>
        <v>379.88675999999998</v>
      </c>
      <c r="D34" s="300">
        <f>F2.2!$L$37*31/366</f>
        <v>392.54965199999998</v>
      </c>
      <c r="E34" s="300">
        <f>F2.2!$L$37*30/366</f>
        <v>379.88675999999998</v>
      </c>
      <c r="F34" s="300">
        <f>F2.2!$L$37*31/366</f>
        <v>392.54965199999998</v>
      </c>
      <c r="G34" s="300">
        <f>F2.2!$L$37*31/366</f>
        <v>392.54965199999998</v>
      </c>
      <c r="H34" s="300">
        <f>F2.2!$L$37*30/366</f>
        <v>379.88675999999998</v>
      </c>
      <c r="I34" s="300">
        <f>F2.2!$L$37*31/366</f>
        <v>392.54965199999998</v>
      </c>
      <c r="J34" s="300">
        <f>F2.2!$L$37*30/366</f>
        <v>379.88675999999998</v>
      </c>
      <c r="K34" s="300">
        <f>F2.2!$L$37*31/366</f>
        <v>392.54965199999998</v>
      </c>
      <c r="L34" s="300">
        <f>F2.2!$L$37*31/366</f>
        <v>392.54965199999998</v>
      </c>
      <c r="M34" s="300">
        <f>F2.2!$L$37*29/366</f>
        <v>367.22386799999998</v>
      </c>
      <c r="N34" s="300">
        <f>F2.2!$L$37*31/366</f>
        <v>392.54965199999998</v>
      </c>
      <c r="O34" s="300">
        <f>SUM(C34:N34)</f>
        <v>4634.6184719999992</v>
      </c>
    </row>
    <row r="35" spans="2:15" x14ac:dyDescent="0.3">
      <c r="B35" s="81"/>
      <c r="C35" s="216"/>
      <c r="D35" s="216"/>
      <c r="E35" s="216"/>
      <c r="F35" s="216"/>
      <c r="G35" s="216"/>
      <c r="H35" s="216"/>
      <c r="I35" s="216"/>
      <c r="J35" s="216"/>
      <c r="K35" s="216"/>
      <c r="L35" s="216"/>
      <c r="M35" s="216"/>
      <c r="N35" s="216"/>
      <c r="O35" s="216">
        <f>SUM(C35:N35)</f>
        <v>0</v>
      </c>
    </row>
    <row r="36" spans="2:15" s="4" customFormat="1" x14ac:dyDescent="0.3">
      <c r="B36" s="55" t="s">
        <v>267</v>
      </c>
      <c r="C36" s="216">
        <f>SUM(C34:C35)</f>
        <v>379.88675999999998</v>
      </c>
      <c r="D36" s="216">
        <f t="shared" ref="D36:O36" si="3">SUM(D34:D35)</f>
        <v>392.54965199999998</v>
      </c>
      <c r="E36" s="216">
        <f t="shared" si="3"/>
        <v>379.88675999999998</v>
      </c>
      <c r="F36" s="216">
        <f t="shared" si="3"/>
        <v>392.54965199999998</v>
      </c>
      <c r="G36" s="216">
        <f t="shared" si="3"/>
        <v>392.54965199999998</v>
      </c>
      <c r="H36" s="216">
        <f t="shared" si="3"/>
        <v>379.88675999999998</v>
      </c>
      <c r="I36" s="216">
        <f t="shared" si="3"/>
        <v>392.54965199999998</v>
      </c>
      <c r="J36" s="216">
        <f t="shared" si="3"/>
        <v>379.88675999999998</v>
      </c>
      <c r="K36" s="216">
        <f t="shared" si="3"/>
        <v>392.54965199999998</v>
      </c>
      <c r="L36" s="216">
        <f t="shared" si="3"/>
        <v>392.54965199999998</v>
      </c>
      <c r="M36" s="216">
        <f t="shared" si="3"/>
        <v>367.22386799999998</v>
      </c>
      <c r="N36" s="216">
        <f t="shared" si="3"/>
        <v>392.54965199999998</v>
      </c>
      <c r="O36" s="216">
        <f t="shared" si="3"/>
        <v>4634.6184719999992</v>
      </c>
    </row>
    <row r="39" spans="2:15" x14ac:dyDescent="0.3">
      <c r="B39" s="42" t="s">
        <v>858</v>
      </c>
      <c r="C39" s="6"/>
      <c r="D39" s="6"/>
      <c r="E39" s="6"/>
      <c r="F39" s="6"/>
      <c r="G39" s="6"/>
      <c r="H39" s="6"/>
      <c r="I39" s="54"/>
    </row>
    <row r="40" spans="2:15" x14ac:dyDescent="0.3">
      <c r="B40" s="42" t="s">
        <v>656</v>
      </c>
      <c r="C40" s="50"/>
      <c r="D40" s="50"/>
      <c r="O40" s="50" t="s">
        <v>273</v>
      </c>
    </row>
    <row r="41" spans="2:15" x14ac:dyDescent="0.3">
      <c r="B41" s="79" t="s">
        <v>274</v>
      </c>
      <c r="C41" s="64" t="s">
        <v>275</v>
      </c>
      <c r="D41" s="64" t="s">
        <v>276</v>
      </c>
      <c r="E41" s="80" t="s">
        <v>277</v>
      </c>
      <c r="F41" s="80" t="s">
        <v>278</v>
      </c>
      <c r="G41" s="80" t="s">
        <v>279</v>
      </c>
      <c r="H41" s="80" t="s">
        <v>280</v>
      </c>
      <c r="I41" s="80" t="s">
        <v>281</v>
      </c>
      <c r="J41" s="80" t="s">
        <v>282</v>
      </c>
      <c r="K41" s="80" t="s">
        <v>283</v>
      </c>
      <c r="L41" s="80" t="s">
        <v>284</v>
      </c>
      <c r="M41" s="80" t="s">
        <v>285</v>
      </c>
      <c r="N41" s="80" t="s">
        <v>286</v>
      </c>
      <c r="O41" s="80" t="s">
        <v>267</v>
      </c>
    </row>
    <row r="42" spans="2:15" x14ac:dyDescent="0.3">
      <c r="B42" s="135" t="s">
        <v>708</v>
      </c>
      <c r="C42" s="300">
        <f>F2.2!$M$37*30/365</f>
        <v>379.88676000000009</v>
      </c>
      <c r="D42" s="300">
        <f>F2.2!$M$37*31/365</f>
        <v>392.54965200000004</v>
      </c>
      <c r="E42" s="300">
        <f>F2.2!$M$37*30/365</f>
        <v>379.88676000000009</v>
      </c>
      <c r="F42" s="300">
        <f>F2.2!$M$37*31/365</f>
        <v>392.54965200000004</v>
      </c>
      <c r="G42" s="300">
        <f>F2.2!$M$37*31/365</f>
        <v>392.54965200000004</v>
      </c>
      <c r="H42" s="300">
        <f>F2.2!$M$37*30/365</f>
        <v>379.88676000000009</v>
      </c>
      <c r="I42" s="300">
        <f>F2.2!$M$37*31/365</f>
        <v>392.54965200000004</v>
      </c>
      <c r="J42" s="300">
        <f>F2.2!$M$37*30/365</f>
        <v>379.88676000000009</v>
      </c>
      <c r="K42" s="300">
        <f>F2.2!$M$37*31/365</f>
        <v>392.54965200000004</v>
      </c>
      <c r="L42" s="300">
        <f>F2.2!$M$37*31/365</f>
        <v>392.54965200000004</v>
      </c>
      <c r="M42" s="300">
        <f>F2.2!$M$37*28/365</f>
        <v>354.56097600000004</v>
      </c>
      <c r="N42" s="300">
        <f>F2.2!$M$37*31/365</f>
        <v>392.54965200000004</v>
      </c>
      <c r="O42" s="300">
        <f>SUM(C42:N42)</f>
        <v>4621.9555800000007</v>
      </c>
    </row>
    <row r="43" spans="2:15" x14ac:dyDescent="0.3">
      <c r="B43" s="81"/>
      <c r="C43" s="216"/>
      <c r="D43" s="216"/>
      <c r="E43" s="216"/>
      <c r="F43" s="216"/>
      <c r="G43" s="216"/>
      <c r="H43" s="216"/>
      <c r="I43" s="216"/>
      <c r="J43" s="216"/>
      <c r="K43" s="216"/>
      <c r="L43" s="216"/>
      <c r="M43" s="216"/>
      <c r="N43" s="216"/>
      <c r="O43" s="216">
        <f>SUM(C43:N43)</f>
        <v>0</v>
      </c>
    </row>
    <row r="44" spans="2:15" s="4" customFormat="1" x14ac:dyDescent="0.3">
      <c r="B44" s="55" t="s">
        <v>267</v>
      </c>
      <c r="C44" s="216">
        <f>SUM(C42:C43)</f>
        <v>379.88676000000009</v>
      </c>
      <c r="D44" s="216">
        <f t="shared" ref="D44:O44" si="4">SUM(D42:D43)</f>
        <v>392.54965200000004</v>
      </c>
      <c r="E44" s="216">
        <f t="shared" si="4"/>
        <v>379.88676000000009</v>
      </c>
      <c r="F44" s="216">
        <f t="shared" si="4"/>
        <v>392.54965200000004</v>
      </c>
      <c r="G44" s="216">
        <f t="shared" si="4"/>
        <v>392.54965200000004</v>
      </c>
      <c r="H44" s="216">
        <f t="shared" si="4"/>
        <v>379.88676000000009</v>
      </c>
      <c r="I44" s="216">
        <f t="shared" si="4"/>
        <v>392.54965200000004</v>
      </c>
      <c r="J44" s="216">
        <f t="shared" si="4"/>
        <v>379.88676000000009</v>
      </c>
      <c r="K44" s="216">
        <f t="shared" si="4"/>
        <v>392.54965200000004</v>
      </c>
      <c r="L44" s="216">
        <f t="shared" si="4"/>
        <v>392.54965200000004</v>
      </c>
      <c r="M44" s="216">
        <f t="shared" si="4"/>
        <v>354.56097600000004</v>
      </c>
      <c r="N44" s="216">
        <f t="shared" si="4"/>
        <v>392.54965200000004</v>
      </c>
      <c r="O44" s="216">
        <f t="shared" si="4"/>
        <v>4621.9555800000007</v>
      </c>
    </row>
    <row r="47" spans="2:15" x14ac:dyDescent="0.3">
      <c r="B47" s="42" t="s">
        <v>859</v>
      </c>
      <c r="C47" s="6"/>
      <c r="D47" s="6"/>
      <c r="E47" s="6"/>
      <c r="F47" s="6"/>
      <c r="G47" s="6"/>
      <c r="H47" s="6"/>
      <c r="I47" s="54"/>
    </row>
    <row r="48" spans="2:15" x14ac:dyDescent="0.3">
      <c r="B48" s="42" t="s">
        <v>656</v>
      </c>
      <c r="C48" s="50"/>
      <c r="D48" s="50"/>
      <c r="O48" s="50" t="s">
        <v>273</v>
      </c>
    </row>
    <row r="49" spans="2:15" x14ac:dyDescent="0.3">
      <c r="B49" s="79" t="s">
        <v>274</v>
      </c>
      <c r="C49" s="64" t="s">
        <v>275</v>
      </c>
      <c r="D49" s="64" t="s">
        <v>276</v>
      </c>
      <c r="E49" s="80" t="s">
        <v>277</v>
      </c>
      <c r="F49" s="80" t="s">
        <v>278</v>
      </c>
      <c r="G49" s="80" t="s">
        <v>279</v>
      </c>
      <c r="H49" s="80" t="s">
        <v>280</v>
      </c>
      <c r="I49" s="80" t="s">
        <v>281</v>
      </c>
      <c r="J49" s="80" t="s">
        <v>282</v>
      </c>
      <c r="K49" s="80" t="s">
        <v>283</v>
      </c>
      <c r="L49" s="80" t="s">
        <v>284</v>
      </c>
      <c r="M49" s="80" t="s">
        <v>285</v>
      </c>
      <c r="N49" s="80" t="s">
        <v>286</v>
      </c>
      <c r="O49" s="80" t="s">
        <v>267</v>
      </c>
    </row>
    <row r="50" spans="2:15" x14ac:dyDescent="0.3">
      <c r="B50" s="135" t="s">
        <v>708</v>
      </c>
      <c r="C50" s="300">
        <f>F2.2!$N$37*30/365</f>
        <v>379.88676000000009</v>
      </c>
      <c r="D50" s="300">
        <f>F2.2!$M$37*31/365</f>
        <v>392.54965200000004</v>
      </c>
      <c r="E50" s="300">
        <f>F2.2!$M$37*30/365</f>
        <v>379.88676000000009</v>
      </c>
      <c r="F50" s="300">
        <f>F2.2!$M$37*31/365</f>
        <v>392.54965200000004</v>
      </c>
      <c r="G50" s="300">
        <f>F2.2!$M$37*31/365</f>
        <v>392.54965200000004</v>
      </c>
      <c r="H50" s="300">
        <f>F2.2!$M$37*30/365</f>
        <v>379.88676000000009</v>
      </c>
      <c r="I50" s="300">
        <f>F2.2!$M$37*31/365</f>
        <v>392.54965200000004</v>
      </c>
      <c r="J50" s="300">
        <f>F2.2!$M$37*30/365</f>
        <v>379.88676000000009</v>
      </c>
      <c r="K50" s="300">
        <f>F2.2!$M$37*31/365</f>
        <v>392.54965200000004</v>
      </c>
      <c r="L50" s="300">
        <f>F2.2!$M$37*31/365</f>
        <v>392.54965200000004</v>
      </c>
      <c r="M50" s="300">
        <f>F2.2!$M$37*28/365</f>
        <v>354.56097600000004</v>
      </c>
      <c r="N50" s="300">
        <f>F2.2!$M$37*31/365</f>
        <v>392.54965200000004</v>
      </c>
      <c r="O50" s="300">
        <f>SUM(C50:N50)</f>
        <v>4621.9555800000007</v>
      </c>
    </row>
    <row r="51" spans="2:15" x14ac:dyDescent="0.3">
      <c r="B51" s="81"/>
      <c r="C51" s="216"/>
      <c r="D51" s="216"/>
      <c r="E51" s="216"/>
      <c r="F51" s="216"/>
      <c r="G51" s="216"/>
      <c r="H51" s="216"/>
      <c r="I51" s="216"/>
      <c r="J51" s="216"/>
      <c r="K51" s="216"/>
      <c r="L51" s="216"/>
      <c r="M51" s="216"/>
      <c r="N51" s="216"/>
      <c r="O51" s="216">
        <f>SUM(C51:N51)</f>
        <v>0</v>
      </c>
    </row>
    <row r="52" spans="2:15" s="4" customFormat="1" x14ac:dyDescent="0.3">
      <c r="B52" s="55" t="s">
        <v>267</v>
      </c>
      <c r="C52" s="216">
        <f>SUM(C50:C51)</f>
        <v>379.88676000000009</v>
      </c>
      <c r="D52" s="216">
        <f t="shared" ref="D52:O52" si="5">SUM(D50:D51)</f>
        <v>392.54965200000004</v>
      </c>
      <c r="E52" s="216">
        <f t="shared" si="5"/>
        <v>379.88676000000009</v>
      </c>
      <c r="F52" s="216">
        <f t="shared" si="5"/>
        <v>392.54965200000004</v>
      </c>
      <c r="G52" s="216">
        <f t="shared" si="5"/>
        <v>392.54965200000004</v>
      </c>
      <c r="H52" s="216">
        <f t="shared" si="5"/>
        <v>379.88676000000009</v>
      </c>
      <c r="I52" s="216">
        <f t="shared" si="5"/>
        <v>392.54965200000004</v>
      </c>
      <c r="J52" s="216">
        <f t="shared" si="5"/>
        <v>379.88676000000009</v>
      </c>
      <c r="K52" s="216">
        <f t="shared" si="5"/>
        <v>392.54965200000004</v>
      </c>
      <c r="L52" s="216">
        <f t="shared" si="5"/>
        <v>392.54965200000004</v>
      </c>
      <c r="M52" s="216">
        <f t="shared" si="5"/>
        <v>354.56097600000004</v>
      </c>
      <c r="N52" s="216">
        <f t="shared" si="5"/>
        <v>392.54965200000004</v>
      </c>
      <c r="O52" s="216">
        <f t="shared" si="5"/>
        <v>4621.9555800000007</v>
      </c>
    </row>
  </sheetData>
  <mergeCells count="3">
    <mergeCell ref="B2:O2"/>
    <mergeCell ref="B3:O3"/>
    <mergeCell ref="B4:O4"/>
  </mergeCells>
  <pageMargins left="1.63" right="1.33" top="1" bottom="0.37" header="0.5" footer="0.5"/>
  <pageSetup paperSize="9" scale="6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1:N20"/>
  <sheetViews>
    <sheetView showGridLines="0" view="pageBreakPreview" zoomScale="70" zoomScaleNormal="75" zoomScaleSheetLayoutView="70" workbookViewId="0">
      <selection activeCell="Q9" sqref="Q9"/>
    </sheetView>
  </sheetViews>
  <sheetFormatPr defaultColWidth="9.453125" defaultRowHeight="13" x14ac:dyDescent="0.25"/>
  <cols>
    <col min="1" max="1" width="9.453125" style="56"/>
    <col min="2" max="2" width="29.453125" style="56" customWidth="1"/>
    <col min="3" max="6" width="12.453125" style="56" customWidth="1"/>
    <col min="7" max="9" width="10.453125" style="56" customWidth="1"/>
    <col min="10" max="14" width="11.54296875" style="56" customWidth="1"/>
    <col min="15" max="16384" width="9.453125" style="56"/>
  </cols>
  <sheetData>
    <row r="1" spans="2:14" s="1" customFormat="1" ht="14" x14ac:dyDescent="0.3">
      <c r="B1" s="53"/>
    </row>
    <row r="2" spans="2:14" s="1" customFormat="1" ht="14" x14ac:dyDescent="0.3">
      <c r="B2" s="11" t="str">
        <f>Index!B2</f>
        <v xml:space="preserve">      Maharashtra State Power Generation Company Ltd.</v>
      </c>
      <c r="C2" s="14"/>
      <c r="D2" s="14"/>
      <c r="E2" s="14"/>
      <c r="F2" s="14"/>
      <c r="G2" s="14"/>
      <c r="H2" s="14"/>
      <c r="I2" s="14"/>
      <c r="J2" s="14"/>
      <c r="K2" s="14"/>
      <c r="L2" s="14"/>
      <c r="M2" s="14"/>
      <c r="N2" s="14"/>
    </row>
    <row r="3" spans="2:14" s="1" customFormat="1" ht="14" x14ac:dyDescent="0.3">
      <c r="B3" s="11" t="str">
        <f>Index!B3</f>
        <v>MYT Petition Formats for Bhusawal Unit 6</v>
      </c>
      <c r="C3" s="52"/>
      <c r="D3" s="52"/>
      <c r="E3" s="52"/>
      <c r="F3" s="52"/>
      <c r="G3" s="52"/>
      <c r="H3" s="52"/>
      <c r="I3" s="52"/>
      <c r="J3" s="52"/>
      <c r="K3" s="52"/>
      <c r="L3" s="52"/>
      <c r="M3" s="52"/>
      <c r="N3" s="14"/>
    </row>
    <row r="4" spans="2:14" s="1" customFormat="1" ht="14" x14ac:dyDescent="0.3">
      <c r="B4" s="13" t="s">
        <v>331</v>
      </c>
      <c r="C4" s="6"/>
      <c r="D4" s="6"/>
      <c r="E4" s="6"/>
      <c r="F4" s="6"/>
      <c r="G4" s="6"/>
      <c r="H4" s="6"/>
      <c r="I4" s="6"/>
      <c r="J4" s="6"/>
      <c r="K4" s="6"/>
      <c r="L4" s="6"/>
      <c r="M4" s="6"/>
      <c r="N4" s="6"/>
    </row>
    <row r="6" spans="2:14" ht="14" x14ac:dyDescent="0.3">
      <c r="B6" s="42" t="s">
        <v>477</v>
      </c>
    </row>
    <row r="7" spans="2:14" ht="14" x14ac:dyDescent="0.3">
      <c r="B7" s="42" t="s">
        <v>26</v>
      </c>
      <c r="N7" s="57" t="s">
        <v>10</v>
      </c>
    </row>
    <row r="8" spans="2:14" ht="13.4" customHeight="1" x14ac:dyDescent="0.25">
      <c r="B8" s="1585" t="s">
        <v>274</v>
      </c>
      <c r="C8" s="1462" t="s">
        <v>287</v>
      </c>
      <c r="D8" s="1462"/>
      <c r="E8" s="1462"/>
      <c r="F8" s="1462"/>
      <c r="G8" s="1481" t="s">
        <v>288</v>
      </c>
      <c r="H8" s="1481"/>
      <c r="I8" s="1481"/>
      <c r="J8" s="1481" t="s">
        <v>289</v>
      </c>
      <c r="K8" s="1481"/>
      <c r="L8" s="1481"/>
      <c r="M8" s="1481"/>
      <c r="N8" s="1481"/>
    </row>
    <row r="9" spans="2:14" ht="84" x14ac:dyDescent="0.25">
      <c r="B9" s="1586"/>
      <c r="C9" s="64" t="s">
        <v>334</v>
      </c>
      <c r="D9" s="64" t="s">
        <v>332</v>
      </c>
      <c r="E9" s="64" t="s">
        <v>674</v>
      </c>
      <c r="F9" s="64" t="s">
        <v>333</v>
      </c>
      <c r="G9" s="64" t="s">
        <v>290</v>
      </c>
      <c r="H9" s="64" t="s">
        <v>675</v>
      </c>
      <c r="I9" s="64" t="s">
        <v>291</v>
      </c>
      <c r="J9" s="64" t="s">
        <v>292</v>
      </c>
      <c r="K9" s="64" t="s">
        <v>293</v>
      </c>
      <c r="L9" s="64" t="s">
        <v>676</v>
      </c>
      <c r="M9" s="64" t="s">
        <v>677</v>
      </c>
      <c r="N9" s="208" t="s">
        <v>267</v>
      </c>
    </row>
    <row r="10" spans="2:14" x14ac:dyDescent="0.25">
      <c r="B10" s="82"/>
      <c r="C10" s="83"/>
      <c r="D10" s="83"/>
      <c r="E10" s="83"/>
      <c r="F10" s="83"/>
      <c r="G10" s="83"/>
      <c r="H10" s="83"/>
      <c r="I10" s="83"/>
      <c r="J10" s="83"/>
      <c r="K10" s="83"/>
      <c r="L10" s="83"/>
      <c r="M10" s="83"/>
      <c r="N10" s="84"/>
    </row>
    <row r="11" spans="2:14" ht="14" x14ac:dyDescent="0.25">
      <c r="B11" s="81" t="s">
        <v>708</v>
      </c>
      <c r="C11" s="228">
        <f>F9.1!Q21</f>
        <v>59.839216800000003</v>
      </c>
      <c r="D11" s="228">
        <f>F9.1!$Q$18</f>
        <v>3.4580000000000002</v>
      </c>
      <c r="E11" s="228">
        <f>F9.1!Q29</f>
        <v>0</v>
      </c>
      <c r="F11" s="228">
        <f>F9.1!Q20</f>
        <v>-1.1930637809171526E-2</v>
      </c>
      <c r="G11" s="228">
        <f>F9.1!Q16</f>
        <v>285.50688510474998</v>
      </c>
      <c r="H11" s="228"/>
      <c r="I11" s="228"/>
      <c r="J11" s="228">
        <f>C11</f>
        <v>59.839216800000003</v>
      </c>
      <c r="K11" s="228">
        <f>F9.1!Q22</f>
        <v>98.728280869222544</v>
      </c>
      <c r="L11" s="231">
        <f>SUM(F9.1!Q24:Q26)</f>
        <v>0</v>
      </c>
      <c r="M11" s="228">
        <f>F9.1!Q23</f>
        <v>-0.34062792382095208</v>
      </c>
      <c r="N11" s="228">
        <f>SUM(J11:M11)</f>
        <v>158.22686974540159</v>
      </c>
    </row>
    <row r="12" spans="2:14" ht="14" x14ac:dyDescent="0.25">
      <c r="B12" s="81"/>
      <c r="C12" s="85"/>
      <c r="D12" s="85"/>
      <c r="E12" s="85"/>
      <c r="F12" s="85"/>
      <c r="G12" s="85"/>
      <c r="H12" s="85"/>
      <c r="I12" s="85"/>
      <c r="J12" s="85"/>
      <c r="K12" s="85"/>
      <c r="L12" s="85"/>
      <c r="M12" s="85"/>
      <c r="N12" s="85"/>
    </row>
    <row r="13" spans="2:14" ht="14" x14ac:dyDescent="0.25">
      <c r="B13" s="81" t="s">
        <v>267</v>
      </c>
      <c r="C13" s="242"/>
      <c r="D13" s="242"/>
      <c r="E13" s="242"/>
      <c r="F13" s="242"/>
      <c r="G13" s="242">
        <f t="shared" ref="G13:N13" si="0">SUM(G10:G12)</f>
        <v>285.50688510474998</v>
      </c>
      <c r="H13" s="242"/>
      <c r="I13" s="242"/>
      <c r="J13" s="242">
        <f t="shared" si="0"/>
        <v>59.839216800000003</v>
      </c>
      <c r="K13" s="242">
        <f t="shared" si="0"/>
        <v>98.728280869222544</v>
      </c>
      <c r="L13" s="242">
        <f t="shared" si="0"/>
        <v>0</v>
      </c>
      <c r="M13" s="242">
        <f t="shared" si="0"/>
        <v>-0.34062792382095208</v>
      </c>
      <c r="N13" s="242">
        <f t="shared" si="0"/>
        <v>158.22686974540159</v>
      </c>
    </row>
    <row r="14" spans="2:14" x14ac:dyDescent="0.25">
      <c r="B14" s="57"/>
    </row>
    <row r="15" spans="2:14" x14ac:dyDescent="0.25">
      <c r="K15" s="317"/>
    </row>
    <row r="20" spans="6:6" x14ac:dyDescent="0.25">
      <c r="F20" s="56" t="s">
        <v>841</v>
      </c>
    </row>
  </sheetData>
  <mergeCells count="4">
    <mergeCell ref="B8:B9"/>
    <mergeCell ref="C8:F8"/>
    <mergeCell ref="G8:I8"/>
    <mergeCell ref="J8:N8"/>
  </mergeCells>
  <pageMargins left="2.2000000000000002" right="0.93" top="0.77" bottom="1" header="0.5" footer="0.5"/>
  <pageSetup paperSize="9" scale="6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1:S32"/>
  <sheetViews>
    <sheetView showGridLines="0" view="pageBreakPreview" zoomScale="70" zoomScaleNormal="80" zoomScaleSheetLayoutView="70" workbookViewId="0">
      <pane xSplit="4" ySplit="4" topLeftCell="S5" activePane="bottomRight" state="frozen"/>
      <selection activeCell="R39" sqref="R39"/>
      <selection pane="topRight" activeCell="R39" sqref="R39"/>
      <selection pane="bottomLeft" activeCell="R39" sqref="R39"/>
      <selection pane="bottomRight" activeCell="S12" sqref="S12"/>
    </sheetView>
  </sheetViews>
  <sheetFormatPr defaultColWidth="9.453125" defaultRowHeight="13" x14ac:dyDescent="0.25"/>
  <cols>
    <col min="1" max="1" width="9.453125" style="56"/>
    <col min="2" max="2" width="5" style="56" customWidth="1"/>
    <col min="3" max="3" width="27.81640625" style="56" customWidth="1"/>
    <col min="4" max="4" width="14.81640625" style="56" customWidth="1"/>
    <col min="5" max="17" width="15.453125" style="56" customWidth="1"/>
    <col min="18" max="16384" width="9.453125" style="56"/>
  </cols>
  <sheetData>
    <row r="1" spans="2:19" s="69" customFormat="1" x14ac:dyDescent="0.3">
      <c r="B1" s="141"/>
    </row>
    <row r="2" spans="2:19" s="69" customFormat="1" ht="14" x14ac:dyDescent="0.3">
      <c r="C2" s="154"/>
      <c r="D2" s="142"/>
      <c r="E2" s="142"/>
      <c r="F2" s="11" t="str">
        <f>Index!B2</f>
        <v xml:space="preserve">      Maharashtra State Power Generation Company Ltd.</v>
      </c>
      <c r="G2" s="142"/>
      <c r="H2" s="142"/>
      <c r="I2" s="142"/>
      <c r="J2" s="142"/>
      <c r="K2" s="142"/>
      <c r="L2" s="142"/>
      <c r="M2" s="142"/>
    </row>
    <row r="3" spans="2:19" s="69" customFormat="1" ht="14" x14ac:dyDescent="0.3">
      <c r="C3" s="155"/>
      <c r="D3" s="143"/>
      <c r="E3" s="143"/>
      <c r="F3" s="11" t="str">
        <f>Index!B3</f>
        <v>MYT Petition Formats for Bhusawal Unit 6</v>
      </c>
      <c r="G3" s="143"/>
      <c r="H3" s="143"/>
      <c r="I3" s="143"/>
      <c r="J3" s="143"/>
      <c r="K3" s="143"/>
      <c r="L3" s="143"/>
      <c r="M3" s="142"/>
    </row>
    <row r="4" spans="2:19" s="69" customFormat="1" ht="14" x14ac:dyDescent="0.3">
      <c r="C4" s="156"/>
      <c r="D4" s="144"/>
      <c r="E4" s="144"/>
      <c r="F4" s="13" t="s">
        <v>419</v>
      </c>
      <c r="G4" s="144"/>
      <c r="H4" s="144"/>
      <c r="I4" s="144"/>
      <c r="J4" s="144"/>
      <c r="K4" s="144"/>
      <c r="L4" s="144"/>
      <c r="M4" s="144"/>
    </row>
    <row r="6" spans="2:19" x14ac:dyDescent="0.25">
      <c r="B6" s="200" t="s">
        <v>881</v>
      </c>
      <c r="C6" s="200" t="s">
        <v>477</v>
      </c>
    </row>
    <row r="7" spans="2:19" ht="26" x14ac:dyDescent="0.25">
      <c r="B7" s="145" t="s">
        <v>406</v>
      </c>
      <c r="C7" s="145" t="s">
        <v>35</v>
      </c>
      <c r="D7" s="145" t="s">
        <v>91</v>
      </c>
      <c r="E7" s="64" t="s">
        <v>275</v>
      </c>
      <c r="F7" s="64" t="s">
        <v>276</v>
      </c>
      <c r="G7" s="80" t="s">
        <v>277</v>
      </c>
      <c r="H7" s="80" t="s">
        <v>278</v>
      </c>
      <c r="I7" s="80" t="s">
        <v>279</v>
      </c>
      <c r="J7" s="80" t="s">
        <v>280</v>
      </c>
      <c r="K7" s="80" t="s">
        <v>281</v>
      </c>
      <c r="L7" s="80" t="s">
        <v>282</v>
      </c>
      <c r="M7" s="80" t="s">
        <v>283</v>
      </c>
      <c r="N7" s="80" t="s">
        <v>284</v>
      </c>
      <c r="O7" s="80" t="s">
        <v>285</v>
      </c>
      <c r="P7" s="80" t="s">
        <v>286</v>
      </c>
      <c r="Q7" s="146" t="s">
        <v>267</v>
      </c>
      <c r="R7" s="214"/>
    </row>
    <row r="8" spans="2:19" x14ac:dyDescent="0.25">
      <c r="B8" s="147">
        <v>1</v>
      </c>
      <c r="C8" s="148" t="s">
        <v>349</v>
      </c>
      <c r="D8" s="147" t="s">
        <v>96</v>
      </c>
      <c r="E8" s="1075"/>
      <c r="F8" s="1075"/>
      <c r="G8" s="1075"/>
      <c r="H8" s="1075"/>
      <c r="I8" s="1075"/>
      <c r="J8" s="1075"/>
      <c r="K8" s="1075"/>
      <c r="L8" s="1075"/>
      <c r="M8" s="1075"/>
      <c r="N8" s="1075"/>
      <c r="O8" s="506">
        <v>0.85</v>
      </c>
      <c r="P8" s="506">
        <v>0.85</v>
      </c>
      <c r="Q8" s="506">
        <f>AVERAGE(E8:P8)</f>
        <v>0.85</v>
      </c>
      <c r="R8" s="214"/>
      <c r="S8" s="215"/>
    </row>
    <row r="9" spans="2:19" x14ac:dyDescent="0.25">
      <c r="B9" s="147">
        <f>B8+1</f>
        <v>2</v>
      </c>
      <c r="C9" s="148" t="s">
        <v>407</v>
      </c>
      <c r="D9" s="147" t="s">
        <v>96</v>
      </c>
      <c r="E9" s="1075"/>
      <c r="F9" s="1075"/>
      <c r="G9" s="1075"/>
      <c r="H9" s="1075"/>
      <c r="I9" s="1075"/>
      <c r="J9" s="1075"/>
      <c r="K9" s="1075"/>
      <c r="L9" s="1075"/>
      <c r="M9" s="1075"/>
      <c r="N9" s="1075"/>
      <c r="O9" s="506"/>
      <c r="P9" s="506"/>
      <c r="Q9" s="506" t="e">
        <f>AVERAGE(E9:P9)</f>
        <v>#DIV/0!</v>
      </c>
    </row>
    <row r="10" spans="2:19" x14ac:dyDescent="0.25">
      <c r="B10" s="147">
        <f>B9+1</f>
        <v>3</v>
      </c>
      <c r="C10" s="148" t="s">
        <v>408</v>
      </c>
      <c r="D10" s="147" t="s">
        <v>96</v>
      </c>
      <c r="E10" s="1075"/>
      <c r="F10" s="1075"/>
      <c r="G10" s="1075"/>
      <c r="H10" s="1075"/>
      <c r="I10" s="1075"/>
      <c r="J10" s="1075"/>
      <c r="K10" s="1075"/>
      <c r="L10" s="1075"/>
      <c r="M10" s="1075"/>
      <c r="N10" s="1075"/>
      <c r="O10" s="400"/>
      <c r="P10" s="400"/>
      <c r="Q10" s="506"/>
    </row>
    <row r="11" spans="2:19" x14ac:dyDescent="0.25">
      <c r="B11" s="147">
        <f t="shared" ref="B11:B28" si="0">B10+1</f>
        <v>4</v>
      </c>
      <c r="C11" s="148" t="s">
        <v>97</v>
      </c>
      <c r="D11" s="147" t="s">
        <v>96</v>
      </c>
      <c r="E11" s="1075"/>
      <c r="F11" s="1075"/>
      <c r="G11" s="1075"/>
      <c r="H11" s="1075"/>
      <c r="I11" s="1075"/>
      <c r="J11" s="1075"/>
      <c r="K11" s="1075"/>
      <c r="L11" s="1075"/>
      <c r="M11" s="1075"/>
      <c r="N11" s="1075"/>
      <c r="O11" s="506">
        <v>0.85</v>
      </c>
      <c r="P11" s="506">
        <v>0.85</v>
      </c>
      <c r="Q11" s="506">
        <f>AVERAGE(E11:P11)</f>
        <v>0.85</v>
      </c>
    </row>
    <row r="12" spans="2:19" x14ac:dyDescent="0.25">
      <c r="B12" s="147">
        <f t="shared" si="0"/>
        <v>5</v>
      </c>
      <c r="C12" s="148" t="s">
        <v>409</v>
      </c>
      <c r="D12" s="147" t="s">
        <v>96</v>
      </c>
      <c r="E12" s="1075"/>
      <c r="F12" s="1075"/>
      <c r="G12" s="1075"/>
      <c r="H12" s="1075"/>
      <c r="I12" s="1075"/>
      <c r="J12" s="1075"/>
      <c r="K12" s="1075"/>
      <c r="L12" s="1075"/>
      <c r="M12" s="1075"/>
      <c r="N12" s="1075"/>
      <c r="O12" s="400"/>
      <c r="P12" s="400"/>
      <c r="Q12" s="400"/>
    </row>
    <row r="13" spans="2:19" x14ac:dyDescent="0.25">
      <c r="B13" s="147">
        <v>7</v>
      </c>
      <c r="C13" s="148" t="s">
        <v>410</v>
      </c>
      <c r="D13" s="147" t="s">
        <v>96</v>
      </c>
      <c r="E13" s="1075"/>
      <c r="F13" s="1075"/>
      <c r="G13" s="1075"/>
      <c r="H13" s="1075"/>
      <c r="I13" s="1075"/>
      <c r="J13" s="1075"/>
      <c r="K13" s="1075"/>
      <c r="L13" s="1075"/>
      <c r="M13" s="1075"/>
      <c r="N13" s="1075"/>
      <c r="O13" s="400"/>
      <c r="P13" s="400"/>
      <c r="Q13" s="400"/>
    </row>
    <row r="14" spans="2:19" x14ac:dyDescent="0.25">
      <c r="B14" s="147">
        <f t="shared" si="0"/>
        <v>8</v>
      </c>
      <c r="C14" s="149" t="s">
        <v>411</v>
      </c>
      <c r="D14" s="152" t="s">
        <v>98</v>
      </c>
      <c r="E14" s="1075"/>
      <c r="F14" s="1075"/>
      <c r="G14" s="1075"/>
      <c r="H14" s="1075"/>
      <c r="I14" s="1075"/>
      <c r="J14" s="1075"/>
      <c r="K14" s="1075"/>
      <c r="L14" s="1075"/>
      <c r="M14" s="1075"/>
      <c r="N14" s="1075"/>
      <c r="O14" s="336">
        <v>89.375</v>
      </c>
      <c r="P14" s="336">
        <v>218.863</v>
      </c>
      <c r="Q14" s="336">
        <f>SUM(E14:P14)</f>
        <v>308.238</v>
      </c>
    </row>
    <row r="15" spans="2:19" x14ac:dyDescent="0.25">
      <c r="B15" s="147">
        <f t="shared" si="0"/>
        <v>9</v>
      </c>
      <c r="C15" s="149" t="s">
        <v>412</v>
      </c>
      <c r="D15" s="152" t="s">
        <v>98</v>
      </c>
      <c r="E15" s="1075"/>
      <c r="F15" s="1075"/>
      <c r="G15" s="1075"/>
      <c r="H15" s="1075"/>
      <c r="I15" s="1075"/>
      <c r="J15" s="1075"/>
      <c r="K15" s="1075"/>
      <c r="L15" s="1075"/>
      <c r="M15" s="1075"/>
      <c r="N15" s="1075"/>
      <c r="O15" s="336">
        <v>7.79</v>
      </c>
      <c r="P15" s="336">
        <v>21.671652972</v>
      </c>
      <c r="Q15" s="336">
        <f>SUM(E15:P15)</f>
        <v>29.461652972</v>
      </c>
    </row>
    <row r="16" spans="2:19" ht="26" x14ac:dyDescent="0.25">
      <c r="B16" s="147">
        <f t="shared" si="0"/>
        <v>10</v>
      </c>
      <c r="C16" s="149" t="s">
        <v>2878</v>
      </c>
      <c r="D16" s="152" t="s">
        <v>98</v>
      </c>
      <c r="E16" s="1075"/>
      <c r="F16" s="1075"/>
      <c r="G16" s="1075"/>
      <c r="H16" s="1075"/>
      <c r="I16" s="1075"/>
      <c r="J16" s="1075"/>
      <c r="K16" s="1075"/>
      <c r="L16" s="1075"/>
      <c r="M16" s="1075"/>
      <c r="N16" s="1075"/>
      <c r="O16" s="336">
        <v>82.987923104749996</v>
      </c>
      <c r="P16" s="336">
        <v>202.51896199999999</v>
      </c>
      <c r="Q16" s="336">
        <f>SUM(E16:P16)</f>
        <v>285.50688510474998</v>
      </c>
      <c r="R16" s="317"/>
    </row>
    <row r="17" spans="2:19" x14ac:dyDescent="0.25">
      <c r="B17" s="147">
        <f t="shared" si="0"/>
        <v>11</v>
      </c>
      <c r="C17" s="149" t="s">
        <v>451</v>
      </c>
      <c r="D17" s="152" t="s">
        <v>98</v>
      </c>
      <c r="E17" s="1075"/>
      <c r="F17" s="1075"/>
      <c r="G17" s="1075"/>
      <c r="H17" s="1075"/>
      <c r="I17" s="1075"/>
      <c r="J17" s="1075"/>
      <c r="K17" s="1075"/>
      <c r="L17" s="1075"/>
      <c r="M17" s="1075"/>
      <c r="N17" s="1075"/>
      <c r="O17" s="336"/>
      <c r="P17" s="336"/>
      <c r="Q17" s="336">
        <f>SUM(E17:P17)</f>
        <v>0</v>
      </c>
    </row>
    <row r="18" spans="2:19" x14ac:dyDescent="0.25">
      <c r="B18" s="147">
        <f t="shared" si="0"/>
        <v>12</v>
      </c>
      <c r="C18" s="149" t="s">
        <v>413</v>
      </c>
      <c r="D18" s="152" t="s">
        <v>422</v>
      </c>
      <c r="E18" s="1075"/>
      <c r="F18" s="1075"/>
      <c r="G18" s="1075"/>
      <c r="H18" s="1075"/>
      <c r="I18" s="1075"/>
      <c r="J18" s="1075"/>
      <c r="K18" s="1075"/>
      <c r="L18" s="1075"/>
      <c r="M18" s="1075"/>
      <c r="N18" s="1075"/>
      <c r="O18" s="1076">
        <f t="shared" ref="O18:P18" si="1">O22/O16*10</f>
        <v>3.4580000000000002</v>
      </c>
      <c r="P18" s="1076">
        <f t="shared" si="1"/>
        <v>3.4580000000000006</v>
      </c>
      <c r="Q18" s="1076">
        <f>Q22/Q16*10</f>
        <v>3.4580000000000002</v>
      </c>
    </row>
    <row r="19" spans="2:19" x14ac:dyDescent="0.25">
      <c r="B19" s="147">
        <f t="shared" si="0"/>
        <v>13</v>
      </c>
      <c r="C19" s="149" t="s">
        <v>452</v>
      </c>
      <c r="D19" s="152" t="s">
        <v>423</v>
      </c>
      <c r="E19" s="1075"/>
      <c r="F19" s="1075"/>
      <c r="G19" s="1075"/>
      <c r="H19" s="1075"/>
      <c r="I19" s="1075"/>
      <c r="J19" s="1075"/>
      <c r="K19" s="1075"/>
      <c r="L19" s="1075"/>
      <c r="M19" s="1075"/>
      <c r="N19" s="1075"/>
      <c r="O19" s="336">
        <f>155.49/60*7</f>
        <v>18.140500000000003</v>
      </c>
      <c r="P19" s="336">
        <f>155.49/60*31</f>
        <v>80.336500000000015</v>
      </c>
      <c r="Q19" s="336">
        <f>SUM(E19:P19)</f>
        <v>98.477000000000018</v>
      </c>
    </row>
    <row r="20" spans="2:19" x14ac:dyDescent="0.25">
      <c r="B20" s="147">
        <f t="shared" si="0"/>
        <v>14</v>
      </c>
      <c r="C20" s="149" t="s">
        <v>453</v>
      </c>
      <c r="D20" s="152" t="s">
        <v>422</v>
      </c>
      <c r="E20" s="1075"/>
      <c r="F20" s="1075"/>
      <c r="G20" s="1075"/>
      <c r="H20" s="1075"/>
      <c r="I20" s="1075"/>
      <c r="J20" s="1075"/>
      <c r="K20" s="1075"/>
      <c r="L20" s="1075"/>
      <c r="M20" s="1075"/>
      <c r="N20" s="1075"/>
      <c r="O20" s="336">
        <f t="shared" ref="O20:P20" si="2">O23*10/O16</f>
        <v>-2.0000000000002238E-3</v>
      </c>
      <c r="P20" s="336">
        <f t="shared" si="2"/>
        <v>-1.6000000000000011E-2</v>
      </c>
      <c r="Q20" s="336">
        <f>Q23*10/Q16</f>
        <v>-1.1930637809171526E-2</v>
      </c>
    </row>
    <row r="21" spans="2:19" x14ac:dyDescent="0.25">
      <c r="B21" s="147">
        <f t="shared" si="0"/>
        <v>15</v>
      </c>
      <c r="C21" s="149" t="s">
        <v>414</v>
      </c>
      <c r="D21" s="152" t="s">
        <v>423</v>
      </c>
      <c r="E21" s="1075"/>
      <c r="F21" s="1075"/>
      <c r="G21" s="1075"/>
      <c r="H21" s="1075"/>
      <c r="I21" s="1075"/>
      <c r="J21" s="1075"/>
      <c r="K21" s="1075"/>
      <c r="L21" s="1075"/>
      <c r="M21" s="1075"/>
      <c r="N21" s="1075"/>
      <c r="O21" s="336">
        <v>17.425892399999999</v>
      </c>
      <c r="P21" s="336">
        <v>42.4133244</v>
      </c>
      <c r="Q21" s="336">
        <f>SUM(E21:P21)</f>
        <v>59.839216800000003</v>
      </c>
    </row>
    <row r="22" spans="2:19" x14ac:dyDescent="0.25">
      <c r="B22" s="147">
        <f t="shared" si="0"/>
        <v>16</v>
      </c>
      <c r="C22" s="149" t="s">
        <v>415</v>
      </c>
      <c r="D22" s="152" t="s">
        <v>423</v>
      </c>
      <c r="E22" s="1075"/>
      <c r="F22" s="1075"/>
      <c r="G22" s="1075"/>
      <c r="H22" s="1075"/>
      <c r="I22" s="1075"/>
      <c r="J22" s="1075"/>
      <c r="K22" s="1075"/>
      <c r="L22" s="1075"/>
      <c r="M22" s="1075"/>
      <c r="N22" s="1075"/>
      <c r="O22" s="336">
        <v>28.69722380962255</v>
      </c>
      <c r="P22" s="336">
        <v>70.031057059600002</v>
      </c>
      <c r="Q22" s="336">
        <f t="shared" ref="Q22:Q28" si="3">SUM(E22:P22)</f>
        <v>98.728280869222544</v>
      </c>
    </row>
    <row r="23" spans="2:19" ht="26" x14ac:dyDescent="0.25">
      <c r="B23" s="147">
        <f t="shared" si="0"/>
        <v>17</v>
      </c>
      <c r="C23" s="149" t="s">
        <v>454</v>
      </c>
      <c r="D23" s="152" t="s">
        <v>423</v>
      </c>
      <c r="E23" s="1075"/>
      <c r="F23" s="1075"/>
      <c r="G23" s="1075"/>
      <c r="H23" s="1075"/>
      <c r="I23" s="1075"/>
      <c r="J23" s="1075"/>
      <c r="K23" s="1075"/>
      <c r="L23" s="1075"/>
      <c r="M23" s="1075"/>
      <c r="N23" s="1075"/>
      <c r="O23" s="336">
        <v>-1.6597584620951858E-2</v>
      </c>
      <c r="P23" s="336">
        <v>-0.32403033920000024</v>
      </c>
      <c r="Q23" s="336">
        <f t="shared" si="3"/>
        <v>-0.34062792382095208</v>
      </c>
    </row>
    <row r="24" spans="2:19" x14ac:dyDescent="0.25">
      <c r="B24" s="147">
        <f t="shared" si="0"/>
        <v>18</v>
      </c>
      <c r="C24" s="149" t="s">
        <v>416</v>
      </c>
      <c r="D24" s="152" t="s">
        <v>423</v>
      </c>
      <c r="E24" s="1075"/>
      <c r="F24" s="1075"/>
      <c r="G24" s="1075"/>
      <c r="H24" s="1075"/>
      <c r="I24" s="1075"/>
      <c r="J24" s="1075"/>
      <c r="K24" s="1075"/>
      <c r="L24" s="1075"/>
      <c r="M24" s="1075"/>
      <c r="N24" s="1075"/>
      <c r="O24" s="336"/>
      <c r="P24" s="336"/>
      <c r="Q24" s="336">
        <f t="shared" si="3"/>
        <v>0</v>
      </c>
    </row>
    <row r="25" spans="2:19" ht="26" x14ac:dyDescent="0.25">
      <c r="B25" s="147">
        <f t="shared" si="0"/>
        <v>19</v>
      </c>
      <c r="C25" s="149" t="s">
        <v>766</v>
      </c>
      <c r="D25" s="152" t="s">
        <v>423</v>
      </c>
      <c r="E25" s="1075"/>
      <c r="F25" s="1075"/>
      <c r="G25" s="1075"/>
      <c r="H25" s="1075"/>
      <c r="I25" s="1075"/>
      <c r="J25" s="1075"/>
      <c r="K25" s="1075"/>
      <c r="L25" s="1075"/>
      <c r="M25" s="1075"/>
      <c r="N25" s="1075"/>
      <c r="O25" s="336"/>
      <c r="P25" s="336"/>
      <c r="Q25" s="336">
        <f t="shared" si="3"/>
        <v>0</v>
      </c>
    </row>
    <row r="26" spans="2:19" x14ac:dyDescent="0.25">
      <c r="B26" s="147">
        <f t="shared" si="0"/>
        <v>20</v>
      </c>
      <c r="C26" s="337" t="s">
        <v>892</v>
      </c>
      <c r="D26" s="338" t="s">
        <v>423</v>
      </c>
      <c r="E26" s="1075"/>
      <c r="F26" s="1075"/>
      <c r="G26" s="1075"/>
      <c r="H26" s="1075"/>
      <c r="I26" s="1075"/>
      <c r="J26" s="1075"/>
      <c r="K26" s="1075"/>
      <c r="L26" s="1075"/>
      <c r="M26" s="1075"/>
      <c r="N26" s="1075"/>
      <c r="O26" s="336"/>
      <c r="P26" s="336"/>
      <c r="Q26" s="336">
        <f t="shared" si="3"/>
        <v>0</v>
      </c>
    </row>
    <row r="27" spans="2:19" x14ac:dyDescent="0.25">
      <c r="B27" s="147">
        <f t="shared" si="0"/>
        <v>21</v>
      </c>
      <c r="C27" s="150" t="s">
        <v>417</v>
      </c>
      <c r="D27" s="152" t="s">
        <v>423</v>
      </c>
      <c r="E27" s="1075"/>
      <c r="F27" s="1075"/>
      <c r="G27" s="1075"/>
      <c r="H27" s="1075"/>
      <c r="I27" s="1075"/>
      <c r="J27" s="1075"/>
      <c r="K27" s="1075"/>
      <c r="L27" s="1075"/>
      <c r="M27" s="1075"/>
      <c r="N27" s="1075"/>
      <c r="O27" s="243">
        <f t="shared" ref="O27:Q27" si="4">SUM(O21:O26)</f>
        <v>46.106518625001598</v>
      </c>
      <c r="P27" s="243">
        <f t="shared" si="4"/>
        <v>112.1203511204</v>
      </c>
      <c r="Q27" s="243">
        <f t="shared" si="4"/>
        <v>158.22686974540159</v>
      </c>
    </row>
    <row r="28" spans="2:19" x14ac:dyDescent="0.25">
      <c r="B28" s="147">
        <f t="shared" si="0"/>
        <v>22</v>
      </c>
      <c r="C28" s="151" t="s">
        <v>418</v>
      </c>
      <c r="D28" s="152"/>
      <c r="E28" s="1075"/>
      <c r="F28" s="1075"/>
      <c r="G28" s="1075"/>
      <c r="H28" s="1075"/>
      <c r="I28" s="1075"/>
      <c r="J28" s="1075"/>
      <c r="K28" s="1075"/>
      <c r="L28" s="1075"/>
      <c r="M28" s="1075"/>
      <c r="N28" s="1075"/>
      <c r="O28" s="336"/>
      <c r="P28" s="336"/>
      <c r="Q28" s="336">
        <f t="shared" si="3"/>
        <v>0</v>
      </c>
    </row>
    <row r="29" spans="2:19" x14ac:dyDescent="0.25">
      <c r="B29" s="147"/>
      <c r="C29" s="149" t="s">
        <v>403</v>
      </c>
      <c r="D29" s="152" t="s">
        <v>423</v>
      </c>
      <c r="E29" s="1075"/>
      <c r="F29" s="1075"/>
      <c r="G29" s="1075"/>
      <c r="H29" s="1075"/>
      <c r="I29" s="1075"/>
      <c r="J29" s="1075"/>
      <c r="K29" s="1075"/>
      <c r="L29" s="1075"/>
      <c r="M29" s="1075"/>
      <c r="N29" s="1075"/>
      <c r="O29" s="336"/>
      <c r="P29" s="336"/>
      <c r="Q29" s="336">
        <f t="shared" ref="Q29" si="5">SUM(E29:P29)</f>
        <v>0</v>
      </c>
    </row>
    <row r="30" spans="2:19" x14ac:dyDescent="0.25">
      <c r="B30" s="152">
        <f>B28+1</f>
        <v>23</v>
      </c>
      <c r="C30" s="153" t="s">
        <v>338</v>
      </c>
      <c r="D30" s="152" t="s">
        <v>423</v>
      </c>
      <c r="E30" s="1075"/>
      <c r="F30" s="1075"/>
      <c r="G30" s="1075"/>
      <c r="H30" s="1075"/>
      <c r="I30" s="1075"/>
      <c r="J30" s="1075"/>
      <c r="K30" s="1075"/>
      <c r="L30" s="1075"/>
      <c r="M30" s="1075"/>
      <c r="N30" s="1075"/>
      <c r="O30" s="243">
        <f t="shared" ref="O30:P30" si="6">SUM(O27:O29)</f>
        <v>46.106518625001598</v>
      </c>
      <c r="P30" s="243">
        <f t="shared" si="6"/>
        <v>112.1203511204</v>
      </c>
      <c r="Q30" s="243">
        <f>SUM(Q27:Q29)</f>
        <v>158.22686974540159</v>
      </c>
      <c r="R30" s="317">
        <f>Q30-'F9'!N13</f>
        <v>0</v>
      </c>
      <c r="S30" s="317"/>
    </row>
    <row r="31" spans="2:19" x14ac:dyDescent="0.25">
      <c r="B31" s="152">
        <f>B30+1</f>
        <v>24</v>
      </c>
      <c r="C31" s="153" t="s">
        <v>424</v>
      </c>
      <c r="D31" s="152" t="s">
        <v>423</v>
      </c>
      <c r="E31" s="1075"/>
      <c r="F31" s="1075"/>
      <c r="G31" s="1075"/>
      <c r="H31" s="1075"/>
      <c r="I31" s="1075"/>
      <c r="J31" s="1075"/>
      <c r="K31" s="1075"/>
      <c r="L31" s="1075"/>
      <c r="M31" s="1075"/>
      <c r="N31" s="1075"/>
      <c r="O31" s="243">
        <f t="shared" ref="O31:P31" si="7">O30</f>
        <v>46.106518625001598</v>
      </c>
      <c r="P31" s="243">
        <f t="shared" si="7"/>
        <v>112.1203511204</v>
      </c>
      <c r="Q31" s="243">
        <f>Q30</f>
        <v>158.22686974540159</v>
      </c>
    </row>
    <row r="32" spans="2:19" x14ac:dyDescent="0.25">
      <c r="B32" s="483"/>
      <c r="C32" s="484"/>
      <c r="D32" s="483"/>
      <c r="E32" s="485"/>
      <c r="F32" s="485"/>
      <c r="G32" s="485"/>
      <c r="H32" s="485"/>
      <c r="I32" s="485"/>
      <c r="J32" s="485"/>
      <c r="K32" s="485"/>
      <c r="L32" s="485"/>
      <c r="M32" s="485"/>
      <c r="N32" s="485"/>
      <c r="O32" s="485"/>
      <c r="P32" s="485"/>
      <c r="Q32" s="486"/>
    </row>
  </sheetData>
  <pageMargins left="0.7" right="0.7" top="0.75" bottom="0.75" header="0.3" footer="0.3"/>
  <pageSetup paperSize="9" scale="5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2:O57"/>
  <sheetViews>
    <sheetView showGridLines="0" view="pageBreakPreview" topLeftCell="A3" zoomScale="85" zoomScaleNormal="80" zoomScaleSheetLayoutView="70" workbookViewId="0">
      <selection activeCell="B8" sqref="B8"/>
    </sheetView>
  </sheetViews>
  <sheetFormatPr defaultColWidth="8.54296875" defaultRowHeight="13" x14ac:dyDescent="0.3"/>
  <cols>
    <col min="1" max="1" width="8.54296875" style="69"/>
    <col min="2" max="2" width="13.54296875" style="69" customWidth="1"/>
    <col min="3" max="3" width="14" style="69" customWidth="1"/>
    <col min="4" max="4" width="10.54296875" style="69" customWidth="1"/>
    <col min="5" max="5" width="12.453125" style="69" customWidth="1"/>
    <col min="6" max="6" width="13.453125" style="69" customWidth="1"/>
    <col min="7" max="9" width="10" style="69" customWidth="1"/>
    <col min="10" max="11" width="11.453125" style="69" customWidth="1"/>
    <col min="12" max="12" width="14.54296875" style="69" customWidth="1"/>
    <col min="13" max="13" width="11.453125" style="69" customWidth="1"/>
    <col min="14" max="14" width="10" style="69" customWidth="1"/>
    <col min="15" max="16384" width="8.54296875" style="69"/>
  </cols>
  <sheetData>
    <row r="2" spans="2:15" ht="14" x14ac:dyDescent="0.3">
      <c r="B2" s="1406" t="str">
        <f>Index!B2</f>
        <v xml:space="preserve">      Maharashtra State Power Generation Company Ltd.</v>
      </c>
      <c r="C2" s="1406"/>
      <c r="D2" s="1406"/>
      <c r="E2" s="1406"/>
      <c r="F2" s="1406"/>
      <c r="G2" s="1406"/>
      <c r="H2" s="1406"/>
      <c r="I2" s="1406"/>
      <c r="J2" s="1406"/>
      <c r="K2" s="1406"/>
      <c r="L2" s="1406"/>
      <c r="M2" s="1406"/>
      <c r="N2" s="1406"/>
    </row>
    <row r="3" spans="2:15" ht="14" x14ac:dyDescent="0.3">
      <c r="B3" s="1406" t="str">
        <f>Index!B3</f>
        <v>MYT Petition Formats for Bhusawal Unit 6</v>
      </c>
      <c r="C3" s="1406"/>
      <c r="D3" s="1406"/>
      <c r="E3" s="1406"/>
      <c r="F3" s="1406"/>
      <c r="G3" s="1406"/>
      <c r="H3" s="1406"/>
      <c r="I3" s="1406"/>
      <c r="J3" s="1406"/>
      <c r="K3" s="1406"/>
      <c r="L3" s="1406"/>
      <c r="M3" s="1406"/>
      <c r="N3" s="1406"/>
    </row>
    <row r="4" spans="2:15" ht="14" x14ac:dyDescent="0.3">
      <c r="B4" s="1588" t="s">
        <v>404</v>
      </c>
      <c r="C4" s="1588"/>
      <c r="D4" s="1588"/>
      <c r="E4" s="1588"/>
      <c r="F4" s="1588"/>
      <c r="G4" s="1588"/>
      <c r="H4" s="1588"/>
      <c r="I4" s="1588"/>
      <c r="J4" s="1588"/>
      <c r="K4" s="1588"/>
      <c r="L4" s="1588"/>
      <c r="M4" s="1588"/>
      <c r="N4" s="1588"/>
    </row>
    <row r="5" spans="2:15" ht="14" x14ac:dyDescent="0.3">
      <c r="B5" s="65"/>
      <c r="C5" s="65"/>
      <c r="D5" s="65"/>
      <c r="E5" s="65"/>
      <c r="F5" s="65"/>
      <c r="G5" s="65"/>
      <c r="H5" s="65"/>
      <c r="I5" s="65"/>
      <c r="J5" s="65"/>
      <c r="K5" s="65"/>
      <c r="L5" s="65"/>
      <c r="M5" s="65"/>
      <c r="N5" s="65"/>
    </row>
    <row r="6" spans="2:15" ht="14" x14ac:dyDescent="0.3">
      <c r="B6" s="65"/>
      <c r="C6" s="65"/>
      <c r="D6" s="65"/>
      <c r="E6" s="65"/>
      <c r="F6" s="65"/>
      <c r="G6" s="65"/>
      <c r="H6" s="65"/>
      <c r="I6" s="65"/>
      <c r="J6" s="65"/>
      <c r="K6" s="65"/>
      <c r="L6" s="65"/>
      <c r="M6" s="65"/>
      <c r="N6" s="65"/>
    </row>
    <row r="7" spans="2:15" ht="14" x14ac:dyDescent="0.3">
      <c r="B7" s="41" t="s">
        <v>882</v>
      </c>
      <c r="N7" s="86"/>
    </row>
    <row r="8" spans="2:15" ht="14" x14ac:dyDescent="0.3">
      <c r="B8" s="41"/>
      <c r="N8" s="86" t="s">
        <v>10</v>
      </c>
    </row>
    <row r="9" spans="2:15" s="87" customFormat="1" ht="33" customHeight="1" x14ac:dyDescent="0.25">
      <c r="B9" s="1585" t="s">
        <v>274</v>
      </c>
      <c r="C9" s="1481" t="s">
        <v>3037</v>
      </c>
      <c r="D9" s="1481"/>
      <c r="E9" s="1481"/>
      <c r="F9" s="1481"/>
      <c r="G9" s="1481" t="s">
        <v>288</v>
      </c>
      <c r="H9" s="1481"/>
      <c r="I9" s="1481"/>
      <c r="J9" s="1587" t="s">
        <v>289</v>
      </c>
      <c r="K9" s="1587"/>
      <c r="L9" s="1587"/>
      <c r="M9" s="1587"/>
      <c r="N9" s="1587"/>
    </row>
    <row r="10" spans="2:15" ht="72" customHeight="1" x14ac:dyDescent="0.3">
      <c r="B10" s="1585"/>
      <c r="C10" s="64" t="s">
        <v>334</v>
      </c>
      <c r="D10" s="64" t="s">
        <v>332</v>
      </c>
      <c r="E10" s="64" t="s">
        <v>2879</v>
      </c>
      <c r="F10" s="64" t="s">
        <v>333</v>
      </c>
      <c r="G10" s="64" t="s">
        <v>290</v>
      </c>
      <c r="H10" s="64" t="s">
        <v>675</v>
      </c>
      <c r="I10" s="64" t="s">
        <v>291</v>
      </c>
      <c r="J10" s="64" t="s">
        <v>292</v>
      </c>
      <c r="K10" s="64" t="s">
        <v>293</v>
      </c>
      <c r="L10" s="64" t="s">
        <v>2880</v>
      </c>
      <c r="M10" s="64" t="s">
        <v>677</v>
      </c>
      <c r="N10" s="208" t="s">
        <v>267</v>
      </c>
    </row>
    <row r="11" spans="2:15" ht="14.25" customHeight="1" x14ac:dyDescent="0.3">
      <c r="B11" s="82"/>
      <c r="C11" s="83"/>
      <c r="D11" s="83"/>
      <c r="E11" s="83"/>
      <c r="F11" s="83"/>
      <c r="G11" s="83"/>
      <c r="H11" s="83"/>
      <c r="I11" s="83"/>
      <c r="J11" s="83"/>
      <c r="K11" s="83"/>
      <c r="L11" s="83"/>
      <c r="M11" s="83"/>
      <c r="N11" s="84"/>
    </row>
    <row r="12" spans="2:15" ht="14.25" customHeight="1" x14ac:dyDescent="0.3">
      <c r="B12" s="81" t="s">
        <v>708</v>
      </c>
      <c r="C12" s="230">
        <v>1326.53</v>
      </c>
      <c r="D12" s="1078">
        <v>3.5609999999999999</v>
      </c>
      <c r="E12" s="1077"/>
      <c r="F12" s="85"/>
      <c r="G12" s="230">
        <f>F2.2!J37</f>
        <v>3853.9748558920001</v>
      </c>
      <c r="H12" s="309">
        <v>1</v>
      </c>
      <c r="I12" s="85"/>
      <c r="J12" s="230">
        <f>C12</f>
        <v>1326.53</v>
      </c>
      <c r="K12" s="230">
        <f>$G12*D12/10</f>
        <v>1372.4004461831412</v>
      </c>
      <c r="L12" s="230">
        <f>$G12*E12/10</f>
        <v>0</v>
      </c>
      <c r="M12" s="230"/>
      <c r="N12" s="228">
        <f>SUM(J12:M12)</f>
        <v>2698.9304461831412</v>
      </c>
    </row>
    <row r="13" spans="2:15" ht="14.25" customHeight="1" x14ac:dyDescent="0.3">
      <c r="B13" s="81"/>
      <c r="C13" s="85"/>
      <c r="D13" s="85"/>
      <c r="E13" s="85"/>
      <c r="F13" s="85"/>
      <c r="G13" s="85"/>
      <c r="H13" s="85"/>
      <c r="I13" s="85"/>
      <c r="J13" s="85"/>
      <c r="K13" s="85"/>
      <c r="L13" s="85"/>
      <c r="M13" s="85"/>
      <c r="N13" s="228">
        <f>SUM(J13:M13)</f>
        <v>0</v>
      </c>
    </row>
    <row r="14" spans="2:15" ht="14" x14ac:dyDescent="0.3">
      <c r="B14" s="81" t="s">
        <v>267</v>
      </c>
      <c r="C14" s="242"/>
      <c r="D14" s="242"/>
      <c r="E14" s="242"/>
      <c r="F14" s="242"/>
      <c r="G14" s="242">
        <f>SUM(G12:G13)</f>
        <v>3853.9748558920001</v>
      </c>
      <c r="H14" s="242"/>
      <c r="I14" s="242"/>
      <c r="J14" s="242">
        <f>SUM(J12:J13)</f>
        <v>1326.53</v>
      </c>
      <c r="K14" s="242">
        <f>SUM(K12:K13)</f>
        <v>1372.4004461831412</v>
      </c>
      <c r="L14" s="242">
        <f>SUM(L12:L13)</f>
        <v>0</v>
      </c>
      <c r="M14" s="242">
        <f>SUM(M12:M13)</f>
        <v>0</v>
      </c>
      <c r="N14" s="242">
        <f>SUM(N12:N13)</f>
        <v>2698.9304461831412</v>
      </c>
      <c r="O14" s="232"/>
    </row>
    <row r="15" spans="2:15" x14ac:dyDescent="0.3">
      <c r="N15" s="1079"/>
    </row>
    <row r="17" spans="2:14" ht="2.9" customHeight="1" x14ac:dyDescent="0.3"/>
    <row r="18" spans="2:14" ht="14" x14ac:dyDescent="0.3">
      <c r="B18" s="41" t="s">
        <v>883</v>
      </c>
    </row>
    <row r="19" spans="2:14" ht="14" x14ac:dyDescent="0.3">
      <c r="B19" s="41"/>
      <c r="N19" s="86" t="s">
        <v>10</v>
      </c>
    </row>
    <row r="20" spans="2:14" ht="29.5" customHeight="1" x14ac:dyDescent="0.3">
      <c r="B20" s="1585" t="s">
        <v>274</v>
      </c>
      <c r="C20" s="1481" t="s">
        <v>3037</v>
      </c>
      <c r="D20" s="1481"/>
      <c r="E20" s="1481"/>
      <c r="F20" s="1481"/>
      <c r="G20" s="1481" t="s">
        <v>288</v>
      </c>
      <c r="H20" s="1481"/>
      <c r="I20" s="1481"/>
      <c r="J20" s="1587" t="s">
        <v>289</v>
      </c>
      <c r="K20" s="1587"/>
      <c r="L20" s="1587"/>
      <c r="M20" s="1587"/>
      <c r="N20" s="1587"/>
    </row>
    <row r="21" spans="2:14" ht="69" customHeight="1" x14ac:dyDescent="0.3">
      <c r="B21" s="1585"/>
      <c r="C21" s="64" t="s">
        <v>334</v>
      </c>
      <c r="D21" s="64" t="s">
        <v>332</v>
      </c>
      <c r="E21" s="64" t="s">
        <v>2879</v>
      </c>
      <c r="F21" s="64" t="s">
        <v>333</v>
      </c>
      <c r="G21" s="64" t="s">
        <v>290</v>
      </c>
      <c r="H21" s="64" t="s">
        <v>675</v>
      </c>
      <c r="I21" s="64" t="s">
        <v>291</v>
      </c>
      <c r="J21" s="64" t="s">
        <v>292</v>
      </c>
      <c r="K21" s="64" t="s">
        <v>293</v>
      </c>
      <c r="L21" s="64" t="s">
        <v>2880</v>
      </c>
      <c r="M21" s="64" t="s">
        <v>677</v>
      </c>
      <c r="N21" s="208" t="s">
        <v>267</v>
      </c>
    </row>
    <row r="22" spans="2:14" x14ac:dyDescent="0.3">
      <c r="B22" s="82"/>
      <c r="C22" s="83"/>
      <c r="D22" s="83"/>
      <c r="E22" s="83"/>
      <c r="F22" s="83"/>
      <c r="G22" s="83"/>
      <c r="H22" s="83"/>
      <c r="I22" s="83"/>
      <c r="J22" s="83"/>
      <c r="K22" s="83"/>
      <c r="L22" s="83"/>
      <c r="M22" s="83"/>
      <c r="N22" s="84"/>
    </row>
    <row r="23" spans="2:14" ht="14" x14ac:dyDescent="0.3">
      <c r="B23" s="81" t="s">
        <v>708</v>
      </c>
      <c r="C23" s="229">
        <v>1317.13</v>
      </c>
      <c r="D23" s="229">
        <v>3.6680000000000001</v>
      </c>
      <c r="E23" s="1077"/>
      <c r="F23" s="85"/>
      <c r="G23" s="230">
        <f>F2.2!$K$37</f>
        <v>4626.8699400000005</v>
      </c>
      <c r="H23" s="309">
        <v>1</v>
      </c>
      <c r="I23" s="85"/>
      <c r="J23" s="230">
        <f>C23</f>
        <v>1317.13</v>
      </c>
      <c r="K23" s="230">
        <f>$G23*D23/10</f>
        <v>1697.1358939920003</v>
      </c>
      <c r="L23" s="230">
        <f>$G23*E23/10</f>
        <v>0</v>
      </c>
      <c r="M23" s="230"/>
      <c r="N23" s="228">
        <f>SUM(J23:M23)</f>
        <v>3014.2658939920002</v>
      </c>
    </row>
    <row r="24" spans="2:14" ht="14" x14ac:dyDescent="0.3">
      <c r="B24" s="81"/>
      <c r="C24" s="85"/>
      <c r="D24" s="85"/>
      <c r="E24" s="85"/>
      <c r="F24" s="85"/>
      <c r="G24" s="85"/>
      <c r="H24" s="85"/>
      <c r="I24" s="85"/>
      <c r="J24" s="85"/>
      <c r="K24" s="85"/>
      <c r="L24" s="85"/>
      <c r="M24" s="85"/>
      <c r="N24" s="228">
        <f>SUM(J24:M24)</f>
        <v>0</v>
      </c>
    </row>
    <row r="25" spans="2:14" ht="14" x14ac:dyDescent="0.3">
      <c r="B25" s="81" t="s">
        <v>267</v>
      </c>
      <c r="C25" s="242"/>
      <c r="D25" s="242"/>
      <c r="E25" s="242"/>
      <c r="F25" s="242"/>
      <c r="G25" s="242">
        <f>SUM(G23:G24)</f>
        <v>4626.8699400000005</v>
      </c>
      <c r="H25" s="242"/>
      <c r="I25" s="242"/>
      <c r="J25" s="242">
        <f>SUM(J23:J24)</f>
        <v>1317.13</v>
      </c>
      <c r="K25" s="242">
        <f>SUM(K23:K24)</f>
        <v>1697.1358939920003</v>
      </c>
      <c r="L25" s="242">
        <f>SUM(L23:L24)</f>
        <v>0</v>
      </c>
      <c r="M25" s="242">
        <f>SUM(M23:M24)</f>
        <v>0</v>
      </c>
      <c r="N25" s="242">
        <f>SUM(N23:N24)</f>
        <v>3014.2658939920002</v>
      </c>
    </row>
    <row r="26" spans="2:14" x14ac:dyDescent="0.3">
      <c r="N26" s="1179"/>
    </row>
    <row r="29" spans="2:14" ht="14" x14ac:dyDescent="0.3">
      <c r="B29" s="41" t="s">
        <v>884</v>
      </c>
    </row>
    <row r="30" spans="2:14" ht="14" x14ac:dyDescent="0.3">
      <c r="B30" s="41"/>
      <c r="N30" s="86" t="s">
        <v>10</v>
      </c>
    </row>
    <row r="31" spans="2:14" ht="29.9" customHeight="1" x14ac:dyDescent="0.3">
      <c r="B31" s="1585" t="s">
        <v>274</v>
      </c>
      <c r="C31" s="1481" t="s">
        <v>3037</v>
      </c>
      <c r="D31" s="1481"/>
      <c r="E31" s="1481"/>
      <c r="F31" s="1481"/>
      <c r="G31" s="1481" t="s">
        <v>288</v>
      </c>
      <c r="H31" s="1481"/>
      <c r="I31" s="1481"/>
      <c r="J31" s="1587" t="s">
        <v>289</v>
      </c>
      <c r="K31" s="1587"/>
      <c r="L31" s="1587"/>
      <c r="M31" s="1587"/>
      <c r="N31" s="1587"/>
    </row>
    <row r="32" spans="2:14" ht="65.25" customHeight="1" x14ac:dyDescent="0.3">
      <c r="B32" s="1585"/>
      <c r="C32" s="64" t="s">
        <v>334</v>
      </c>
      <c r="D32" s="64" t="s">
        <v>332</v>
      </c>
      <c r="E32" s="64" t="s">
        <v>674</v>
      </c>
      <c r="F32" s="64" t="s">
        <v>333</v>
      </c>
      <c r="G32" s="64" t="s">
        <v>290</v>
      </c>
      <c r="H32" s="64" t="s">
        <v>675</v>
      </c>
      <c r="I32" s="64" t="s">
        <v>291</v>
      </c>
      <c r="J32" s="64" t="s">
        <v>292</v>
      </c>
      <c r="K32" s="64" t="s">
        <v>293</v>
      </c>
      <c r="L32" s="64" t="s">
        <v>2880</v>
      </c>
      <c r="M32" s="64" t="s">
        <v>677</v>
      </c>
      <c r="N32" s="208" t="s">
        <v>267</v>
      </c>
    </row>
    <row r="33" spans="2:14" x14ac:dyDescent="0.3">
      <c r="B33" s="82"/>
      <c r="C33" s="83"/>
      <c r="D33" s="83"/>
      <c r="E33" s="83"/>
      <c r="F33" s="83"/>
      <c r="G33" s="83"/>
      <c r="H33" s="83"/>
      <c r="I33" s="83"/>
      <c r="J33" s="83"/>
      <c r="K33" s="83"/>
      <c r="L33" s="83"/>
      <c r="M33" s="83"/>
      <c r="N33" s="84"/>
    </row>
    <row r="34" spans="2:14" ht="14" x14ac:dyDescent="0.3">
      <c r="B34" s="81" t="s">
        <v>708</v>
      </c>
      <c r="C34" s="230">
        <v>1309.28</v>
      </c>
      <c r="D34" s="230">
        <v>3.778</v>
      </c>
      <c r="E34" s="1077"/>
      <c r="F34" s="85"/>
      <c r="G34" s="230">
        <f>F2.2!$L$37</f>
        <v>4634.6184720000001</v>
      </c>
      <c r="H34" s="309">
        <v>1</v>
      </c>
      <c r="I34" s="85"/>
      <c r="J34" s="230">
        <f>C34</f>
        <v>1309.28</v>
      </c>
      <c r="K34" s="230">
        <f>$G34*D34/10</f>
        <v>1750.9588587215999</v>
      </c>
      <c r="L34" s="230">
        <f>$G34*E34/10</f>
        <v>0</v>
      </c>
      <c r="M34" s="230"/>
      <c r="N34" s="228">
        <f>SUM(J34:M34)</f>
        <v>3060.2388587216001</v>
      </c>
    </row>
    <row r="35" spans="2:14" ht="14" x14ac:dyDescent="0.3">
      <c r="B35" s="81"/>
      <c r="C35" s="85"/>
      <c r="D35" s="85"/>
      <c r="E35" s="85"/>
      <c r="F35" s="85"/>
      <c r="G35" s="85"/>
      <c r="H35" s="85"/>
      <c r="I35" s="85"/>
      <c r="J35" s="85"/>
      <c r="K35" s="85"/>
      <c r="L35" s="85"/>
      <c r="M35" s="85"/>
      <c r="N35" s="228">
        <f>SUM(J35:M35)</f>
        <v>0</v>
      </c>
    </row>
    <row r="36" spans="2:14" ht="14" x14ac:dyDescent="0.3">
      <c r="B36" s="81" t="s">
        <v>267</v>
      </c>
      <c r="C36" s="242"/>
      <c r="D36" s="242"/>
      <c r="E36" s="242"/>
      <c r="F36" s="242"/>
      <c r="G36" s="242">
        <f>SUM(G34:G35)</f>
        <v>4634.6184720000001</v>
      </c>
      <c r="H36" s="242"/>
      <c r="I36" s="242"/>
      <c r="J36" s="242">
        <f>SUM(J34:J35)</f>
        <v>1309.28</v>
      </c>
      <c r="K36" s="242">
        <f>SUM(K34:K35)</f>
        <v>1750.9588587215999</v>
      </c>
      <c r="L36" s="242">
        <f>SUM(L34:L35)</f>
        <v>0</v>
      </c>
      <c r="M36" s="242">
        <f>SUM(M34:M35)</f>
        <v>0</v>
      </c>
      <c r="N36" s="242">
        <f>SUM(N34:N35)</f>
        <v>3060.2388587216001</v>
      </c>
    </row>
    <row r="37" spans="2:14" ht="14" x14ac:dyDescent="0.3">
      <c r="B37" s="167"/>
      <c r="C37" s="56"/>
      <c r="D37" s="56"/>
      <c r="E37" s="56"/>
      <c r="F37" s="56"/>
      <c r="G37" s="56"/>
      <c r="H37" s="56"/>
      <c r="I37" s="56"/>
      <c r="J37" s="56"/>
      <c r="K37" s="56"/>
      <c r="L37" s="56"/>
      <c r="M37" s="56"/>
      <c r="N37" s="1179"/>
    </row>
    <row r="38" spans="2:14" ht="14" x14ac:dyDescent="0.3">
      <c r="B38" s="167"/>
      <c r="C38" s="56"/>
      <c r="D38" s="56"/>
      <c r="E38" s="56"/>
      <c r="F38" s="56"/>
      <c r="G38" s="56"/>
      <c r="H38" s="56"/>
      <c r="I38" s="56"/>
      <c r="J38" s="56"/>
      <c r="K38" s="56"/>
      <c r="L38" s="56"/>
      <c r="M38" s="56"/>
      <c r="N38" s="56"/>
    </row>
    <row r="39" spans="2:14" ht="14" x14ac:dyDescent="0.3">
      <c r="B39" s="41" t="s">
        <v>885</v>
      </c>
    </row>
    <row r="40" spans="2:14" ht="14" x14ac:dyDescent="0.3">
      <c r="B40" s="41"/>
      <c r="N40" s="86" t="s">
        <v>10</v>
      </c>
    </row>
    <row r="41" spans="2:14" ht="27.65" customHeight="1" x14ac:dyDescent="0.3">
      <c r="B41" s="1585" t="s">
        <v>274</v>
      </c>
      <c r="C41" s="1481" t="s">
        <v>3037</v>
      </c>
      <c r="D41" s="1481"/>
      <c r="E41" s="1481"/>
      <c r="F41" s="1481"/>
      <c r="G41" s="1481" t="s">
        <v>288</v>
      </c>
      <c r="H41" s="1481"/>
      <c r="I41" s="1481"/>
      <c r="J41" s="1587" t="s">
        <v>289</v>
      </c>
      <c r="K41" s="1587"/>
      <c r="L41" s="1587"/>
      <c r="M41" s="1587"/>
      <c r="N41" s="1587"/>
    </row>
    <row r="42" spans="2:14" ht="70" x14ac:dyDescent="0.3">
      <c r="B42" s="1585"/>
      <c r="C42" s="64" t="s">
        <v>334</v>
      </c>
      <c r="D42" s="64" t="s">
        <v>332</v>
      </c>
      <c r="E42" s="64" t="s">
        <v>674</v>
      </c>
      <c r="F42" s="64" t="s">
        <v>333</v>
      </c>
      <c r="G42" s="64" t="s">
        <v>290</v>
      </c>
      <c r="H42" s="64" t="s">
        <v>675</v>
      </c>
      <c r="I42" s="64" t="s">
        <v>291</v>
      </c>
      <c r="J42" s="64" t="s">
        <v>292</v>
      </c>
      <c r="K42" s="64" t="s">
        <v>293</v>
      </c>
      <c r="L42" s="64" t="s">
        <v>2880</v>
      </c>
      <c r="M42" s="64" t="s">
        <v>677</v>
      </c>
      <c r="N42" s="208" t="s">
        <v>267</v>
      </c>
    </row>
    <row r="43" spans="2:14" x14ac:dyDescent="0.3">
      <c r="B43" s="82"/>
      <c r="C43" s="83"/>
      <c r="D43" s="83"/>
      <c r="E43" s="83"/>
      <c r="F43" s="83"/>
      <c r="G43" s="83"/>
      <c r="H43" s="83"/>
      <c r="I43" s="83"/>
      <c r="J43" s="83"/>
      <c r="K43" s="83"/>
      <c r="L43" s="83"/>
      <c r="M43" s="83"/>
      <c r="N43" s="84"/>
    </row>
    <row r="44" spans="2:14" ht="14" x14ac:dyDescent="0.3">
      <c r="B44" s="81" t="s">
        <v>708</v>
      </c>
      <c r="C44" s="230">
        <v>1300.1400000000001</v>
      </c>
      <c r="D44" s="230">
        <v>3.891</v>
      </c>
      <c r="E44" s="1077"/>
      <c r="F44" s="85"/>
      <c r="G44" s="230">
        <f>F2.2!$M$37</f>
        <v>4621.9555800000007</v>
      </c>
      <c r="H44" s="309">
        <v>1</v>
      </c>
      <c r="I44" s="85"/>
      <c r="J44" s="230">
        <f>C44</f>
        <v>1300.1400000000001</v>
      </c>
      <c r="K44" s="230">
        <f>$G44*D44/10</f>
        <v>1798.4029161780004</v>
      </c>
      <c r="L44" s="230">
        <f>$G44*E44/10</f>
        <v>0</v>
      </c>
      <c r="M44" s="230"/>
      <c r="N44" s="228">
        <f>SUM(J44:M44)</f>
        <v>3098.5429161780003</v>
      </c>
    </row>
    <row r="45" spans="2:14" ht="14" x14ac:dyDescent="0.3">
      <c r="B45" s="81"/>
      <c r="C45" s="85"/>
      <c r="D45" s="85"/>
      <c r="E45" s="85"/>
      <c r="F45" s="85"/>
      <c r="G45" s="85"/>
      <c r="H45" s="85"/>
      <c r="I45" s="85"/>
      <c r="J45" s="85"/>
      <c r="K45" s="85"/>
      <c r="L45" s="85"/>
      <c r="M45" s="85"/>
      <c r="N45" s="228">
        <f>SUM(J45:M45)</f>
        <v>0</v>
      </c>
    </row>
    <row r="46" spans="2:14" ht="14" x14ac:dyDescent="0.3">
      <c r="B46" s="81" t="s">
        <v>267</v>
      </c>
      <c r="C46" s="242"/>
      <c r="D46" s="242"/>
      <c r="E46" s="242"/>
      <c r="F46" s="242"/>
      <c r="G46" s="242">
        <f>SUM(G44:G45)</f>
        <v>4621.9555800000007</v>
      </c>
      <c r="H46" s="242"/>
      <c r="I46" s="242"/>
      <c r="J46" s="242">
        <f>SUM(J44:J45)</f>
        <v>1300.1400000000001</v>
      </c>
      <c r="K46" s="242">
        <f>SUM(K44:K45)</f>
        <v>1798.4029161780004</v>
      </c>
      <c r="L46" s="242">
        <f>SUM(L44:L45)</f>
        <v>0</v>
      </c>
      <c r="M46" s="242">
        <f>SUM(M44:M45)</f>
        <v>0</v>
      </c>
      <c r="N46" s="242">
        <f>SUM(N44:N45)</f>
        <v>3098.5429161780003</v>
      </c>
    </row>
    <row r="47" spans="2:14" x14ac:dyDescent="0.3">
      <c r="N47" s="1179"/>
    </row>
    <row r="49" spans="2:14" ht="14" x14ac:dyDescent="0.3">
      <c r="B49" s="41" t="s">
        <v>886</v>
      </c>
    </row>
    <row r="50" spans="2:14" ht="14" x14ac:dyDescent="0.3">
      <c r="B50" s="41"/>
      <c r="N50" s="86" t="s">
        <v>10</v>
      </c>
    </row>
    <row r="51" spans="2:14" ht="31.5" customHeight="1" x14ac:dyDescent="0.3">
      <c r="B51" s="1585" t="s">
        <v>274</v>
      </c>
      <c r="C51" s="1481" t="s">
        <v>3037</v>
      </c>
      <c r="D51" s="1481"/>
      <c r="E51" s="1481"/>
      <c r="F51" s="1481"/>
      <c r="G51" s="1481" t="s">
        <v>288</v>
      </c>
      <c r="H51" s="1481"/>
      <c r="I51" s="1481"/>
      <c r="J51" s="1587" t="s">
        <v>289</v>
      </c>
      <c r="K51" s="1587"/>
      <c r="L51" s="1587"/>
      <c r="M51" s="1587"/>
      <c r="N51" s="1587"/>
    </row>
    <row r="52" spans="2:14" ht="70" x14ac:dyDescent="0.3">
      <c r="B52" s="1585"/>
      <c r="C52" s="64" t="s">
        <v>334</v>
      </c>
      <c r="D52" s="64" t="s">
        <v>332</v>
      </c>
      <c r="E52" s="64" t="s">
        <v>674</v>
      </c>
      <c r="F52" s="64" t="s">
        <v>333</v>
      </c>
      <c r="G52" s="64" t="s">
        <v>290</v>
      </c>
      <c r="H52" s="64" t="s">
        <v>675</v>
      </c>
      <c r="I52" s="64" t="s">
        <v>291</v>
      </c>
      <c r="J52" s="64" t="s">
        <v>292</v>
      </c>
      <c r="K52" s="64" t="s">
        <v>293</v>
      </c>
      <c r="L52" s="64" t="s">
        <v>2880</v>
      </c>
      <c r="M52" s="64" t="s">
        <v>677</v>
      </c>
      <c r="N52" s="208" t="s">
        <v>267</v>
      </c>
    </row>
    <row r="53" spans="2:14" x14ac:dyDescent="0.3">
      <c r="B53" s="82"/>
      <c r="C53" s="83"/>
      <c r="D53" s="83"/>
      <c r="E53" s="83"/>
      <c r="F53" s="83"/>
      <c r="G53" s="83"/>
      <c r="H53" s="83"/>
      <c r="I53" s="83"/>
      <c r="J53" s="83"/>
      <c r="K53" s="83"/>
      <c r="L53" s="83"/>
      <c r="M53" s="83"/>
      <c r="N53" s="84"/>
    </row>
    <row r="54" spans="2:14" ht="14" x14ac:dyDescent="0.3">
      <c r="B54" s="81" t="s">
        <v>708</v>
      </c>
      <c r="C54" s="230">
        <v>1291.8800000000001</v>
      </c>
      <c r="D54" s="230">
        <v>4.008</v>
      </c>
      <c r="E54" s="1077"/>
      <c r="F54" s="85"/>
      <c r="G54" s="230">
        <f>F2.2!$N$37</f>
        <v>4621.9555800000007</v>
      </c>
      <c r="H54" s="309">
        <v>1</v>
      </c>
      <c r="I54" s="85"/>
      <c r="J54" s="230">
        <f>C54</f>
        <v>1291.8800000000001</v>
      </c>
      <c r="K54" s="230">
        <f>$G54*D54/10</f>
        <v>1852.4797964640002</v>
      </c>
      <c r="L54" s="230">
        <f>$G54*E54/10</f>
        <v>0</v>
      </c>
      <c r="M54" s="230"/>
      <c r="N54" s="228">
        <f>SUM(J54:M54)</f>
        <v>3144.3597964640003</v>
      </c>
    </row>
    <row r="55" spans="2:14" ht="14" x14ac:dyDescent="0.3">
      <c r="B55" s="81"/>
      <c r="C55" s="85"/>
      <c r="D55" s="85"/>
      <c r="E55" s="85"/>
      <c r="F55" s="85"/>
      <c r="G55" s="85"/>
      <c r="H55" s="85"/>
      <c r="I55" s="85"/>
      <c r="J55" s="85"/>
      <c r="K55" s="85"/>
      <c r="L55" s="85"/>
      <c r="M55" s="85"/>
      <c r="N55" s="228">
        <f>SUM(J55:M55)</f>
        <v>0</v>
      </c>
    </row>
    <row r="56" spans="2:14" ht="14" x14ac:dyDescent="0.3">
      <c r="B56" s="81" t="s">
        <v>267</v>
      </c>
      <c r="C56" s="242"/>
      <c r="D56" s="242"/>
      <c r="E56" s="242"/>
      <c r="F56" s="242"/>
      <c r="G56" s="242">
        <f>SUM(G54:G55)</f>
        <v>4621.9555800000007</v>
      </c>
      <c r="H56" s="242"/>
      <c r="I56" s="242"/>
      <c r="J56" s="242">
        <f>SUM(J54:J55)</f>
        <v>1291.8800000000001</v>
      </c>
      <c r="K56" s="242">
        <f>SUM(K54:K55)</f>
        <v>1852.4797964640002</v>
      </c>
      <c r="L56" s="242">
        <f>SUM(L54:L55)</f>
        <v>0</v>
      </c>
      <c r="M56" s="242">
        <f>SUM(M54:M55)</f>
        <v>0</v>
      </c>
      <c r="N56" s="242">
        <f>SUM(N54:N55)</f>
        <v>3144.3597964640003</v>
      </c>
    </row>
    <row r="57" spans="2:14" x14ac:dyDescent="0.3">
      <c r="N57" s="1179"/>
    </row>
  </sheetData>
  <mergeCells count="23">
    <mergeCell ref="B20:B21"/>
    <mergeCell ref="C20:F20"/>
    <mergeCell ref="G20:I20"/>
    <mergeCell ref="J20:N20"/>
    <mergeCell ref="B31:B32"/>
    <mergeCell ref="C31:F31"/>
    <mergeCell ref="G31:I31"/>
    <mergeCell ref="J31:N31"/>
    <mergeCell ref="B2:N2"/>
    <mergeCell ref="B3:N3"/>
    <mergeCell ref="B4:N4"/>
    <mergeCell ref="B9:B10"/>
    <mergeCell ref="C9:F9"/>
    <mergeCell ref="G9:I9"/>
    <mergeCell ref="J9:N9"/>
    <mergeCell ref="B41:B42"/>
    <mergeCell ref="C41:F41"/>
    <mergeCell ref="G41:I41"/>
    <mergeCell ref="J41:N41"/>
    <mergeCell ref="B51:B52"/>
    <mergeCell ref="C51:F51"/>
    <mergeCell ref="G51:I51"/>
    <mergeCell ref="J51:N51"/>
  </mergeCells>
  <pageMargins left="0.70866141732283472" right="0.70866141732283472" top="0.74803149606299213" bottom="0.74803149606299213" header="0.31496062992125984" footer="0.31496062992125984"/>
  <pageSetup paperSize="9" scale="4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2:N51"/>
  <sheetViews>
    <sheetView showGridLines="0" view="pageBreakPreview" topLeftCell="A18" zoomScale="65" zoomScaleNormal="80" zoomScaleSheetLayoutView="80" workbookViewId="0">
      <selection activeCell="A30" sqref="A30"/>
    </sheetView>
  </sheetViews>
  <sheetFormatPr defaultColWidth="8.54296875" defaultRowHeight="14" x14ac:dyDescent="0.3"/>
  <cols>
    <col min="1" max="1" width="8.54296875" style="168"/>
    <col min="2" max="2" width="13.453125" style="168" customWidth="1"/>
    <col min="3" max="11" width="12.453125" style="168" customWidth="1"/>
    <col min="12" max="12" width="14.54296875" style="168" customWidth="1"/>
    <col min="13" max="14" width="12.453125" style="168" customWidth="1"/>
    <col min="15" max="16384" width="8.54296875" style="168"/>
  </cols>
  <sheetData>
    <row r="2" spans="2:14" x14ac:dyDescent="0.3">
      <c r="B2" s="1406" t="str">
        <f>Index!B2</f>
        <v xml:space="preserve">      Maharashtra State Power Generation Company Ltd.</v>
      </c>
      <c r="C2" s="1406"/>
      <c r="D2" s="1406"/>
      <c r="E2" s="1406"/>
      <c r="F2" s="1406"/>
      <c r="G2" s="1406"/>
      <c r="H2" s="1406"/>
      <c r="I2" s="1406"/>
      <c r="J2" s="1406"/>
      <c r="K2" s="1406"/>
      <c r="L2" s="1406"/>
      <c r="M2" s="1406"/>
      <c r="N2" s="1406"/>
    </row>
    <row r="3" spans="2:14" x14ac:dyDescent="0.3">
      <c r="B3" s="1406" t="str">
        <f>Index!B3</f>
        <v>MYT Petition Formats for Bhusawal Unit 6</v>
      </c>
      <c r="C3" s="1406"/>
      <c r="D3" s="1406"/>
      <c r="E3" s="1406"/>
      <c r="F3" s="1406"/>
      <c r="G3" s="1406"/>
      <c r="H3" s="1406"/>
      <c r="I3" s="1406"/>
      <c r="J3" s="1406"/>
      <c r="K3" s="1406"/>
      <c r="L3" s="1406"/>
      <c r="M3" s="1406"/>
      <c r="N3" s="1406"/>
    </row>
    <row r="4" spans="2:14" x14ac:dyDescent="0.3">
      <c r="B4" s="1588" t="s">
        <v>405</v>
      </c>
      <c r="C4" s="1588"/>
      <c r="D4" s="1588"/>
      <c r="E4" s="1588"/>
      <c r="F4" s="1588"/>
      <c r="G4" s="1588"/>
      <c r="H4" s="1588"/>
      <c r="I4" s="1588"/>
      <c r="J4" s="1588"/>
      <c r="K4" s="1588"/>
      <c r="L4" s="1588"/>
      <c r="M4" s="1588"/>
      <c r="N4" s="1588"/>
    </row>
    <row r="5" spans="2:14" x14ac:dyDescent="0.3">
      <c r="B5" s="65"/>
      <c r="C5" s="65"/>
      <c r="D5" s="65"/>
      <c r="E5" s="65"/>
      <c r="F5" s="65"/>
      <c r="G5" s="65"/>
      <c r="H5" s="65"/>
      <c r="I5" s="65"/>
      <c r="J5" s="65"/>
      <c r="K5" s="65"/>
      <c r="L5" s="65"/>
      <c r="M5" s="65"/>
      <c r="N5" s="65"/>
    </row>
    <row r="6" spans="2:14" x14ac:dyDescent="0.3">
      <c r="B6" s="41" t="s">
        <v>849</v>
      </c>
    </row>
    <row r="7" spans="2:14" x14ac:dyDescent="0.3">
      <c r="B7" s="41"/>
      <c r="N7" s="4" t="s">
        <v>10</v>
      </c>
    </row>
    <row r="8" spans="2:14" s="170" customFormat="1" ht="35.9" customHeight="1" x14ac:dyDescent="0.25">
      <c r="B8" s="1411" t="s">
        <v>274</v>
      </c>
      <c r="C8" s="1462" t="s">
        <v>287</v>
      </c>
      <c r="D8" s="1462"/>
      <c r="E8" s="1462"/>
      <c r="F8" s="1462"/>
      <c r="G8" s="1481" t="s">
        <v>288</v>
      </c>
      <c r="H8" s="1481"/>
      <c r="I8" s="1481"/>
      <c r="J8" s="1587" t="s">
        <v>289</v>
      </c>
      <c r="K8" s="1587"/>
      <c r="L8" s="1587"/>
      <c r="M8" s="1587"/>
      <c r="N8" s="1587"/>
    </row>
    <row r="9" spans="2:14" ht="72" customHeight="1" x14ac:dyDescent="0.3">
      <c r="B9" s="1411"/>
      <c r="C9" s="64" t="s">
        <v>334</v>
      </c>
      <c r="D9" s="64" t="s">
        <v>332</v>
      </c>
      <c r="E9" s="64" t="s">
        <v>674</v>
      </c>
      <c r="F9" s="64" t="s">
        <v>333</v>
      </c>
      <c r="G9" s="64" t="s">
        <v>290</v>
      </c>
      <c r="H9" s="64" t="s">
        <v>675</v>
      </c>
      <c r="I9" s="64" t="s">
        <v>291</v>
      </c>
      <c r="J9" s="64" t="s">
        <v>292</v>
      </c>
      <c r="K9" s="64" t="s">
        <v>293</v>
      </c>
      <c r="L9" s="64" t="s">
        <v>676</v>
      </c>
      <c r="M9" s="64" t="s">
        <v>677</v>
      </c>
      <c r="N9" s="208" t="s">
        <v>267</v>
      </c>
    </row>
    <row r="10" spans="2:14" x14ac:dyDescent="0.3">
      <c r="B10" s="73"/>
      <c r="C10" s="133"/>
      <c r="D10" s="133"/>
      <c r="E10" s="133"/>
      <c r="F10" s="133"/>
      <c r="G10" s="133"/>
      <c r="H10" s="133"/>
      <c r="I10" s="133"/>
      <c r="J10" s="133"/>
      <c r="K10" s="133"/>
      <c r="L10" s="133"/>
      <c r="M10" s="133"/>
      <c r="N10" s="94"/>
    </row>
    <row r="11" spans="2:14" x14ac:dyDescent="0.3">
      <c r="B11" s="81" t="s">
        <v>708</v>
      </c>
      <c r="C11" s="348">
        <f>F9.2!C12</f>
        <v>1326.53</v>
      </c>
      <c r="D11" s="348">
        <f>F9.2!D12</f>
        <v>3.5609999999999999</v>
      </c>
      <c r="E11" s="348">
        <f>F9.2!E12</f>
        <v>0</v>
      </c>
      <c r="F11" s="348">
        <f>F9.2!F12</f>
        <v>0</v>
      </c>
      <c r="G11" s="209">
        <f>F9.2!G12</f>
        <v>3853.9748558920001</v>
      </c>
      <c r="H11" s="227">
        <f>F9.2!H12</f>
        <v>1</v>
      </c>
      <c r="I11" s="209">
        <f>F9.2!I12</f>
        <v>0</v>
      </c>
      <c r="J11" s="209">
        <f>F9.2!J12</f>
        <v>1326.53</v>
      </c>
      <c r="K11" s="209">
        <f>F9.2!K12</f>
        <v>1372.4004461831412</v>
      </c>
      <c r="L11" s="209">
        <f>F9.2!L12</f>
        <v>0</v>
      </c>
      <c r="M11" s="209">
        <f>F9.2!M12</f>
        <v>0</v>
      </c>
      <c r="N11" s="223">
        <f>SUM(J11:M11)</f>
        <v>2698.9304461831412</v>
      </c>
    </row>
    <row r="12" spans="2:14" x14ac:dyDescent="0.3">
      <c r="B12" s="81"/>
      <c r="C12" s="19"/>
      <c r="D12" s="19"/>
      <c r="E12" s="19"/>
      <c r="F12" s="19"/>
      <c r="G12" s="209"/>
      <c r="H12" s="19"/>
      <c r="I12" s="209"/>
      <c r="J12" s="209"/>
      <c r="K12" s="209"/>
      <c r="L12" s="209"/>
      <c r="M12" s="209"/>
      <c r="N12" s="223"/>
    </row>
    <row r="13" spans="2:14" s="169" customFormat="1" x14ac:dyDescent="0.3">
      <c r="B13" s="22" t="s">
        <v>267</v>
      </c>
      <c r="C13" s="242"/>
      <c r="D13" s="242"/>
      <c r="E13" s="242"/>
      <c r="F13" s="242"/>
      <c r="G13" s="242">
        <f>SUM(G11:G12)</f>
        <v>3853.9748558920001</v>
      </c>
      <c r="H13" s="242"/>
      <c r="I13" s="242"/>
      <c r="J13" s="242">
        <f>SUM(J11:J12)</f>
        <v>1326.53</v>
      </c>
      <c r="K13" s="242">
        <f>SUM(K11:K12)</f>
        <v>1372.4004461831412</v>
      </c>
      <c r="L13" s="242">
        <f>SUM(L11:L12)</f>
        <v>0</v>
      </c>
      <c r="M13" s="242">
        <f>SUM(M11:M12)</f>
        <v>0</v>
      </c>
      <c r="N13" s="242">
        <f>SUM(N11:N12)</f>
        <v>2698.9304461831412</v>
      </c>
    </row>
    <row r="14" spans="2:14" x14ac:dyDescent="0.3">
      <c r="I14" s="1180"/>
      <c r="J14" s="1180"/>
      <c r="K14" s="1180"/>
      <c r="L14" s="1180"/>
      <c r="M14" s="1180"/>
      <c r="N14" s="1180"/>
    </row>
    <row r="17" spans="2:14" x14ac:dyDescent="0.3">
      <c r="B17" s="41" t="s">
        <v>850</v>
      </c>
      <c r="N17" s="169"/>
    </row>
    <row r="18" spans="2:14" x14ac:dyDescent="0.3">
      <c r="B18" s="41"/>
      <c r="N18" s="4" t="s">
        <v>10</v>
      </c>
    </row>
    <row r="19" spans="2:14" ht="32.15" customHeight="1" x14ac:dyDescent="0.3">
      <c r="B19" s="1411" t="s">
        <v>274</v>
      </c>
      <c r="C19" s="1462" t="s">
        <v>287</v>
      </c>
      <c r="D19" s="1462"/>
      <c r="E19" s="1462"/>
      <c r="F19" s="1462"/>
      <c r="G19" s="1481" t="s">
        <v>288</v>
      </c>
      <c r="H19" s="1481"/>
      <c r="I19" s="1481"/>
      <c r="J19" s="1587" t="s">
        <v>289</v>
      </c>
      <c r="K19" s="1587"/>
      <c r="L19" s="1587"/>
      <c r="M19" s="1587"/>
      <c r="N19" s="1587"/>
    </row>
    <row r="20" spans="2:14" ht="68.25" customHeight="1" x14ac:dyDescent="0.3">
      <c r="B20" s="1411"/>
      <c r="C20" s="64" t="s">
        <v>334</v>
      </c>
      <c r="D20" s="64" t="s">
        <v>332</v>
      </c>
      <c r="E20" s="64" t="s">
        <v>674</v>
      </c>
      <c r="F20" s="64" t="s">
        <v>333</v>
      </c>
      <c r="G20" s="64" t="s">
        <v>290</v>
      </c>
      <c r="H20" s="64" t="s">
        <v>675</v>
      </c>
      <c r="I20" s="64" t="s">
        <v>291</v>
      </c>
      <c r="J20" s="64" t="s">
        <v>292</v>
      </c>
      <c r="K20" s="64" t="s">
        <v>293</v>
      </c>
      <c r="L20" s="64" t="s">
        <v>676</v>
      </c>
      <c r="M20" s="64" t="s">
        <v>677</v>
      </c>
      <c r="N20" s="208" t="s">
        <v>267</v>
      </c>
    </row>
    <row r="21" spans="2:14" x14ac:dyDescent="0.3">
      <c r="B21" s="73"/>
      <c r="C21" s="133"/>
      <c r="D21" s="133"/>
      <c r="E21" s="133"/>
      <c r="F21" s="133"/>
      <c r="G21" s="133"/>
      <c r="H21" s="133"/>
      <c r="I21" s="133"/>
      <c r="J21" s="133"/>
      <c r="K21" s="133"/>
      <c r="L21" s="133"/>
      <c r="M21" s="133"/>
      <c r="N21" s="94"/>
    </row>
    <row r="22" spans="2:14" x14ac:dyDescent="0.3">
      <c r="B22" s="81" t="s">
        <v>708</v>
      </c>
      <c r="C22" s="209">
        <f>F9.2!C23</f>
        <v>1317.13</v>
      </c>
      <c r="D22" s="209">
        <f>F9.2!D23</f>
        <v>3.6680000000000001</v>
      </c>
      <c r="E22" s="209">
        <f>F9.2!E23</f>
        <v>0</v>
      </c>
      <c r="F22" s="209">
        <f>F9.2!F23</f>
        <v>0</v>
      </c>
      <c r="G22" s="209">
        <f>F9.2!G23</f>
        <v>4626.8699400000005</v>
      </c>
      <c r="H22" s="399">
        <f>F9.2!H23</f>
        <v>1</v>
      </c>
      <c r="I22" s="209">
        <f>F9.2!I23</f>
        <v>0</v>
      </c>
      <c r="J22" s="209">
        <f>F9.2!J23</f>
        <v>1317.13</v>
      </c>
      <c r="K22" s="209">
        <f>F9.2!K23</f>
        <v>1697.1358939920003</v>
      </c>
      <c r="L22" s="209">
        <f>F9.2!L23</f>
        <v>0</v>
      </c>
      <c r="M22" s="209">
        <f>F9.2!M23</f>
        <v>0</v>
      </c>
      <c r="N22" s="209">
        <f>SUM(J22:M22)</f>
        <v>3014.2658939920002</v>
      </c>
    </row>
    <row r="23" spans="2:14" x14ac:dyDescent="0.3">
      <c r="B23" s="81"/>
      <c r="C23" s="19"/>
      <c r="D23" s="19"/>
      <c r="E23" s="19"/>
      <c r="F23" s="19"/>
      <c r="G23" s="19"/>
      <c r="H23" s="19"/>
      <c r="I23" s="19"/>
      <c r="J23" s="19"/>
      <c r="K23" s="19"/>
      <c r="L23" s="19"/>
      <c r="M23" s="19"/>
      <c r="N23" s="19"/>
    </row>
    <row r="24" spans="2:14" s="169" customFormat="1" x14ac:dyDescent="0.3">
      <c r="B24" s="22" t="s">
        <v>267</v>
      </c>
      <c r="C24" s="242"/>
      <c r="D24" s="242"/>
      <c r="E24" s="242"/>
      <c r="F24" s="242"/>
      <c r="G24" s="242">
        <f>SUM(G22:G23)</f>
        <v>4626.8699400000005</v>
      </c>
      <c r="H24" s="242"/>
      <c r="I24" s="242"/>
      <c r="J24" s="242">
        <f>SUM(J22:J23)</f>
        <v>1317.13</v>
      </c>
      <c r="K24" s="242">
        <f>SUM(K22:K23)</f>
        <v>1697.1358939920003</v>
      </c>
      <c r="L24" s="242">
        <f>SUM(L22:L23)</f>
        <v>0</v>
      </c>
      <c r="M24" s="242">
        <f>SUM(M22:M23)</f>
        <v>0</v>
      </c>
      <c r="N24" s="242">
        <f>SUM(N22:N23)</f>
        <v>3014.2658939920002</v>
      </c>
    </row>
    <row r="26" spans="2:14" x14ac:dyDescent="0.3">
      <c r="B26" s="41" t="s">
        <v>851</v>
      </c>
      <c r="N26" s="169"/>
    </row>
    <row r="27" spans="2:14" x14ac:dyDescent="0.3">
      <c r="B27" s="41"/>
      <c r="N27" s="4" t="s">
        <v>10</v>
      </c>
    </row>
    <row r="28" spans="2:14" x14ac:dyDescent="0.3">
      <c r="B28" s="1411" t="s">
        <v>274</v>
      </c>
      <c r="C28" s="1462" t="s">
        <v>287</v>
      </c>
      <c r="D28" s="1462"/>
      <c r="E28" s="1462"/>
      <c r="F28" s="1462"/>
      <c r="G28" s="1481" t="s">
        <v>288</v>
      </c>
      <c r="H28" s="1481"/>
      <c r="I28" s="1481"/>
      <c r="J28" s="1587" t="s">
        <v>289</v>
      </c>
      <c r="K28" s="1587"/>
      <c r="L28" s="1587"/>
      <c r="M28" s="1587"/>
      <c r="N28" s="1587"/>
    </row>
    <row r="29" spans="2:14" ht="70" x14ac:dyDescent="0.3">
      <c r="B29" s="1411"/>
      <c r="C29" s="64" t="s">
        <v>334</v>
      </c>
      <c r="D29" s="64" t="s">
        <v>332</v>
      </c>
      <c r="E29" s="64" t="s">
        <v>674</v>
      </c>
      <c r="F29" s="64" t="s">
        <v>333</v>
      </c>
      <c r="G29" s="64" t="s">
        <v>290</v>
      </c>
      <c r="H29" s="64" t="s">
        <v>675</v>
      </c>
      <c r="I29" s="64" t="s">
        <v>291</v>
      </c>
      <c r="J29" s="64" t="s">
        <v>292</v>
      </c>
      <c r="K29" s="64" t="s">
        <v>293</v>
      </c>
      <c r="L29" s="64" t="s">
        <v>676</v>
      </c>
      <c r="M29" s="64" t="s">
        <v>677</v>
      </c>
      <c r="N29" s="208" t="s">
        <v>267</v>
      </c>
    </row>
    <row r="30" spans="2:14" x14ac:dyDescent="0.3">
      <c r="B30" s="73"/>
      <c r="C30" s="133"/>
      <c r="D30" s="133"/>
      <c r="E30" s="133"/>
      <c r="F30" s="133"/>
      <c r="G30" s="133"/>
      <c r="H30" s="133"/>
      <c r="I30" s="133"/>
      <c r="J30" s="133"/>
      <c r="K30" s="133"/>
      <c r="L30" s="133"/>
      <c r="M30" s="133"/>
      <c r="N30" s="94"/>
    </row>
    <row r="31" spans="2:14" x14ac:dyDescent="0.3">
      <c r="B31" s="81" t="s">
        <v>708</v>
      </c>
      <c r="C31" s="209">
        <f>F9.2!C34</f>
        <v>1309.28</v>
      </c>
      <c r="D31" s="209">
        <f>F9.2!D34</f>
        <v>3.778</v>
      </c>
      <c r="E31" s="209">
        <f>F9.2!E34</f>
        <v>0</v>
      </c>
      <c r="F31" s="209">
        <f>F9.2!F34</f>
        <v>0</v>
      </c>
      <c r="G31" s="209">
        <f>F9.2!G34</f>
        <v>4634.6184720000001</v>
      </c>
      <c r="H31" s="399">
        <f>F9.2!H34</f>
        <v>1</v>
      </c>
      <c r="I31" s="209">
        <f>F9.2!I34</f>
        <v>0</v>
      </c>
      <c r="J31" s="209">
        <f>F9.2!J34</f>
        <v>1309.28</v>
      </c>
      <c r="K31" s="209">
        <f>F9.2!K34</f>
        <v>1750.9588587215999</v>
      </c>
      <c r="L31" s="209">
        <f>F9.2!L34</f>
        <v>0</v>
      </c>
      <c r="M31" s="209">
        <f>F9.2!M34</f>
        <v>0</v>
      </c>
      <c r="N31" s="209">
        <f>SUM(J31:M31)</f>
        <v>3060.2388587216001</v>
      </c>
    </row>
    <row r="32" spans="2:14" x14ac:dyDescent="0.3">
      <c r="B32" s="81"/>
      <c r="C32" s="19"/>
      <c r="D32" s="19"/>
      <c r="E32" s="19"/>
      <c r="F32" s="19"/>
      <c r="G32" s="19"/>
      <c r="H32" s="19"/>
      <c r="I32" s="19"/>
      <c r="J32" s="19"/>
      <c r="K32" s="19"/>
      <c r="L32" s="19"/>
      <c r="M32" s="19"/>
      <c r="N32" s="19"/>
    </row>
    <row r="33" spans="2:14" s="169" customFormat="1" x14ac:dyDescent="0.3">
      <c r="B33" s="22" t="s">
        <v>267</v>
      </c>
      <c r="C33" s="242"/>
      <c r="D33" s="242"/>
      <c r="E33" s="242"/>
      <c r="F33" s="242"/>
      <c r="G33" s="242">
        <f>SUM(G31:G32)</f>
        <v>4634.6184720000001</v>
      </c>
      <c r="H33" s="242"/>
      <c r="I33" s="242"/>
      <c r="J33" s="242">
        <f>SUM(J31:J32)</f>
        <v>1309.28</v>
      </c>
      <c r="K33" s="242">
        <f>SUM(K31:K32)</f>
        <v>1750.9588587215999</v>
      </c>
      <c r="L33" s="242">
        <f>SUM(L31:L32)</f>
        <v>0</v>
      </c>
      <c r="M33" s="242">
        <f>SUM(M31:M32)</f>
        <v>0</v>
      </c>
      <c r="N33" s="242">
        <f>SUM(N31:N32)</f>
        <v>3060.2388587216001</v>
      </c>
    </row>
    <row r="35" spans="2:14" x14ac:dyDescent="0.3">
      <c r="B35" s="41" t="s">
        <v>852</v>
      </c>
      <c r="N35" s="169"/>
    </row>
    <row r="36" spans="2:14" x14ac:dyDescent="0.3">
      <c r="B36" s="41"/>
      <c r="N36" s="4" t="s">
        <v>10</v>
      </c>
    </row>
    <row r="37" spans="2:14" x14ac:dyDescent="0.3">
      <c r="B37" s="1411" t="s">
        <v>274</v>
      </c>
      <c r="C37" s="1462" t="s">
        <v>287</v>
      </c>
      <c r="D37" s="1462"/>
      <c r="E37" s="1462"/>
      <c r="F37" s="1462"/>
      <c r="G37" s="1481" t="s">
        <v>288</v>
      </c>
      <c r="H37" s="1481"/>
      <c r="I37" s="1481"/>
      <c r="J37" s="1587" t="s">
        <v>289</v>
      </c>
      <c r="K37" s="1587"/>
      <c r="L37" s="1587"/>
      <c r="M37" s="1587"/>
      <c r="N37" s="1587"/>
    </row>
    <row r="38" spans="2:14" ht="70" x14ac:dyDescent="0.3">
      <c r="B38" s="1411"/>
      <c r="C38" s="64" t="s">
        <v>334</v>
      </c>
      <c r="D38" s="64" t="s">
        <v>332</v>
      </c>
      <c r="E38" s="64" t="s">
        <v>674</v>
      </c>
      <c r="F38" s="64" t="s">
        <v>333</v>
      </c>
      <c r="G38" s="64" t="s">
        <v>290</v>
      </c>
      <c r="H38" s="64" t="s">
        <v>675</v>
      </c>
      <c r="I38" s="64" t="s">
        <v>291</v>
      </c>
      <c r="J38" s="64" t="s">
        <v>292</v>
      </c>
      <c r="K38" s="64" t="s">
        <v>293</v>
      </c>
      <c r="L38" s="64" t="s">
        <v>676</v>
      </c>
      <c r="M38" s="64" t="s">
        <v>677</v>
      </c>
      <c r="N38" s="208" t="s">
        <v>267</v>
      </c>
    </row>
    <row r="39" spans="2:14" x14ac:dyDescent="0.3">
      <c r="B39" s="73"/>
      <c r="C39" s="133"/>
      <c r="D39" s="133"/>
      <c r="E39" s="133"/>
      <c r="F39" s="133"/>
      <c r="G39" s="133"/>
      <c r="H39" s="133"/>
      <c r="I39" s="133"/>
      <c r="J39" s="133"/>
      <c r="K39" s="133"/>
      <c r="L39" s="133"/>
      <c r="M39" s="133"/>
      <c r="N39" s="94"/>
    </row>
    <row r="40" spans="2:14" x14ac:dyDescent="0.3">
      <c r="B40" s="81" t="s">
        <v>708</v>
      </c>
      <c r="C40" s="209">
        <f>F9.2!C44</f>
        <v>1300.1400000000001</v>
      </c>
      <c r="D40" s="209">
        <f>F9.2!D44</f>
        <v>3.891</v>
      </c>
      <c r="E40" s="209">
        <f>F9.2!E44</f>
        <v>0</v>
      </c>
      <c r="F40" s="209">
        <f>F9.2!F44</f>
        <v>0</v>
      </c>
      <c r="G40" s="209">
        <f>F9.2!G44</f>
        <v>4621.9555800000007</v>
      </c>
      <c r="H40" s="399">
        <f>F9.2!H44</f>
        <v>1</v>
      </c>
      <c r="I40" s="209">
        <f>F9.2!I44</f>
        <v>0</v>
      </c>
      <c r="J40" s="209">
        <f>F9.2!J44</f>
        <v>1300.1400000000001</v>
      </c>
      <c r="K40" s="209">
        <f>F9.2!K44</f>
        <v>1798.4029161780004</v>
      </c>
      <c r="L40" s="209">
        <f>F9.2!L44</f>
        <v>0</v>
      </c>
      <c r="M40" s="209">
        <f>F9.2!M44</f>
        <v>0</v>
      </c>
      <c r="N40" s="209">
        <f>SUM(J40:M40)</f>
        <v>3098.5429161780003</v>
      </c>
    </row>
    <row r="41" spans="2:14" x14ac:dyDescent="0.3">
      <c r="B41" s="81"/>
      <c r="C41" s="19"/>
      <c r="D41" s="19"/>
      <c r="E41" s="19"/>
      <c r="F41" s="19"/>
      <c r="G41" s="19"/>
      <c r="H41" s="19"/>
      <c r="I41" s="19"/>
      <c r="J41" s="19"/>
      <c r="K41" s="19"/>
      <c r="L41" s="19"/>
      <c r="M41" s="19"/>
      <c r="N41" s="19"/>
    </row>
    <row r="42" spans="2:14" s="169" customFormat="1" x14ac:dyDescent="0.3">
      <c r="B42" s="22" t="s">
        <v>267</v>
      </c>
      <c r="C42" s="242"/>
      <c r="D42" s="242"/>
      <c r="E42" s="242"/>
      <c r="F42" s="242"/>
      <c r="G42" s="242">
        <f>SUM(G40:G41)</f>
        <v>4621.9555800000007</v>
      </c>
      <c r="H42" s="242"/>
      <c r="I42" s="242"/>
      <c r="J42" s="242">
        <f>SUM(J40:J41)</f>
        <v>1300.1400000000001</v>
      </c>
      <c r="K42" s="242">
        <f>SUM(K40:K41)</f>
        <v>1798.4029161780004</v>
      </c>
      <c r="L42" s="242">
        <f>SUM(L40:L41)</f>
        <v>0</v>
      </c>
      <c r="M42" s="242">
        <f>SUM(M40:M41)</f>
        <v>0</v>
      </c>
      <c r="N42" s="242">
        <f>SUM(N40:N41)</f>
        <v>3098.5429161780003</v>
      </c>
    </row>
    <row r="44" spans="2:14" x14ac:dyDescent="0.3">
      <c r="B44" s="41" t="s">
        <v>853</v>
      </c>
      <c r="N44" s="169"/>
    </row>
    <row r="45" spans="2:14" x14ac:dyDescent="0.3">
      <c r="B45" s="41"/>
      <c r="N45" s="4" t="s">
        <v>10</v>
      </c>
    </row>
    <row r="46" spans="2:14" x14ac:dyDescent="0.3">
      <c r="B46" s="1411" t="s">
        <v>274</v>
      </c>
      <c r="C46" s="1462" t="s">
        <v>287</v>
      </c>
      <c r="D46" s="1462"/>
      <c r="E46" s="1462"/>
      <c r="F46" s="1462"/>
      <c r="G46" s="1481" t="s">
        <v>288</v>
      </c>
      <c r="H46" s="1481"/>
      <c r="I46" s="1481"/>
      <c r="J46" s="1587" t="s">
        <v>289</v>
      </c>
      <c r="K46" s="1587"/>
      <c r="L46" s="1587"/>
      <c r="M46" s="1587"/>
      <c r="N46" s="1587"/>
    </row>
    <row r="47" spans="2:14" ht="70" x14ac:dyDescent="0.3">
      <c r="B47" s="1411"/>
      <c r="C47" s="64" t="s">
        <v>334</v>
      </c>
      <c r="D47" s="64" t="s">
        <v>332</v>
      </c>
      <c r="E47" s="64" t="s">
        <v>674</v>
      </c>
      <c r="F47" s="64" t="s">
        <v>333</v>
      </c>
      <c r="G47" s="64" t="s">
        <v>290</v>
      </c>
      <c r="H47" s="64" t="s">
        <v>675</v>
      </c>
      <c r="I47" s="64" t="s">
        <v>291</v>
      </c>
      <c r="J47" s="64" t="s">
        <v>292</v>
      </c>
      <c r="K47" s="64" t="s">
        <v>293</v>
      </c>
      <c r="L47" s="64" t="s">
        <v>676</v>
      </c>
      <c r="M47" s="64" t="s">
        <v>677</v>
      </c>
      <c r="N47" s="208" t="s">
        <v>267</v>
      </c>
    </row>
    <row r="48" spans="2:14" x14ac:dyDescent="0.3">
      <c r="B48" s="73"/>
      <c r="C48" s="133"/>
      <c r="D48" s="133"/>
      <c r="E48" s="133"/>
      <c r="F48" s="133"/>
      <c r="G48" s="133"/>
      <c r="H48" s="133"/>
      <c r="I48" s="133"/>
      <c r="J48" s="133"/>
      <c r="K48" s="133"/>
      <c r="L48" s="133"/>
      <c r="M48" s="133"/>
      <c r="N48" s="94"/>
    </row>
    <row r="49" spans="2:14" x14ac:dyDescent="0.3">
      <c r="B49" s="81" t="s">
        <v>708</v>
      </c>
      <c r="C49" s="209">
        <f>F9.2!C54</f>
        <v>1291.8800000000001</v>
      </c>
      <c r="D49" s="209">
        <f>F9.2!D54</f>
        <v>4.008</v>
      </c>
      <c r="E49" s="209">
        <f>F9.2!E54</f>
        <v>0</v>
      </c>
      <c r="F49" s="209">
        <f>F9.2!F54</f>
        <v>0</v>
      </c>
      <c r="G49" s="209">
        <f>F9.2!G54</f>
        <v>4621.9555800000007</v>
      </c>
      <c r="H49" s="399">
        <f>F9.2!H54</f>
        <v>1</v>
      </c>
      <c r="I49" s="209">
        <f>F9.2!I54</f>
        <v>0</v>
      </c>
      <c r="J49" s="209">
        <f>F9.2!J54</f>
        <v>1291.8800000000001</v>
      </c>
      <c r="K49" s="209">
        <f>F9.2!K54</f>
        <v>1852.4797964640002</v>
      </c>
      <c r="L49" s="209">
        <f>F9.2!L54</f>
        <v>0</v>
      </c>
      <c r="M49" s="209">
        <f>F9.2!M54</f>
        <v>0</v>
      </c>
      <c r="N49" s="209">
        <f>F9.2!N54</f>
        <v>3144.3597964640003</v>
      </c>
    </row>
    <row r="50" spans="2:14" x14ac:dyDescent="0.3">
      <c r="B50" s="81"/>
      <c r="C50" s="19"/>
      <c r="D50" s="19"/>
      <c r="E50" s="19"/>
      <c r="F50" s="19"/>
      <c r="G50" s="19"/>
      <c r="H50" s="19"/>
      <c r="I50" s="19"/>
      <c r="J50" s="19"/>
      <c r="K50" s="19"/>
      <c r="L50" s="19"/>
      <c r="M50" s="19"/>
      <c r="N50" s="19"/>
    </row>
    <row r="51" spans="2:14" s="169" customFormat="1" x14ac:dyDescent="0.3">
      <c r="B51" s="22" t="s">
        <v>267</v>
      </c>
      <c r="C51" s="242"/>
      <c r="D51" s="242"/>
      <c r="E51" s="242"/>
      <c r="F51" s="242"/>
      <c r="G51" s="242">
        <f>SUM(G49:G50)</f>
        <v>4621.9555800000007</v>
      </c>
      <c r="H51" s="242"/>
      <c r="I51" s="242"/>
      <c r="J51" s="242">
        <f>SUM(J49:J50)</f>
        <v>1291.8800000000001</v>
      </c>
      <c r="K51" s="242">
        <f>SUM(K49:K50)</f>
        <v>1852.4797964640002</v>
      </c>
      <c r="L51" s="242">
        <f>SUM(L49:L50)</f>
        <v>0</v>
      </c>
      <c r="M51" s="242">
        <f>SUM(M49:M50)</f>
        <v>0</v>
      </c>
      <c r="N51" s="242">
        <f>SUM(N49:N50)</f>
        <v>3144.3597964640003</v>
      </c>
    </row>
  </sheetData>
  <mergeCells count="23">
    <mergeCell ref="B19:B20"/>
    <mergeCell ref="C19:F19"/>
    <mergeCell ref="G19:I19"/>
    <mergeCell ref="J19:N19"/>
    <mergeCell ref="B2:N2"/>
    <mergeCell ref="B3:N3"/>
    <mergeCell ref="B4:N4"/>
    <mergeCell ref="B8:B9"/>
    <mergeCell ref="C8:F8"/>
    <mergeCell ref="G8:I8"/>
    <mergeCell ref="J8:N8"/>
    <mergeCell ref="B46:B47"/>
    <mergeCell ref="C46:F46"/>
    <mergeCell ref="G46:I46"/>
    <mergeCell ref="J46:N46"/>
    <mergeCell ref="B28:B29"/>
    <mergeCell ref="C28:F28"/>
    <mergeCell ref="G28:I28"/>
    <mergeCell ref="J28:N28"/>
    <mergeCell ref="B37:B38"/>
    <mergeCell ref="C37:F37"/>
    <mergeCell ref="G37:I37"/>
    <mergeCell ref="J37:N37"/>
  </mergeCells>
  <pageMargins left="0.7" right="0.7" top="0.75" bottom="0.75" header="0.3" footer="0.3"/>
  <pageSetup paperSize="9" scale="4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2:X38"/>
  <sheetViews>
    <sheetView showGridLines="0" view="pageBreakPreview" topLeftCell="A13" zoomScale="60" zoomScaleNormal="75" workbookViewId="0">
      <selection activeCell="I35" sqref="I35"/>
    </sheetView>
  </sheetViews>
  <sheetFormatPr defaultColWidth="9.453125" defaultRowHeight="14" x14ac:dyDescent="0.25"/>
  <cols>
    <col min="1" max="2" width="6.453125" style="10" customWidth="1"/>
    <col min="3" max="3" width="53.54296875" style="10" bestFit="1" customWidth="1"/>
    <col min="4" max="4" width="14.54296875" style="10" bestFit="1" customWidth="1"/>
    <col min="5" max="5" width="15.453125" style="10" bestFit="1" customWidth="1"/>
    <col min="6" max="9" width="18.54296875" style="10" customWidth="1"/>
    <col min="10" max="10" width="14.54296875" style="10" bestFit="1" customWidth="1"/>
    <col min="11" max="11" width="14.453125" style="10" customWidth="1"/>
    <col min="12" max="12" width="17.453125" style="10" customWidth="1"/>
    <col min="13" max="18" width="15.54296875" style="10" customWidth="1"/>
    <col min="19" max="23" width="18.54296875" style="10" customWidth="1"/>
    <col min="24" max="24" width="15.54296875" style="10" customWidth="1"/>
    <col min="25" max="16384" width="9.453125" style="10"/>
  </cols>
  <sheetData>
    <row r="2" spans="2:24" x14ac:dyDescent="0.25">
      <c r="C2" s="88"/>
      <c r="D2" s="88"/>
      <c r="E2" s="62" t="str">
        <f>Index!B2</f>
        <v xml:space="preserve">      Maharashtra State Power Generation Company Ltd.</v>
      </c>
      <c r="F2" s="88"/>
      <c r="G2" s="88"/>
      <c r="H2" s="88"/>
      <c r="I2" s="88"/>
      <c r="J2" s="88"/>
      <c r="L2" s="62"/>
      <c r="M2" s="88"/>
      <c r="N2" s="88"/>
      <c r="O2" s="88"/>
      <c r="P2" s="88"/>
      <c r="Q2" s="88"/>
      <c r="R2" s="88"/>
      <c r="S2" s="88"/>
      <c r="T2" s="88"/>
      <c r="U2" s="88"/>
      <c r="V2" s="88"/>
      <c r="W2" s="88"/>
      <c r="X2" s="88"/>
    </row>
    <row r="3" spans="2:24" s="1" customFormat="1" x14ac:dyDescent="0.3">
      <c r="C3" s="88"/>
      <c r="D3" s="88"/>
      <c r="E3" s="62" t="str">
        <f>Index!B3</f>
        <v>MYT Petition Formats for Bhusawal Unit 6</v>
      </c>
      <c r="F3" s="88"/>
      <c r="G3" s="88"/>
      <c r="H3" s="88"/>
      <c r="I3" s="88"/>
      <c r="J3" s="88"/>
      <c r="L3" s="66"/>
      <c r="M3" s="88"/>
      <c r="N3" s="88"/>
      <c r="O3" s="88"/>
      <c r="P3" s="88"/>
      <c r="Q3" s="88"/>
      <c r="R3" s="88"/>
      <c r="S3" s="88"/>
      <c r="T3" s="88"/>
      <c r="U3" s="88"/>
      <c r="V3" s="88"/>
      <c r="W3" s="88"/>
      <c r="X3" s="88"/>
    </row>
    <row r="4" spans="2:24" s="1" customFormat="1" x14ac:dyDescent="0.3">
      <c r="C4" s="88"/>
      <c r="D4" s="88"/>
      <c r="E4" s="63" t="s">
        <v>313</v>
      </c>
      <c r="F4" s="88"/>
      <c r="G4" s="88"/>
      <c r="H4" s="88"/>
      <c r="I4" s="88"/>
      <c r="J4" s="88"/>
      <c r="L4" s="63"/>
      <c r="M4" s="88"/>
      <c r="N4" s="88"/>
      <c r="O4" s="88"/>
      <c r="P4" s="88"/>
      <c r="Q4" s="88"/>
      <c r="R4" s="88"/>
      <c r="S4" s="88"/>
      <c r="T4" s="88"/>
      <c r="U4" s="88"/>
      <c r="V4" s="88"/>
      <c r="W4" s="88"/>
      <c r="X4" s="88"/>
    </row>
    <row r="6" spans="2:24" x14ac:dyDescent="0.25">
      <c r="S6" s="17" t="s">
        <v>10</v>
      </c>
    </row>
    <row r="7" spans="2:24" ht="15" customHeight="1" x14ac:dyDescent="0.25">
      <c r="B7" s="1404" t="s">
        <v>327</v>
      </c>
      <c r="C7" s="1404" t="s">
        <v>35</v>
      </c>
      <c r="D7" s="1413" t="s">
        <v>477</v>
      </c>
      <c r="E7" s="1414"/>
      <c r="F7" s="1415"/>
      <c r="G7" s="1429" t="s">
        <v>848</v>
      </c>
      <c r="H7" s="1429"/>
      <c r="I7" s="1429"/>
      <c r="J7" s="1429"/>
      <c r="K7" s="1429"/>
      <c r="L7" s="1404" t="s">
        <v>25</v>
      </c>
    </row>
    <row r="8" spans="2:24" ht="43.5" customHeight="1" x14ac:dyDescent="0.25">
      <c r="B8" s="1489"/>
      <c r="C8" s="1489"/>
      <c r="D8" s="201" t="s">
        <v>1216</v>
      </c>
      <c r="E8" s="97" t="s">
        <v>77</v>
      </c>
      <c r="F8" s="97" t="s">
        <v>427</v>
      </c>
      <c r="G8" s="456" t="s">
        <v>849</v>
      </c>
      <c r="H8" s="456" t="s">
        <v>850</v>
      </c>
      <c r="I8" s="456" t="s">
        <v>851</v>
      </c>
      <c r="J8" s="456" t="s">
        <v>852</v>
      </c>
      <c r="K8" s="456" t="s">
        <v>853</v>
      </c>
      <c r="L8" s="1404"/>
    </row>
    <row r="9" spans="2:24" ht="19.5" customHeight="1" x14ac:dyDescent="0.25">
      <c r="B9" s="1489"/>
      <c r="C9" s="1489"/>
      <c r="D9" s="97" t="s">
        <v>78</v>
      </c>
      <c r="E9" s="97" t="s">
        <v>79</v>
      </c>
      <c r="F9" s="97" t="s">
        <v>627</v>
      </c>
      <c r="G9" s="97" t="s">
        <v>20</v>
      </c>
      <c r="H9" s="97" t="s">
        <v>20</v>
      </c>
      <c r="I9" s="97" t="s">
        <v>20</v>
      </c>
      <c r="J9" s="97" t="s">
        <v>20</v>
      </c>
      <c r="K9" s="97" t="s">
        <v>20</v>
      </c>
      <c r="L9" s="1405"/>
    </row>
    <row r="10" spans="2:24" x14ac:dyDescent="0.25">
      <c r="B10" s="73"/>
      <c r="C10" s="518" t="s">
        <v>2959</v>
      </c>
      <c r="D10" s="76"/>
      <c r="E10" s="76"/>
      <c r="F10" s="76"/>
      <c r="G10" s="19"/>
      <c r="H10" s="19"/>
      <c r="I10" s="19"/>
      <c r="J10" s="19"/>
      <c r="K10" s="19"/>
      <c r="L10" s="19"/>
    </row>
    <row r="11" spans="2:24" x14ac:dyDescent="0.25">
      <c r="B11" s="73">
        <v>1</v>
      </c>
      <c r="C11" s="516" t="s">
        <v>906</v>
      </c>
      <c r="D11" s="517"/>
      <c r="E11" s="246"/>
      <c r="F11" s="225">
        <f>E11-D11</f>
        <v>0</v>
      </c>
      <c r="G11" s="218"/>
      <c r="H11" s="218"/>
      <c r="I11" s="218"/>
      <c r="J11" s="218"/>
      <c r="K11" s="218"/>
      <c r="L11" s="218"/>
    </row>
    <row r="12" spans="2:24" x14ac:dyDescent="0.25">
      <c r="B12" s="77">
        <v>2</v>
      </c>
      <c r="C12" s="515" t="s">
        <v>907</v>
      </c>
      <c r="D12" s="246"/>
      <c r="E12" s="246"/>
      <c r="F12" s="225">
        <f t="shared" ref="F12:F26" si="0">E12-D12</f>
        <v>0</v>
      </c>
      <c r="G12" s="218"/>
      <c r="H12" s="218"/>
      <c r="I12" s="218"/>
      <c r="J12" s="218"/>
      <c r="K12" s="218"/>
      <c r="L12" s="218"/>
    </row>
    <row r="13" spans="2:24" x14ac:dyDescent="0.25">
      <c r="B13" s="77">
        <v>3</v>
      </c>
      <c r="C13" s="515" t="s">
        <v>908</v>
      </c>
      <c r="D13" s="246"/>
      <c r="E13" s="246"/>
      <c r="F13" s="225">
        <f t="shared" si="0"/>
        <v>0</v>
      </c>
      <c r="G13" s="218"/>
      <c r="H13" s="218"/>
      <c r="I13" s="218"/>
      <c r="J13" s="218"/>
      <c r="K13" s="218"/>
      <c r="L13" s="218"/>
    </row>
    <row r="14" spans="2:24" x14ac:dyDescent="0.25">
      <c r="B14" s="77">
        <v>4</v>
      </c>
      <c r="C14" s="515" t="s">
        <v>688</v>
      </c>
      <c r="D14" s="246"/>
      <c r="E14" s="246">
        <v>1.3329066024800373</v>
      </c>
      <c r="F14" s="225"/>
      <c r="G14" s="1125">
        <v>19.705181553311981</v>
      </c>
      <c r="H14" s="1125">
        <v>21.67569970864318</v>
      </c>
      <c r="I14" s="1125">
        <v>23.8432696795075</v>
      </c>
      <c r="J14" s="1125">
        <v>26.227596647458252</v>
      </c>
      <c r="K14" s="1125">
        <v>28.850356312204081</v>
      </c>
      <c r="L14" s="218"/>
    </row>
    <row r="15" spans="2:24" x14ac:dyDescent="0.25">
      <c r="B15" s="77">
        <v>5</v>
      </c>
      <c r="C15" s="515" t="s">
        <v>693</v>
      </c>
      <c r="D15" s="246"/>
      <c r="E15" s="246">
        <v>0</v>
      </c>
      <c r="F15" s="225"/>
      <c r="G15" s="1125">
        <v>0</v>
      </c>
      <c r="H15" s="1125">
        <v>0</v>
      </c>
      <c r="I15" s="1125">
        <v>0</v>
      </c>
      <c r="J15" s="1125">
        <v>0</v>
      </c>
      <c r="K15" s="1125">
        <v>0</v>
      </c>
      <c r="L15" s="218"/>
    </row>
    <row r="16" spans="2:24" x14ac:dyDescent="0.25">
      <c r="B16" s="77">
        <v>6</v>
      </c>
      <c r="C16" s="515" t="s">
        <v>689</v>
      </c>
      <c r="D16" s="246"/>
      <c r="E16" s="246">
        <v>0</v>
      </c>
      <c r="F16" s="225"/>
      <c r="G16" s="1125">
        <v>0</v>
      </c>
      <c r="H16" s="1125">
        <v>0</v>
      </c>
      <c r="I16" s="1125">
        <v>0</v>
      </c>
      <c r="J16" s="1125">
        <v>0</v>
      </c>
      <c r="K16" s="1125">
        <v>0</v>
      </c>
      <c r="L16" s="218"/>
    </row>
    <row r="17" spans="2:12" x14ac:dyDescent="0.25">
      <c r="B17" s="77">
        <v>7</v>
      </c>
      <c r="C17" s="515" t="s">
        <v>690</v>
      </c>
      <c r="D17" s="246"/>
      <c r="E17" s="246">
        <v>0</v>
      </c>
      <c r="F17" s="225"/>
      <c r="G17" s="1125">
        <v>0</v>
      </c>
      <c r="H17" s="1125">
        <v>0</v>
      </c>
      <c r="I17" s="1125">
        <v>0</v>
      </c>
      <c r="J17" s="1125">
        <v>0</v>
      </c>
      <c r="K17" s="1125">
        <v>0</v>
      </c>
      <c r="L17" s="218"/>
    </row>
    <row r="18" spans="2:12" x14ac:dyDescent="0.25">
      <c r="B18" s="77">
        <v>8</v>
      </c>
      <c r="C18" s="515" t="s">
        <v>903</v>
      </c>
      <c r="D18" s="306"/>
      <c r="E18" s="246">
        <v>1.2417766830992188E-2</v>
      </c>
      <c r="F18" s="225"/>
      <c r="G18" s="1125">
        <v>0.18357951670140471</v>
      </c>
      <c r="H18" s="1125">
        <v>0.20193746837154519</v>
      </c>
      <c r="I18" s="1125">
        <v>0.22213121520869972</v>
      </c>
      <c r="J18" s="1125">
        <v>0.24434433672956971</v>
      </c>
      <c r="K18" s="1125">
        <v>0.26877877040252668</v>
      </c>
      <c r="L18" s="218"/>
    </row>
    <row r="19" spans="2:12" x14ac:dyDescent="0.25">
      <c r="B19" s="77">
        <v>9</v>
      </c>
      <c r="C19" s="515" t="s">
        <v>691</v>
      </c>
      <c r="D19" s="306"/>
      <c r="E19" s="246">
        <v>0</v>
      </c>
      <c r="F19" s="225"/>
      <c r="G19" s="1125">
        <v>0</v>
      </c>
      <c r="H19" s="1125">
        <v>0</v>
      </c>
      <c r="I19" s="1125">
        <v>0</v>
      </c>
      <c r="J19" s="1125">
        <v>0</v>
      </c>
      <c r="K19" s="1125">
        <v>0</v>
      </c>
      <c r="L19" s="218"/>
    </row>
    <row r="20" spans="2:12" x14ac:dyDescent="0.25">
      <c r="B20" s="77">
        <v>10</v>
      </c>
      <c r="C20" s="515" t="s">
        <v>692</v>
      </c>
      <c r="D20" s="306"/>
      <c r="E20" s="306">
        <v>1.19872097953553</v>
      </c>
      <c r="F20" s="225"/>
      <c r="G20" s="1125">
        <v>17.721432611678701</v>
      </c>
      <c r="H20" s="1125">
        <v>19.493575872846574</v>
      </c>
      <c r="I20" s="1125">
        <v>21.442933460131233</v>
      </c>
      <c r="J20" s="1125">
        <v>23.587226806144358</v>
      </c>
      <c r="K20" s="1125">
        <v>25.945949486758796</v>
      </c>
      <c r="L20" s="218"/>
    </row>
    <row r="21" spans="2:12" x14ac:dyDescent="0.25">
      <c r="B21" s="77">
        <v>11</v>
      </c>
      <c r="C21" s="515" t="s">
        <v>909</v>
      </c>
      <c r="D21" s="306"/>
      <c r="E21" s="246">
        <v>0</v>
      </c>
      <c r="F21" s="225">
        <f t="shared" si="0"/>
        <v>0</v>
      </c>
      <c r="G21" s="1125">
        <v>0</v>
      </c>
      <c r="H21" s="1125">
        <v>0</v>
      </c>
      <c r="I21" s="1125">
        <v>0</v>
      </c>
      <c r="J21" s="1125">
        <v>0</v>
      </c>
      <c r="K21" s="1125">
        <v>0</v>
      </c>
      <c r="L21" s="218"/>
    </row>
    <row r="22" spans="2:12" x14ac:dyDescent="0.25">
      <c r="B22" s="77">
        <v>12</v>
      </c>
      <c r="C22" s="515" t="s">
        <v>696</v>
      </c>
      <c r="D22" s="306"/>
      <c r="E22" s="246">
        <v>0</v>
      </c>
      <c r="F22" s="225">
        <f t="shared" si="0"/>
        <v>0</v>
      </c>
      <c r="G22" s="1125">
        <v>0</v>
      </c>
      <c r="H22" s="1125">
        <v>0</v>
      </c>
      <c r="I22" s="1125">
        <v>0</v>
      </c>
      <c r="J22" s="1125">
        <v>0</v>
      </c>
      <c r="K22" s="1125">
        <v>0</v>
      </c>
      <c r="L22" s="218"/>
    </row>
    <row r="23" spans="2:12" x14ac:dyDescent="0.25">
      <c r="B23" s="77">
        <v>13</v>
      </c>
      <c r="C23" s="515" t="s">
        <v>697</v>
      </c>
      <c r="D23" s="246"/>
      <c r="E23" s="246">
        <v>1.3181138846545199E-5</v>
      </c>
      <c r="F23" s="225">
        <f t="shared" si="0"/>
        <v>1.3181138846545199E-5</v>
      </c>
      <c r="G23" s="1125">
        <v>1.9486491669207289E-4</v>
      </c>
      <c r="H23" s="1125">
        <v>2.143514083612802E-4</v>
      </c>
      <c r="I23" s="1125">
        <v>2.3578654919740824E-4</v>
      </c>
      <c r="J23" s="1125">
        <v>2.5936520411714908E-4</v>
      </c>
      <c r="K23" s="1125">
        <v>2.85301724528864E-4</v>
      </c>
      <c r="L23" s="218"/>
    </row>
    <row r="24" spans="2:12" x14ac:dyDescent="0.25">
      <c r="B24" s="77">
        <v>14</v>
      </c>
      <c r="C24" s="515" t="s">
        <v>698</v>
      </c>
      <c r="D24" s="246"/>
      <c r="E24" s="246">
        <v>0</v>
      </c>
      <c r="F24" s="225"/>
      <c r="G24" s="1125">
        <v>0</v>
      </c>
      <c r="H24" s="1125">
        <v>0</v>
      </c>
      <c r="I24" s="1125">
        <v>0</v>
      </c>
      <c r="J24" s="1125">
        <v>0</v>
      </c>
      <c r="K24" s="1125">
        <v>0</v>
      </c>
      <c r="L24" s="218"/>
    </row>
    <row r="25" spans="2:12" x14ac:dyDescent="0.25">
      <c r="B25" s="77">
        <v>15</v>
      </c>
      <c r="C25" s="516" t="s">
        <v>910</v>
      </c>
      <c r="D25" s="246"/>
      <c r="E25" s="246">
        <v>0</v>
      </c>
      <c r="F25" s="225"/>
      <c r="G25" s="1125">
        <v>0</v>
      </c>
      <c r="H25" s="1125">
        <v>0</v>
      </c>
      <c r="I25" s="1125">
        <v>0</v>
      </c>
      <c r="J25" s="1125">
        <v>0</v>
      </c>
      <c r="K25" s="1125">
        <v>0</v>
      </c>
      <c r="L25" s="218"/>
    </row>
    <row r="26" spans="2:12" x14ac:dyDescent="0.25">
      <c r="B26" s="77">
        <v>16</v>
      </c>
      <c r="C26" s="516" t="s">
        <v>902</v>
      </c>
      <c r="D26" s="246"/>
      <c r="E26" s="246">
        <v>0.14082540536942981</v>
      </c>
      <c r="F26" s="225">
        <f t="shared" si="0"/>
        <v>0.14082540536942981</v>
      </c>
      <c r="G26" s="218">
        <v>2.0819089461783431</v>
      </c>
      <c r="H26" s="218">
        <v>2.2900998407961777</v>
      </c>
      <c r="I26" s="218">
        <v>2.5191098248757955</v>
      </c>
      <c r="J26" s="218">
        <v>2.7710208073633753</v>
      </c>
      <c r="K26" s="218">
        <v>3.0481228880997131</v>
      </c>
      <c r="L26" s="218"/>
    </row>
    <row r="27" spans="2:12" s="17" customFormat="1" x14ac:dyDescent="0.25">
      <c r="B27" s="89"/>
      <c r="C27" s="78" t="s">
        <v>3</v>
      </c>
      <c r="D27" s="306">
        <f>SUM(D11:D26)</f>
        <v>0</v>
      </c>
      <c r="E27" s="306">
        <f>SUM(E11:E26)</f>
        <v>2.6848839353548359</v>
      </c>
      <c r="F27" s="306">
        <f>SUM(F11:F26)</f>
        <v>0.14083858650827635</v>
      </c>
      <c r="G27" s="306">
        <f t="shared" ref="G27:K27" si="1">SUM(G11:G26)</f>
        <v>39.692297492787119</v>
      </c>
      <c r="H27" s="306">
        <f t="shared" si="1"/>
        <v>43.661527242065837</v>
      </c>
      <c r="I27" s="306">
        <f t="shared" si="1"/>
        <v>48.02767996627243</v>
      </c>
      <c r="J27" s="306">
        <f t="shared" si="1"/>
        <v>52.830447962899676</v>
      </c>
      <c r="K27" s="306">
        <f t="shared" si="1"/>
        <v>58.113492759189647</v>
      </c>
      <c r="L27" s="247"/>
    </row>
    <row r="28" spans="2:12" x14ac:dyDescent="0.25">
      <c r="H28" s="1235"/>
      <c r="I28" s="1235"/>
      <c r="J28" s="1235"/>
      <c r="K28" s="1235"/>
    </row>
    <row r="29" spans="2:12" x14ac:dyDescent="0.25">
      <c r="B29" s="10" t="s">
        <v>854</v>
      </c>
    </row>
    <row r="31" spans="2:12" x14ac:dyDescent="0.25">
      <c r="C31" s="206" t="s">
        <v>3004</v>
      </c>
    </row>
    <row r="32" spans="2:12" ht="14.5" x14ac:dyDescent="0.25">
      <c r="C32" s="1223" t="s">
        <v>35</v>
      </c>
      <c r="D32" s="1224"/>
      <c r="E32" s="1224"/>
      <c r="F32" s="1224"/>
      <c r="G32" s="1224" t="s">
        <v>1167</v>
      </c>
      <c r="H32" s="1224" t="s">
        <v>1168</v>
      </c>
      <c r="I32" s="1224" t="s">
        <v>1169</v>
      </c>
      <c r="J32" s="1224" t="s">
        <v>1170</v>
      </c>
      <c r="K32" s="1224" t="s">
        <v>1171</v>
      </c>
      <c r="L32" s="1224" t="s">
        <v>267</v>
      </c>
    </row>
    <row r="33" spans="3:12" ht="38.5" x14ac:dyDescent="0.35">
      <c r="C33" s="1225" t="s">
        <v>3005</v>
      </c>
      <c r="D33" s="1226"/>
      <c r="E33" s="1226"/>
      <c r="F33" s="1226"/>
      <c r="G33" s="1226">
        <f>G34/9540*660</f>
        <v>5.5345911949685543E-2</v>
      </c>
      <c r="H33" s="1226">
        <f>H34/9540*660</f>
        <v>0.27672955974842767</v>
      </c>
      <c r="I33" s="1226">
        <f>I34/9540*660</f>
        <v>0.27672955974842767</v>
      </c>
      <c r="J33" s="1226">
        <f>J34/9540*660</f>
        <v>0.27672955974842767</v>
      </c>
      <c r="K33" s="1226">
        <f>K34/9540*660</f>
        <v>0.22138364779874217</v>
      </c>
      <c r="L33" s="1231">
        <f>SUM(G33:K33)</f>
        <v>1.1069182389937107</v>
      </c>
    </row>
    <row r="34" spans="3:12" x14ac:dyDescent="0.25">
      <c r="C34" s="10" t="s">
        <v>3006</v>
      </c>
      <c r="G34" s="10">
        <v>0.8</v>
      </c>
      <c r="H34" s="10">
        <v>4</v>
      </c>
      <c r="I34" s="10">
        <v>4</v>
      </c>
      <c r="J34" s="10">
        <v>4</v>
      </c>
      <c r="K34" s="10">
        <v>3.2</v>
      </c>
    </row>
    <row r="36" spans="3:12" ht="14.5" x14ac:dyDescent="0.35">
      <c r="C36" s="1227" t="s">
        <v>3007</v>
      </c>
    </row>
    <row r="37" spans="3:12" ht="14.5" x14ac:dyDescent="0.25">
      <c r="C37" s="1229" t="s">
        <v>35</v>
      </c>
      <c r="D37" s="1224"/>
      <c r="E37" s="1224"/>
      <c r="F37" s="1224"/>
      <c r="G37" s="1224" t="s">
        <v>1167</v>
      </c>
      <c r="H37" s="1224" t="s">
        <v>1168</v>
      </c>
      <c r="I37" s="1224" t="s">
        <v>1169</v>
      </c>
      <c r="J37" s="1224" t="s">
        <v>1170</v>
      </c>
      <c r="K37" s="1224" t="s">
        <v>1171</v>
      </c>
      <c r="L37" s="1224" t="s">
        <v>267</v>
      </c>
    </row>
    <row r="38" spans="3:12" ht="14.5" x14ac:dyDescent="0.35">
      <c r="C38" s="1228" t="s">
        <v>3008</v>
      </c>
      <c r="G38" s="1230">
        <f>1*0</f>
        <v>0</v>
      </c>
      <c r="H38" s="1230">
        <f t="shared" ref="H38:K38" si="2">1*0</f>
        <v>0</v>
      </c>
      <c r="I38" s="1230">
        <f t="shared" si="2"/>
        <v>0</v>
      </c>
      <c r="J38" s="1230">
        <f t="shared" si="2"/>
        <v>0</v>
      </c>
      <c r="K38" s="1230">
        <f t="shared" si="2"/>
        <v>0</v>
      </c>
      <c r="L38" s="1231">
        <f>SUM(G38:K38)</f>
        <v>0</v>
      </c>
    </row>
  </sheetData>
  <mergeCells count="5">
    <mergeCell ref="L7:L9"/>
    <mergeCell ref="B7:B9"/>
    <mergeCell ref="C7:C9"/>
    <mergeCell ref="D7:F7"/>
    <mergeCell ref="G7:K7"/>
  </mergeCells>
  <pageMargins left="1.02" right="0.25" top="1" bottom="1" header="0.25" footer="0.25"/>
  <pageSetup paperSize="9" scale="41" orientation="landscape" r:id="rId1"/>
  <headerFooter alignWithMargins="0">
    <oddHeader>&amp;F</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B1:T28"/>
  <sheetViews>
    <sheetView showGridLines="0" zoomScale="75" zoomScaleNormal="75" zoomScaleSheetLayoutView="80" workbookViewId="0">
      <pane xSplit="3" ySplit="9" topLeftCell="D10" activePane="bottomRight" state="frozen"/>
      <selection activeCell="R39" sqref="R39"/>
      <selection pane="topRight" activeCell="R39" sqref="R39"/>
      <selection pane="bottomLeft" activeCell="R39" sqref="R39"/>
      <selection pane="bottomRight" activeCell="C26" sqref="C26"/>
    </sheetView>
  </sheetViews>
  <sheetFormatPr defaultColWidth="9.453125" defaultRowHeight="14" x14ac:dyDescent="0.3"/>
  <cols>
    <col min="1" max="1" width="4.453125" style="1" customWidth="1"/>
    <col min="2" max="2" width="6.453125" style="1" customWidth="1"/>
    <col min="3" max="3" width="61.54296875" style="1" customWidth="1"/>
    <col min="4" max="9" width="14.453125" style="1" customWidth="1"/>
    <col min="10" max="10" width="16.453125" style="1" customWidth="1"/>
    <col min="11" max="20" width="15.54296875" style="1" customWidth="1"/>
    <col min="21" max="16384" width="9.453125" style="1"/>
  </cols>
  <sheetData>
    <row r="1" spans="2:20" x14ac:dyDescent="0.3">
      <c r="B1" s="42"/>
    </row>
    <row r="2" spans="2:20" x14ac:dyDescent="0.3">
      <c r="B2" s="1407" t="str">
        <f>Index!B2</f>
        <v xml:space="preserve">      Maharashtra State Power Generation Company Ltd.</v>
      </c>
      <c r="C2" s="1589"/>
      <c r="D2" s="1589"/>
      <c r="E2" s="1589"/>
      <c r="F2" s="1589"/>
      <c r="G2" s="1589"/>
      <c r="H2" s="1589"/>
      <c r="I2" s="1589"/>
      <c r="J2" s="1589"/>
      <c r="K2" s="1589"/>
      <c r="L2" s="1589"/>
      <c r="M2" s="1589"/>
      <c r="N2" s="1589"/>
      <c r="O2" s="1589"/>
      <c r="P2" s="1589"/>
      <c r="Q2" s="1589"/>
      <c r="R2" s="1589"/>
      <c r="S2" s="1589"/>
      <c r="T2" s="1589"/>
    </row>
    <row r="3" spans="2:20" x14ac:dyDescent="0.3">
      <c r="B3" s="1407" t="str">
        <f>Index!B3</f>
        <v>MYT Petition Formats for Bhusawal Unit 6</v>
      </c>
      <c r="C3" s="1589"/>
      <c r="D3" s="1589"/>
      <c r="E3" s="1589"/>
      <c r="F3" s="1589"/>
      <c r="G3" s="1589"/>
      <c r="H3" s="1589"/>
      <c r="I3" s="1589"/>
      <c r="J3" s="1589"/>
      <c r="K3" s="1589"/>
      <c r="L3" s="1589"/>
      <c r="M3" s="1589"/>
      <c r="N3" s="1589"/>
      <c r="O3" s="1589"/>
      <c r="P3" s="1589"/>
      <c r="Q3" s="1589"/>
      <c r="R3" s="1589"/>
      <c r="S3" s="1589"/>
      <c r="T3" s="1589"/>
    </row>
    <row r="4" spans="2:20" s="58" customFormat="1" x14ac:dyDescent="0.3">
      <c r="B4" s="1431" t="s">
        <v>310</v>
      </c>
      <c r="C4" s="1590"/>
      <c r="D4" s="1590"/>
      <c r="E4" s="1590"/>
      <c r="F4" s="1590"/>
      <c r="G4" s="1590"/>
      <c r="H4" s="1590"/>
      <c r="I4" s="1590"/>
      <c r="J4" s="1590"/>
      <c r="K4" s="1590"/>
      <c r="L4" s="1590"/>
      <c r="M4" s="1590"/>
      <c r="N4" s="1590"/>
      <c r="O4" s="1590"/>
      <c r="P4" s="1590"/>
      <c r="Q4" s="1590"/>
      <c r="R4" s="1590"/>
      <c r="S4" s="1590"/>
      <c r="T4" s="1590"/>
    </row>
    <row r="5" spans="2:20" x14ac:dyDescent="0.3">
      <c r="B5" s="6"/>
      <c r="C5" s="6"/>
    </row>
    <row r="6" spans="2:20" x14ac:dyDescent="0.3">
      <c r="C6" s="50"/>
      <c r="K6" s="50"/>
      <c r="M6" s="4"/>
      <c r="N6" s="4"/>
      <c r="S6" s="17" t="s">
        <v>10</v>
      </c>
    </row>
    <row r="7" spans="2:20" ht="17.25" customHeight="1" x14ac:dyDescent="0.3">
      <c r="B7" s="1521" t="s">
        <v>327</v>
      </c>
      <c r="C7" s="1521" t="s">
        <v>35</v>
      </c>
      <c r="D7" s="1413" t="s">
        <v>477</v>
      </c>
      <c r="E7" s="1414"/>
      <c r="F7" s="1415"/>
      <c r="G7" s="1429" t="s">
        <v>848</v>
      </c>
      <c r="H7" s="1429"/>
      <c r="I7" s="1429"/>
      <c r="J7" s="1429"/>
      <c r="K7" s="1429"/>
      <c r="L7" s="1404" t="s">
        <v>25</v>
      </c>
    </row>
    <row r="8" spans="2:20" s="29" customFormat="1" ht="49.4" customHeight="1" x14ac:dyDescent="0.25">
      <c r="B8" s="1591"/>
      <c r="C8" s="1591"/>
      <c r="D8" s="201" t="s">
        <v>1216</v>
      </c>
      <c r="E8" s="97" t="s">
        <v>77</v>
      </c>
      <c r="F8" s="97" t="s">
        <v>427</v>
      </c>
      <c r="G8" s="456" t="s">
        <v>849</v>
      </c>
      <c r="H8" s="456" t="s">
        <v>850</v>
      </c>
      <c r="I8" s="456" t="s">
        <v>851</v>
      </c>
      <c r="J8" s="456" t="s">
        <v>852</v>
      </c>
      <c r="K8" s="456" t="s">
        <v>853</v>
      </c>
      <c r="L8" s="1404"/>
    </row>
    <row r="9" spans="2:20" s="4" customFormat="1" x14ac:dyDescent="0.3">
      <c r="B9" s="1591"/>
      <c r="C9" s="1591"/>
      <c r="D9" s="97" t="s">
        <v>78</v>
      </c>
      <c r="E9" s="97" t="s">
        <v>79</v>
      </c>
      <c r="F9" s="97" t="s">
        <v>627</v>
      </c>
      <c r="G9" s="97" t="s">
        <v>20</v>
      </c>
      <c r="H9" s="97" t="s">
        <v>20</v>
      </c>
      <c r="I9" s="97" t="s">
        <v>20</v>
      </c>
      <c r="J9" s="97" t="s">
        <v>20</v>
      </c>
      <c r="K9" s="97" t="s">
        <v>20</v>
      </c>
      <c r="L9" s="1405"/>
    </row>
    <row r="10" spans="2:20" s="4" customFormat="1" ht="15.75" customHeight="1" x14ac:dyDescent="0.3">
      <c r="B10" s="70">
        <v>1</v>
      </c>
      <c r="C10" s="135" t="s">
        <v>448</v>
      </c>
      <c r="D10" s="209"/>
      <c r="E10" s="218">
        <v>9.919621170024174E-4</v>
      </c>
      <c r="F10" s="209"/>
      <c r="G10" s="339">
        <v>1.0861985181176471E-2</v>
      </c>
      <c r="H10" s="339">
        <v>1.1405084440235295E-2</v>
      </c>
      <c r="I10" s="339">
        <v>1.1975338662247061E-2</v>
      </c>
      <c r="J10" s="339">
        <v>1.2574105595359415E-2</v>
      </c>
      <c r="K10" s="339">
        <v>1.3202810875127386E-2</v>
      </c>
      <c r="L10" s="19"/>
    </row>
    <row r="11" spans="2:20" s="4" customFormat="1" ht="15.75" customHeight="1" x14ac:dyDescent="0.3">
      <c r="B11" s="70">
        <f>B10+1</f>
        <v>2</v>
      </c>
      <c r="C11" s="135" t="s">
        <v>447</v>
      </c>
      <c r="D11" s="209"/>
      <c r="E11" s="218">
        <v>0</v>
      </c>
      <c r="F11" s="209"/>
      <c r="G11" s="339">
        <v>0</v>
      </c>
      <c r="H11" s="339">
        <v>0</v>
      </c>
      <c r="I11" s="339">
        <v>0</v>
      </c>
      <c r="J11" s="339">
        <v>0</v>
      </c>
      <c r="K11" s="339">
        <v>0</v>
      </c>
      <c r="L11" s="19"/>
    </row>
    <row r="12" spans="2:20" s="4" customFormat="1" ht="15.75" customHeight="1" x14ac:dyDescent="0.3">
      <c r="B12" s="70">
        <f t="shared" ref="B12:B20" si="0">B11+1</f>
        <v>3</v>
      </c>
      <c r="C12" s="303" t="s">
        <v>316</v>
      </c>
      <c r="D12" s="209"/>
      <c r="E12" s="218">
        <v>0</v>
      </c>
      <c r="F12" s="209"/>
      <c r="G12" s="339">
        <v>0</v>
      </c>
      <c r="H12" s="339">
        <v>0</v>
      </c>
      <c r="I12" s="339">
        <v>0</v>
      </c>
      <c r="J12" s="339">
        <v>0</v>
      </c>
      <c r="K12" s="339">
        <v>0</v>
      </c>
      <c r="L12" s="19"/>
    </row>
    <row r="13" spans="2:20" s="4" customFormat="1" ht="15.75" customHeight="1" x14ac:dyDescent="0.3">
      <c r="B13" s="70">
        <f t="shared" si="0"/>
        <v>4</v>
      </c>
      <c r="C13" s="303" t="s">
        <v>3010</v>
      </c>
      <c r="D13" s="209"/>
      <c r="E13" s="218">
        <v>7.6127822078968579E-2</v>
      </c>
      <c r="F13" s="209"/>
      <c r="G13" s="339">
        <v>0.83359965176470585</v>
      </c>
      <c r="H13" s="339">
        <v>0.8752796343529412</v>
      </c>
      <c r="I13" s="339">
        <v>0.91904361607058827</v>
      </c>
      <c r="J13" s="339">
        <v>0.96499579687411774</v>
      </c>
      <c r="K13" s="339">
        <v>1.0132455867178236</v>
      </c>
      <c r="L13" s="19"/>
    </row>
    <row r="14" spans="2:20" s="4" customFormat="1" ht="15.75" customHeight="1" x14ac:dyDescent="0.3">
      <c r="B14" s="70">
        <f t="shared" si="0"/>
        <v>5</v>
      </c>
      <c r="C14" s="303" t="s">
        <v>449</v>
      </c>
      <c r="D14" s="209"/>
      <c r="E14" s="218">
        <v>0</v>
      </c>
      <c r="F14" s="209"/>
      <c r="G14" s="339">
        <v>0</v>
      </c>
      <c r="H14" s="339">
        <v>0</v>
      </c>
      <c r="I14" s="339">
        <v>0</v>
      </c>
      <c r="J14" s="339">
        <v>0</v>
      </c>
      <c r="K14" s="339">
        <v>0</v>
      </c>
      <c r="L14" s="19"/>
    </row>
    <row r="15" spans="2:20" s="4" customFormat="1" ht="56" x14ac:dyDescent="0.3">
      <c r="B15" s="70">
        <f t="shared" si="0"/>
        <v>6</v>
      </c>
      <c r="C15" s="303" t="s">
        <v>335</v>
      </c>
      <c r="D15" s="209"/>
      <c r="E15" s="218">
        <v>0</v>
      </c>
      <c r="F15" s="209"/>
      <c r="G15" s="339">
        <v>0</v>
      </c>
      <c r="H15" s="339">
        <v>0</v>
      </c>
      <c r="I15" s="339">
        <v>0</v>
      </c>
      <c r="J15" s="339">
        <v>0</v>
      </c>
      <c r="K15" s="339">
        <v>0</v>
      </c>
      <c r="L15" s="19"/>
    </row>
    <row r="16" spans="2:20" s="4" customFormat="1" x14ac:dyDescent="0.3">
      <c r="B16" s="70">
        <f t="shared" si="0"/>
        <v>7</v>
      </c>
      <c r="C16" s="30" t="s">
        <v>2960</v>
      </c>
      <c r="D16" s="209"/>
      <c r="E16" s="218">
        <v>5.3909180557614837E-3</v>
      </c>
      <c r="F16" s="209"/>
      <c r="G16" s="339">
        <v>5.9030552710588248E-2</v>
      </c>
      <c r="H16" s="339">
        <v>6.1982080346117664E-2</v>
      </c>
      <c r="I16" s="339">
        <v>6.5081184363423555E-2</v>
      </c>
      <c r="J16" s="339">
        <v>6.8335243581594735E-2</v>
      </c>
      <c r="K16" s="339">
        <v>7.1752005760674475E-2</v>
      </c>
      <c r="L16" s="19"/>
    </row>
    <row r="17" spans="2:12" ht="15.75" customHeight="1" x14ac:dyDescent="0.3">
      <c r="B17" s="70">
        <f>B16+1</f>
        <v>8</v>
      </c>
      <c r="C17" s="30" t="s">
        <v>2961</v>
      </c>
      <c r="D17" s="209"/>
      <c r="E17" s="218">
        <v>1.4376269229331187E-2</v>
      </c>
      <c r="F17" s="209"/>
      <c r="G17" s="339">
        <v>0.15742014806117649</v>
      </c>
      <c r="H17" s="339">
        <v>0.16529115546423531</v>
      </c>
      <c r="I17" s="339">
        <v>0.17355571323744709</v>
      </c>
      <c r="J17" s="339">
        <v>0.18223349889931945</v>
      </c>
      <c r="K17" s="339">
        <v>0.19134517384428543</v>
      </c>
      <c r="L17" s="19"/>
    </row>
    <row r="18" spans="2:12" ht="15.75" customHeight="1" x14ac:dyDescent="0.3">
      <c r="B18" s="70">
        <f t="shared" si="0"/>
        <v>9</v>
      </c>
      <c r="C18" s="30" t="s">
        <v>294</v>
      </c>
      <c r="D18" s="209"/>
      <c r="E18" s="218">
        <v>0</v>
      </c>
      <c r="F18" s="209"/>
      <c r="G18" s="339">
        <v>0</v>
      </c>
      <c r="H18" s="339">
        <v>0</v>
      </c>
      <c r="I18" s="339">
        <v>0</v>
      </c>
      <c r="J18" s="339">
        <v>0</v>
      </c>
      <c r="K18" s="339">
        <v>0</v>
      </c>
      <c r="L18" s="19"/>
    </row>
    <row r="19" spans="2:12" ht="15.75" customHeight="1" x14ac:dyDescent="0.3">
      <c r="B19" s="70">
        <f t="shared" si="0"/>
        <v>10</v>
      </c>
      <c r="C19" s="303" t="s">
        <v>295</v>
      </c>
      <c r="D19" s="209"/>
      <c r="E19" s="218">
        <v>0</v>
      </c>
      <c r="F19" s="209"/>
      <c r="G19" s="339">
        <v>0</v>
      </c>
      <c r="H19" s="339">
        <v>0</v>
      </c>
      <c r="I19" s="339">
        <v>0</v>
      </c>
      <c r="J19" s="339">
        <v>0</v>
      </c>
      <c r="K19" s="339">
        <v>0</v>
      </c>
      <c r="L19" s="19"/>
    </row>
    <row r="20" spans="2:12" ht="15.75" customHeight="1" x14ac:dyDescent="0.3">
      <c r="B20" s="70">
        <f t="shared" si="0"/>
        <v>11</v>
      </c>
      <c r="C20" s="30" t="s">
        <v>317</v>
      </c>
      <c r="D20" s="209"/>
      <c r="E20" s="218">
        <v>0</v>
      </c>
      <c r="F20" s="209"/>
      <c r="G20" s="339">
        <v>0</v>
      </c>
      <c r="H20" s="339">
        <v>0</v>
      </c>
      <c r="I20" s="339">
        <v>0</v>
      </c>
      <c r="J20" s="339">
        <v>0</v>
      </c>
      <c r="K20" s="339">
        <v>0</v>
      </c>
      <c r="L20" s="19"/>
    </row>
    <row r="21" spans="2:12" ht="15.75" hidden="1" customHeight="1" x14ac:dyDescent="0.3">
      <c r="B21" s="70">
        <f t="shared" ref="B21:B26" si="1">+B20+1</f>
        <v>12</v>
      </c>
      <c r="C21" s="30"/>
      <c r="D21" s="209"/>
      <c r="E21" s="218"/>
      <c r="F21" s="209"/>
      <c r="G21" s="526"/>
      <c r="H21" s="526"/>
      <c r="I21" s="526"/>
      <c r="J21" s="526"/>
      <c r="K21" s="526"/>
      <c r="L21" s="19"/>
    </row>
    <row r="22" spans="2:12" ht="67.5" hidden="1" customHeight="1" x14ac:dyDescent="0.3">
      <c r="B22" s="70">
        <f t="shared" si="1"/>
        <v>13</v>
      </c>
      <c r="C22" s="135"/>
      <c r="D22" s="209"/>
      <c r="E22" s="218"/>
      <c r="F22" s="209"/>
      <c r="G22" s="526"/>
      <c r="H22" s="526"/>
      <c r="I22" s="526"/>
      <c r="J22" s="526"/>
      <c r="K22" s="526"/>
      <c r="L22" s="19"/>
    </row>
    <row r="23" spans="2:12" ht="15.75" hidden="1" customHeight="1" x14ac:dyDescent="0.3">
      <c r="B23" s="70">
        <f t="shared" si="1"/>
        <v>14</v>
      </c>
      <c r="C23" s="30"/>
      <c r="D23" s="209"/>
      <c r="E23" s="218"/>
      <c r="F23" s="209"/>
      <c r="G23" s="526"/>
      <c r="H23" s="526"/>
      <c r="I23" s="526"/>
      <c r="J23" s="526"/>
      <c r="K23" s="526"/>
      <c r="L23" s="19"/>
    </row>
    <row r="24" spans="2:12" ht="15.75" hidden="1" customHeight="1" x14ac:dyDescent="0.3">
      <c r="B24" s="70">
        <f t="shared" si="1"/>
        <v>15</v>
      </c>
      <c r="C24" s="30"/>
      <c r="D24" s="209"/>
      <c r="E24" s="218"/>
      <c r="F24" s="209"/>
      <c r="G24" s="526"/>
      <c r="H24" s="526"/>
      <c r="I24" s="526"/>
      <c r="J24" s="526"/>
      <c r="K24" s="526"/>
      <c r="L24" s="19"/>
    </row>
    <row r="25" spans="2:12" ht="15.75" hidden="1" customHeight="1" x14ac:dyDescent="0.3">
      <c r="B25" s="70">
        <f t="shared" si="1"/>
        <v>16</v>
      </c>
      <c r="C25" s="30"/>
      <c r="D25" s="209"/>
      <c r="E25" s="218"/>
      <c r="F25" s="209"/>
      <c r="G25" s="526"/>
      <c r="H25" s="526"/>
      <c r="I25" s="526"/>
      <c r="J25" s="526"/>
      <c r="K25" s="526"/>
      <c r="L25" s="19"/>
    </row>
    <row r="26" spans="2:12" x14ac:dyDescent="0.3">
      <c r="B26" s="70">
        <f t="shared" si="1"/>
        <v>17</v>
      </c>
      <c r="C26" s="55" t="s">
        <v>267</v>
      </c>
      <c r="D26" s="223">
        <f>SUM(D10:D25)</f>
        <v>0</v>
      </c>
      <c r="E26" s="223">
        <f t="shared" ref="E26:K26" si="2">SUM(E10:E25)</f>
        <v>9.6886971481063677E-2</v>
      </c>
      <c r="F26" s="223">
        <f t="shared" si="2"/>
        <v>0</v>
      </c>
      <c r="G26" s="223">
        <f t="shared" si="2"/>
        <v>1.060912337717647</v>
      </c>
      <c r="H26" s="223">
        <f t="shared" si="2"/>
        <v>1.1139579546035294</v>
      </c>
      <c r="I26" s="223">
        <f t="shared" si="2"/>
        <v>1.1696558523337059</v>
      </c>
      <c r="J26" s="223">
        <f t="shared" si="2"/>
        <v>1.2281386449503915</v>
      </c>
      <c r="K26" s="223">
        <f t="shared" si="2"/>
        <v>1.289545577197911</v>
      </c>
      <c r="L26" s="19"/>
    </row>
    <row r="27" spans="2:12" x14ac:dyDescent="0.3">
      <c r="C27" s="29"/>
    </row>
    <row r="28" spans="2:12" x14ac:dyDescent="0.3">
      <c r="B28" s="5" t="s">
        <v>655</v>
      </c>
    </row>
  </sheetData>
  <mergeCells count="8">
    <mergeCell ref="B2:T2"/>
    <mergeCell ref="B3:T3"/>
    <mergeCell ref="B4:T4"/>
    <mergeCell ref="B7:B9"/>
    <mergeCell ref="C7:C9"/>
    <mergeCell ref="D7:F7"/>
    <mergeCell ref="L7:L9"/>
    <mergeCell ref="G7:K7"/>
  </mergeCells>
  <pageMargins left="0.38" right="0.55000000000000004" top="0.66" bottom="0.66" header="0.5" footer="0.5"/>
  <pageSetup paperSize="9" scale="42"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B1:L31"/>
  <sheetViews>
    <sheetView showGridLines="0" view="pageLayout" zoomScale="68" zoomScaleNormal="75" zoomScaleSheetLayoutView="70" zoomScalePageLayoutView="68" workbookViewId="0"/>
  </sheetViews>
  <sheetFormatPr defaultColWidth="8.54296875" defaultRowHeight="14" x14ac:dyDescent="0.25"/>
  <cols>
    <col min="1" max="1" width="6.81640625" style="10" customWidth="1"/>
    <col min="2" max="2" width="6.54296875" style="72" customWidth="1"/>
    <col min="3" max="3" width="49" style="10" customWidth="1"/>
    <col min="4" max="5" width="14.1796875" style="10" customWidth="1"/>
    <col min="6" max="7" width="12.81640625" style="10" customWidth="1"/>
    <col min="8" max="20" width="13.81640625" style="10" customWidth="1"/>
    <col min="21" max="16384" width="8.54296875" style="10"/>
  </cols>
  <sheetData>
    <row r="1" spans="2:11" x14ac:dyDescent="0.25">
      <c r="C1" s="59"/>
      <c r="D1" s="59"/>
      <c r="E1" s="59"/>
    </row>
    <row r="2" spans="2:11" x14ac:dyDescent="0.25">
      <c r="C2" s="59"/>
      <c r="D2" s="59"/>
      <c r="E2" s="59"/>
      <c r="F2" s="62" t="str">
        <f>Index!B2</f>
        <v xml:space="preserve">      Maharashtra State Power Generation Company Ltd.</v>
      </c>
      <c r="G2" s="62"/>
    </row>
    <row r="3" spans="2:11" x14ac:dyDescent="0.25">
      <c r="C3" s="59"/>
      <c r="D3" s="59"/>
      <c r="E3" s="59"/>
      <c r="F3" s="62" t="str">
        <f>Index!B3</f>
        <v>MYT Petition Formats for Bhusawal Unit 6</v>
      </c>
      <c r="G3" s="63"/>
    </row>
    <row r="4" spans="2:11" x14ac:dyDescent="0.3">
      <c r="C4" s="59"/>
      <c r="D4" s="59"/>
      <c r="E4" s="59"/>
      <c r="F4" s="54" t="s">
        <v>1201</v>
      </c>
      <c r="G4" s="54"/>
    </row>
    <row r="6" spans="2:11" ht="28" x14ac:dyDescent="0.25">
      <c r="B6" s="97" t="s">
        <v>327</v>
      </c>
      <c r="C6" s="97" t="s">
        <v>35</v>
      </c>
      <c r="D6" s="177" t="s">
        <v>565</v>
      </c>
      <c r="E6" s="177" t="s">
        <v>477</v>
      </c>
    </row>
    <row r="7" spans="2:11" x14ac:dyDescent="0.25">
      <c r="B7" s="73">
        <v>1</v>
      </c>
      <c r="C7" s="752" t="s">
        <v>566</v>
      </c>
      <c r="D7" s="753" t="s">
        <v>78</v>
      </c>
      <c r="E7" s="19"/>
    </row>
    <row r="8" spans="2:11" x14ac:dyDescent="0.25">
      <c r="B8" s="73">
        <f>B7+1</f>
        <v>2</v>
      </c>
      <c r="C8" s="752" t="s">
        <v>520</v>
      </c>
      <c r="D8" s="753" t="s">
        <v>79</v>
      </c>
      <c r="E8" s="19"/>
    </row>
    <row r="9" spans="2:11" x14ac:dyDescent="0.25">
      <c r="B9" s="73">
        <f>B8+1</f>
        <v>3</v>
      </c>
      <c r="C9" s="752" t="s">
        <v>1202</v>
      </c>
      <c r="D9" s="753" t="s">
        <v>522</v>
      </c>
      <c r="E9" s="19"/>
    </row>
    <row r="10" spans="2:11" x14ac:dyDescent="0.25">
      <c r="B10" s="73"/>
      <c r="C10" s="754"/>
      <c r="D10" s="754"/>
      <c r="E10" s="19"/>
    </row>
    <row r="11" spans="2:11" x14ac:dyDescent="0.25">
      <c r="B11" s="73">
        <v>4</v>
      </c>
      <c r="C11" s="752" t="s">
        <v>567</v>
      </c>
      <c r="D11" s="753" t="s">
        <v>378</v>
      </c>
      <c r="E11" s="19"/>
    </row>
    <row r="12" spans="2:11" x14ac:dyDescent="0.25">
      <c r="B12" s="73">
        <v>5</v>
      </c>
      <c r="C12" s="752" t="s">
        <v>668</v>
      </c>
      <c r="D12" s="753" t="s">
        <v>379</v>
      </c>
      <c r="E12" s="19"/>
    </row>
    <row r="13" spans="2:11" x14ac:dyDescent="0.25">
      <c r="B13" s="73">
        <v>6</v>
      </c>
      <c r="C13" s="752" t="s">
        <v>669</v>
      </c>
      <c r="D13" s="753" t="s">
        <v>670</v>
      </c>
      <c r="E13" s="19"/>
    </row>
    <row r="14" spans="2:11" x14ac:dyDescent="0.25">
      <c r="B14" s="73">
        <v>7</v>
      </c>
      <c r="C14" s="754" t="s">
        <v>521</v>
      </c>
      <c r="D14" s="755" t="s">
        <v>671</v>
      </c>
      <c r="E14" s="19"/>
    </row>
    <row r="15" spans="2:11" x14ac:dyDescent="0.25">
      <c r="C15" s="756"/>
      <c r="D15" s="757"/>
    </row>
    <row r="16" spans="2:11" ht="49.75" customHeight="1" x14ac:dyDescent="0.25">
      <c r="C16" s="1582" t="s">
        <v>1203</v>
      </c>
      <c r="D16" s="1582"/>
      <c r="E16" s="1582"/>
      <c r="F16" s="1582"/>
      <c r="G16" s="1582"/>
      <c r="H16" s="1582"/>
      <c r="I16" s="1582"/>
      <c r="J16" s="1582"/>
      <c r="K16" s="1582"/>
    </row>
    <row r="17" spans="2:12" x14ac:dyDescent="0.25">
      <c r="C17" s="10" t="s">
        <v>1204</v>
      </c>
    </row>
    <row r="18" spans="2:12" x14ac:dyDescent="0.25">
      <c r="C18" s="10" t="s">
        <v>1205</v>
      </c>
    </row>
    <row r="20" spans="2:12" x14ac:dyDescent="0.25">
      <c r="C20" s="468"/>
      <c r="D20" s="468"/>
      <c r="E20" s="468"/>
      <c r="F20" s="469"/>
      <c r="G20" s="469"/>
      <c r="H20" s="469"/>
      <c r="I20" s="469"/>
      <c r="J20" s="469"/>
      <c r="K20" s="469"/>
      <c r="L20" s="469"/>
    </row>
    <row r="22" spans="2:12" x14ac:dyDescent="0.25">
      <c r="B22" s="1592" t="s">
        <v>1206</v>
      </c>
      <c r="C22" s="1592"/>
      <c r="D22" s="1592"/>
      <c r="E22" s="1592"/>
      <c r="F22" s="1592"/>
      <c r="G22" s="1592"/>
      <c r="H22" s="1592"/>
      <c r="I22" s="1592"/>
      <c r="J22" s="160"/>
      <c r="K22" s="160"/>
    </row>
    <row r="23" spans="2:12" x14ac:dyDescent="0.25">
      <c r="B23" s="10"/>
    </row>
    <row r="24" spans="2:12" ht="28" x14ac:dyDescent="0.25">
      <c r="B24" s="97" t="s">
        <v>327</v>
      </c>
      <c r="C24" s="97" t="s">
        <v>35</v>
      </c>
      <c r="D24" s="177" t="s">
        <v>565</v>
      </c>
      <c r="E24" s="177" t="s">
        <v>849</v>
      </c>
      <c r="F24" s="177" t="s">
        <v>850</v>
      </c>
      <c r="G24" s="97" t="s">
        <v>851</v>
      </c>
      <c r="H24" s="97" t="s">
        <v>852</v>
      </c>
      <c r="I24" s="97" t="s">
        <v>853</v>
      </c>
    </row>
    <row r="25" spans="2:12" x14ac:dyDescent="0.25">
      <c r="B25" s="73">
        <v>1</v>
      </c>
      <c r="C25" s="752" t="s">
        <v>1207</v>
      </c>
      <c r="D25" s="753" t="s">
        <v>78</v>
      </c>
      <c r="E25" s="752"/>
      <c r="F25" s="758"/>
      <c r="G25" s="758"/>
      <c r="H25" s="752"/>
      <c r="I25" s="758"/>
    </row>
    <row r="26" spans="2:12" x14ac:dyDescent="0.25">
      <c r="B26" s="73"/>
      <c r="C26" s="754"/>
      <c r="D26" s="754"/>
      <c r="E26" s="752"/>
      <c r="F26" s="758"/>
      <c r="G26" s="758"/>
      <c r="H26" s="752"/>
      <c r="I26" s="758"/>
    </row>
    <row r="27" spans="2:12" x14ac:dyDescent="0.25">
      <c r="B27" s="73">
        <v>2</v>
      </c>
      <c r="C27" s="752" t="s">
        <v>1208</v>
      </c>
      <c r="D27" s="753" t="s">
        <v>79</v>
      </c>
      <c r="E27" s="752"/>
      <c r="F27" s="758"/>
      <c r="G27" s="758"/>
      <c r="H27" s="752"/>
      <c r="I27" s="758"/>
    </row>
    <row r="28" spans="2:12" x14ac:dyDescent="0.25">
      <c r="B28" s="73">
        <v>3</v>
      </c>
      <c r="C28" s="754" t="s">
        <v>521</v>
      </c>
      <c r="D28" s="755" t="s">
        <v>1209</v>
      </c>
      <c r="E28" s="754"/>
      <c r="F28" s="759"/>
      <c r="G28" s="759"/>
      <c r="H28" s="754"/>
      <c r="I28" s="759"/>
    </row>
    <row r="29" spans="2:12" ht="29.5" customHeight="1" x14ac:dyDescent="0.25">
      <c r="B29" s="10"/>
      <c r="C29" s="469"/>
    </row>
    <row r="30" spans="2:12" ht="43.75" customHeight="1" x14ac:dyDescent="0.25">
      <c r="B30" s="10"/>
      <c r="C30" s="1593" t="s">
        <v>1210</v>
      </c>
      <c r="D30" s="1582"/>
      <c r="E30" s="1582"/>
      <c r="F30" s="1582"/>
      <c r="G30" s="1582"/>
      <c r="H30" s="1582"/>
      <c r="I30" s="1582"/>
      <c r="J30" s="1582"/>
      <c r="K30" s="1582"/>
    </row>
    <row r="31" spans="2:12" x14ac:dyDescent="0.25">
      <c r="B31" s="10"/>
      <c r="C31" s="10" t="s">
        <v>1211</v>
      </c>
    </row>
  </sheetData>
  <mergeCells count="3">
    <mergeCell ref="B22:I22"/>
    <mergeCell ref="C30:K30"/>
    <mergeCell ref="C16:K16"/>
  </mergeCells>
  <pageMargins left="1.1023622047244099" right="0.27559055118110198" top="1.2204724409448799" bottom="0.98425196850393704" header="0.511811023622047" footer="0.511811023622047"/>
  <pageSetup paperSize="9" scale="35"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R62"/>
  <sheetViews>
    <sheetView showGridLines="0" view="pageBreakPreview" zoomScale="75" zoomScaleNormal="75" zoomScaleSheetLayoutView="75" workbookViewId="0">
      <selection activeCell="D5" sqref="D5"/>
    </sheetView>
  </sheetViews>
  <sheetFormatPr defaultColWidth="9.453125" defaultRowHeight="14" x14ac:dyDescent="0.25"/>
  <cols>
    <col min="1" max="1" width="6.54296875" style="10" customWidth="1"/>
    <col min="2" max="2" width="7.453125" style="10" customWidth="1"/>
    <col min="3" max="3" width="49" style="10" customWidth="1"/>
    <col min="4" max="4" width="15" style="10" customWidth="1"/>
    <col min="5" max="5" width="15.54296875" style="10" customWidth="1"/>
    <col min="6" max="8" width="11" style="10" customWidth="1"/>
    <col min="9" max="9" width="14.453125" style="10" customWidth="1"/>
    <col min="10" max="10" width="13.54296875" style="10" customWidth="1"/>
    <col min="11" max="11" width="16" style="10" customWidth="1"/>
    <col min="12" max="12" width="21" style="10" customWidth="1"/>
    <col min="13" max="13" width="11.54296875" style="224" customWidth="1"/>
    <col min="14" max="14" width="11" style="10" customWidth="1"/>
    <col min="15" max="15" width="49.54296875" style="10" customWidth="1"/>
    <col min="16" max="16" width="16" style="10" customWidth="1"/>
    <col min="17" max="16384" width="9.453125" style="10"/>
  </cols>
  <sheetData>
    <row r="1" spans="2:16" x14ac:dyDescent="0.25">
      <c r="C1" s="59"/>
    </row>
    <row r="2" spans="2:16" ht="15.65" customHeight="1" x14ac:dyDescent="0.25">
      <c r="B2" s="1406" t="str">
        <f>Index!B2</f>
        <v xml:space="preserve">      Maharashtra State Power Generation Company Ltd.</v>
      </c>
      <c r="C2" s="1406"/>
      <c r="D2" s="1406"/>
      <c r="E2" s="1406"/>
      <c r="F2" s="17"/>
      <c r="G2" s="17"/>
      <c r="H2" s="17"/>
      <c r="I2" s="17"/>
      <c r="J2" s="17"/>
      <c r="K2" s="17"/>
      <c r="L2" s="17"/>
    </row>
    <row r="3" spans="2:16" s="1" customFormat="1" ht="15.65" customHeight="1" x14ac:dyDescent="0.3">
      <c r="B3" s="1406" t="str">
        <f>Index!B3</f>
        <v>MYT Petition Formats for Bhusawal Unit 6</v>
      </c>
      <c r="C3" s="1406"/>
      <c r="D3" s="1406"/>
      <c r="E3" s="1406"/>
      <c r="F3" s="17"/>
      <c r="G3" s="17"/>
      <c r="H3" s="17"/>
      <c r="I3" s="17"/>
      <c r="J3" s="17"/>
      <c r="K3" s="17"/>
      <c r="L3" s="17"/>
      <c r="M3" s="764"/>
      <c r="N3" s="29"/>
      <c r="O3" s="29"/>
    </row>
    <row r="4" spans="2:16" s="1" customFormat="1" ht="15.65" customHeight="1" x14ac:dyDescent="0.3">
      <c r="B4" s="1592" t="s">
        <v>337</v>
      </c>
      <c r="C4" s="1592"/>
      <c r="D4" s="1592"/>
      <c r="E4" s="1592"/>
      <c r="F4" s="559"/>
      <c r="G4" s="559"/>
      <c r="H4" s="559"/>
      <c r="I4" s="559"/>
      <c r="J4" s="559"/>
      <c r="K4" s="559"/>
      <c r="L4" s="559"/>
      <c r="M4" s="765"/>
      <c r="N4" s="4"/>
      <c r="O4" s="4"/>
      <c r="P4" s="4"/>
    </row>
    <row r="6" spans="2:16" x14ac:dyDescent="0.25">
      <c r="B6" s="60" t="s">
        <v>3001</v>
      </c>
    </row>
    <row r="7" spans="2:16" x14ac:dyDescent="0.25">
      <c r="E7" s="16" t="s">
        <v>10</v>
      </c>
      <c r="K7" s="16"/>
    </row>
    <row r="8" spans="2:16" x14ac:dyDescent="0.25">
      <c r="B8" s="139" t="s">
        <v>327</v>
      </c>
      <c r="C8" s="140" t="s">
        <v>35</v>
      </c>
      <c r="D8" s="97" t="s">
        <v>860</v>
      </c>
      <c r="E8" s="97" t="s">
        <v>7</v>
      </c>
      <c r="K8" s="16"/>
      <c r="L8" s="16"/>
      <c r="M8" s="16"/>
    </row>
    <row r="9" spans="2:16" s="72" customFormat="1" x14ac:dyDescent="0.25">
      <c r="B9" s="73"/>
      <c r="C9" s="73"/>
      <c r="D9" s="73" t="s">
        <v>339</v>
      </c>
      <c r="E9" s="73" t="s">
        <v>340</v>
      </c>
      <c r="F9" s="10"/>
      <c r="G9" s="10"/>
      <c r="H9" s="10"/>
      <c r="I9" s="10"/>
      <c r="J9" s="10"/>
      <c r="K9" s="16"/>
      <c r="L9" s="16"/>
      <c r="M9" s="16"/>
    </row>
    <row r="10" spans="2:16" x14ac:dyDescent="0.25">
      <c r="B10" s="73">
        <v>1</v>
      </c>
      <c r="C10" s="19" t="s">
        <v>80</v>
      </c>
      <c r="D10" s="211">
        <f>'F1'!$F$11</f>
        <v>100.15371702710812</v>
      </c>
      <c r="E10" s="339">
        <f>'F1'!$G$11</f>
        <v>126.19411905086571</v>
      </c>
      <c r="K10" s="16"/>
      <c r="L10" s="16"/>
      <c r="M10" s="16"/>
    </row>
    <row r="11" spans="2:16" x14ac:dyDescent="0.25">
      <c r="B11" s="73">
        <v>2</v>
      </c>
      <c r="C11" s="19" t="s">
        <v>840</v>
      </c>
      <c r="D11" s="211">
        <f>'F3'!F17-D12</f>
        <v>11.866619178082189</v>
      </c>
      <c r="E11" s="339">
        <f>'F3'!G17-E12</f>
        <v>9.2326387231787947</v>
      </c>
      <c r="K11" s="16"/>
      <c r="L11" s="16"/>
      <c r="M11" s="16"/>
    </row>
    <row r="12" spans="2:16" x14ac:dyDescent="0.25">
      <c r="B12" s="73">
        <f>B11+1</f>
        <v>3</v>
      </c>
      <c r="C12" s="19" t="s">
        <v>816</v>
      </c>
      <c r="D12" s="339">
        <f>'F3'!F14</f>
        <v>0.86727109304734651</v>
      </c>
      <c r="E12" s="339">
        <f>'F3'!G14</f>
        <v>0.86727109304734651</v>
      </c>
      <c r="K12" s="16"/>
      <c r="L12" s="16"/>
      <c r="M12" s="16"/>
    </row>
    <row r="13" spans="2:16" x14ac:dyDescent="0.25">
      <c r="B13" s="73">
        <f t="shared" ref="B13:B17" si="0">B12+1</f>
        <v>4</v>
      </c>
      <c r="C13" s="19" t="s">
        <v>817</v>
      </c>
      <c r="D13" s="211">
        <f>E13</f>
        <v>0.39331454999999993</v>
      </c>
      <c r="E13" s="339">
        <f>F3.1!E27</f>
        <v>0.39331454999999993</v>
      </c>
      <c r="K13" s="16"/>
      <c r="L13" s="16"/>
      <c r="M13" s="16"/>
    </row>
    <row r="14" spans="2:16" x14ac:dyDescent="0.25">
      <c r="B14" s="73">
        <f t="shared" si="0"/>
        <v>5</v>
      </c>
      <c r="C14" s="76" t="s">
        <v>82</v>
      </c>
      <c r="D14" s="211">
        <f>SUM('F1'!$F$16:$F$17)</f>
        <v>31.364464244138148</v>
      </c>
      <c r="E14" s="211">
        <f>SUM('F1'!$F$16:$F$17)</f>
        <v>31.364464244138148</v>
      </c>
      <c r="K14" s="16"/>
      <c r="L14" s="16"/>
      <c r="M14" s="16"/>
    </row>
    <row r="15" spans="2:16" x14ac:dyDescent="0.25">
      <c r="B15" s="73">
        <f t="shared" si="0"/>
        <v>6</v>
      </c>
      <c r="C15" s="19" t="s">
        <v>83</v>
      </c>
      <c r="D15" s="211">
        <f>'F1'!F18+'F1'!F19</f>
        <v>47.985453714908964</v>
      </c>
      <c r="E15" s="339">
        <f>'F1'!F18+'F1'!F19</f>
        <v>47.985453714908964</v>
      </c>
      <c r="K15" s="16"/>
      <c r="L15" s="16"/>
      <c r="M15" s="16"/>
    </row>
    <row r="16" spans="2:16" x14ac:dyDescent="0.25">
      <c r="B16" s="73">
        <f t="shared" si="0"/>
        <v>7</v>
      </c>
      <c r="C16" s="349" t="s">
        <v>84</v>
      </c>
      <c r="D16" s="211">
        <f ca="1">'F1'!F20</f>
        <v>12.751818387882624</v>
      </c>
      <c r="E16" s="339">
        <f ca="1">'F1'!F20</f>
        <v>12.751818387882624</v>
      </c>
      <c r="K16" s="16"/>
      <c r="L16" s="16"/>
      <c r="M16" s="16"/>
    </row>
    <row r="17" spans="2:18" x14ac:dyDescent="0.25">
      <c r="B17" s="73">
        <f t="shared" si="0"/>
        <v>8</v>
      </c>
      <c r="C17" s="76" t="s">
        <v>85</v>
      </c>
      <c r="D17" s="211">
        <f>'F1'!F22</f>
        <v>2.6848839353548359</v>
      </c>
      <c r="E17" s="339">
        <f>'F1'!F22</f>
        <v>2.6848839353548359</v>
      </c>
      <c r="K17" s="16"/>
      <c r="L17" s="16"/>
      <c r="M17" s="16"/>
      <c r="P17" s="785"/>
    </row>
    <row r="18" spans="2:18" hidden="1" x14ac:dyDescent="0.25">
      <c r="B18" s="73"/>
      <c r="C18" s="19"/>
      <c r="D18" s="211"/>
      <c r="E18" s="339"/>
      <c r="K18" s="16"/>
      <c r="L18" s="16"/>
      <c r="M18" s="16"/>
      <c r="P18" s="785"/>
    </row>
    <row r="19" spans="2:18" hidden="1" x14ac:dyDescent="0.25">
      <c r="B19" s="73"/>
      <c r="C19" s="19"/>
      <c r="D19" s="19"/>
      <c r="E19" s="339"/>
      <c r="K19" s="16"/>
      <c r="L19" s="16"/>
      <c r="M19" s="16"/>
      <c r="P19" s="785"/>
      <c r="Q19" s="407"/>
    </row>
    <row r="20" spans="2:18" x14ac:dyDescent="0.25">
      <c r="B20" s="74">
        <f>B17+1</f>
        <v>9</v>
      </c>
      <c r="C20" s="22" t="s">
        <v>87</v>
      </c>
      <c r="D20" s="346">
        <f ca="1">SUM(D10:D19)</f>
        <v>208.06754213052224</v>
      </c>
      <c r="E20" s="347">
        <f ca="1">SUM(E10:E19)</f>
        <v>231.47396369937647</v>
      </c>
      <c r="K20" s="16"/>
      <c r="L20" s="16"/>
      <c r="M20" s="16"/>
    </row>
    <row r="21" spans="2:18" x14ac:dyDescent="0.25">
      <c r="B21" s="74">
        <f>B20+1</f>
        <v>10</v>
      </c>
      <c r="C21" s="19" t="s">
        <v>88</v>
      </c>
      <c r="D21" s="211">
        <f>'F1'!F27+'F1'!F29</f>
        <v>13.023784458598374</v>
      </c>
      <c r="E21" s="339">
        <f>'F1'!F27+'F1'!F29</f>
        <v>13.023784458598374</v>
      </c>
      <c r="K21" s="16"/>
      <c r="L21" s="16"/>
      <c r="M21" s="16"/>
    </row>
    <row r="22" spans="2:18" x14ac:dyDescent="0.25">
      <c r="B22" s="74">
        <f>B21+1</f>
        <v>11</v>
      </c>
      <c r="C22" s="19" t="s">
        <v>89</v>
      </c>
      <c r="D22" s="211">
        <f>'F1'!F30</f>
        <v>9.6886971481063677E-2</v>
      </c>
      <c r="E22" s="339">
        <f>'F1'!F30</f>
        <v>9.6886971481063677E-2</v>
      </c>
      <c r="K22" s="16"/>
      <c r="L22" s="16"/>
      <c r="M22" s="16"/>
    </row>
    <row r="23" spans="2:18" x14ac:dyDescent="0.25">
      <c r="B23" s="74">
        <f t="shared" ref="B23:B24" si="1">B22+1</f>
        <v>12</v>
      </c>
      <c r="C23" s="22" t="s">
        <v>90</v>
      </c>
      <c r="D23" s="346">
        <f ca="1">D20+D21-D22</f>
        <v>220.99443961763956</v>
      </c>
      <c r="E23" s="347">
        <f ca="1">E20+E21-E22</f>
        <v>244.40086118649378</v>
      </c>
      <c r="F23" s="350">
        <f ca="1">'F1'!F31-D23</f>
        <v>0</v>
      </c>
      <c r="G23" s="350">
        <f ca="1">'F1'!G31-E23</f>
        <v>0</v>
      </c>
      <c r="K23" s="16"/>
      <c r="L23" s="16"/>
      <c r="M23" s="16"/>
    </row>
    <row r="24" spans="2:18" ht="15.5" x14ac:dyDescent="0.25">
      <c r="B24" s="74">
        <f t="shared" si="1"/>
        <v>13</v>
      </c>
      <c r="C24" s="520" t="s">
        <v>831</v>
      </c>
      <c r="D24" s="211"/>
      <c r="E24" s="339"/>
      <c r="K24" s="16"/>
      <c r="L24" s="16"/>
      <c r="M24" s="16"/>
    </row>
    <row r="25" spans="2:18" ht="15" x14ac:dyDescent="0.25">
      <c r="B25" s="74" t="s">
        <v>167</v>
      </c>
      <c r="C25" s="521" t="s">
        <v>911</v>
      </c>
      <c r="D25" s="347">
        <f ca="1">D23-D24</f>
        <v>220.99443961763956</v>
      </c>
      <c r="E25" s="347">
        <f ca="1">E23-E24</f>
        <v>244.40086118649378</v>
      </c>
      <c r="F25" s="350"/>
      <c r="K25" s="16"/>
      <c r="L25" s="16"/>
      <c r="M25" s="16"/>
    </row>
    <row r="26" spans="2:18" x14ac:dyDescent="0.25">
      <c r="B26" s="89"/>
      <c r="C26" s="78"/>
      <c r="D26" s="22"/>
      <c r="E26" s="347"/>
      <c r="K26" s="16"/>
      <c r="L26" s="16"/>
      <c r="M26" s="16"/>
    </row>
    <row r="27" spans="2:18" x14ac:dyDescent="0.25">
      <c r="B27" s="89" t="s">
        <v>180</v>
      </c>
      <c r="C27" s="78" t="s">
        <v>296</v>
      </c>
      <c r="D27" s="22"/>
      <c r="E27" s="347"/>
      <c r="K27" s="16"/>
      <c r="L27" s="16"/>
      <c r="M27" s="16"/>
    </row>
    <row r="28" spans="2:18" x14ac:dyDescent="0.25">
      <c r="B28" s="77">
        <f>B24+1</f>
        <v>14</v>
      </c>
      <c r="C28" s="76" t="s">
        <v>297</v>
      </c>
      <c r="D28" s="339">
        <f>'F9'!$N$13</f>
        <v>158.22686974540159</v>
      </c>
      <c r="E28" s="339">
        <f>'F9'!$N$13</f>
        <v>158.22686974540159</v>
      </c>
      <c r="K28" s="16"/>
      <c r="L28" s="16"/>
      <c r="M28" s="16"/>
    </row>
    <row r="29" spans="2:18" x14ac:dyDescent="0.25">
      <c r="B29" s="77">
        <f>B28+1</f>
        <v>15</v>
      </c>
      <c r="C29" s="76" t="s">
        <v>814</v>
      </c>
      <c r="D29" s="19"/>
      <c r="E29" s="19"/>
      <c r="K29" s="16"/>
      <c r="L29" s="16"/>
      <c r="M29" s="16"/>
    </row>
    <row r="30" spans="2:18" x14ac:dyDescent="0.25">
      <c r="B30" s="77">
        <f>B29+1</f>
        <v>16</v>
      </c>
      <c r="C30" s="78" t="s">
        <v>815</v>
      </c>
      <c r="D30" s="346">
        <f>SUM(D28:D29)</f>
        <v>158.22686974540159</v>
      </c>
      <c r="E30" s="346">
        <f>SUM(E28:E29)</f>
        <v>158.22686974540159</v>
      </c>
      <c r="K30" s="16"/>
      <c r="L30" s="16"/>
      <c r="M30" s="16"/>
    </row>
    <row r="31" spans="2:18" x14ac:dyDescent="0.25">
      <c r="B31" s="89" t="s">
        <v>181</v>
      </c>
      <c r="C31" s="78" t="s">
        <v>305</v>
      </c>
      <c r="D31" s="346">
        <f ca="1">D25-D30</f>
        <v>62.767569872237971</v>
      </c>
      <c r="E31" s="346">
        <f ca="1">E25-E30</f>
        <v>86.173991441092198</v>
      </c>
      <c r="K31" s="16"/>
      <c r="L31" s="16"/>
      <c r="M31" s="16"/>
      <c r="Q31" s="407"/>
      <c r="R31" s="407"/>
    </row>
    <row r="32" spans="2:18" x14ac:dyDescent="0.25">
      <c r="B32" s="171"/>
      <c r="C32" s="172"/>
      <c r="D32" s="17"/>
      <c r="E32" s="17"/>
      <c r="K32" s="16"/>
      <c r="L32" s="16"/>
      <c r="M32" s="16"/>
    </row>
    <row r="33" spans="2:16" x14ac:dyDescent="0.25">
      <c r="B33" s="174"/>
      <c r="K33" s="16"/>
      <c r="L33" s="17"/>
    </row>
    <row r="34" spans="2:16" x14ac:dyDescent="0.25">
      <c r="B34" s="174"/>
      <c r="L34" s="17"/>
    </row>
    <row r="35" spans="2:16" s="17" customFormat="1" x14ac:dyDescent="0.25">
      <c r="B35" s="171"/>
      <c r="C35" s="172"/>
      <c r="L35" s="220"/>
      <c r="M35" s="767"/>
      <c r="O35" s="10"/>
      <c r="P35" s="10"/>
    </row>
    <row r="36" spans="2:16" s="17" customFormat="1" x14ac:dyDescent="0.25">
      <c r="B36" s="174"/>
      <c r="C36" s="172"/>
      <c r="L36" s="10"/>
      <c r="M36" s="767"/>
      <c r="O36" s="10"/>
      <c r="P36" s="10"/>
    </row>
    <row r="37" spans="2:16" x14ac:dyDescent="0.25">
      <c r="B37" s="60"/>
    </row>
    <row r="38" spans="2:16" x14ac:dyDescent="0.25">
      <c r="K38" s="16"/>
      <c r="L38" s="16"/>
    </row>
    <row r="39" spans="2:16" x14ac:dyDescent="0.25">
      <c r="B39" s="45"/>
      <c r="C39" s="17"/>
      <c r="D39" s="8"/>
      <c r="E39" s="8"/>
      <c r="F39" s="8"/>
      <c r="G39" s="8"/>
      <c r="H39" s="8"/>
      <c r="I39" s="8"/>
      <c r="J39" s="8"/>
      <c r="K39" s="8"/>
      <c r="L39" s="8"/>
    </row>
    <row r="41" spans="2:16" s="17" customFormat="1" x14ac:dyDescent="0.25">
      <c r="B41" s="72"/>
      <c r="C41" s="10"/>
      <c r="D41" s="462"/>
      <c r="E41" s="462"/>
      <c r="F41" s="462"/>
      <c r="G41" s="462"/>
      <c r="H41" s="407"/>
      <c r="L41" s="222"/>
      <c r="M41" s="767"/>
      <c r="O41" s="10"/>
      <c r="P41" s="10"/>
    </row>
    <row r="42" spans="2:16" x14ac:dyDescent="0.25">
      <c r="B42" s="72"/>
      <c r="D42" s="463"/>
      <c r="E42" s="463"/>
      <c r="F42" s="463"/>
      <c r="G42" s="463"/>
      <c r="H42" s="407"/>
      <c r="L42" s="222"/>
      <c r="M42" s="766">
        <f>SUM(L42:L43)-P53</f>
        <v>0</v>
      </c>
    </row>
    <row r="43" spans="2:16" x14ac:dyDescent="0.25">
      <c r="B43" s="72"/>
      <c r="D43" s="463"/>
      <c r="E43" s="463"/>
      <c r="F43" s="463"/>
      <c r="G43" s="463"/>
      <c r="H43" s="407"/>
      <c r="L43" s="222"/>
      <c r="M43" s="766"/>
    </row>
    <row r="44" spans="2:16" x14ac:dyDescent="0.25">
      <c r="B44" s="72"/>
      <c r="D44" s="463"/>
      <c r="E44" s="463"/>
      <c r="F44" s="463"/>
      <c r="G44" s="463"/>
      <c r="H44" s="407"/>
      <c r="L44" s="222"/>
    </row>
    <row r="45" spans="2:16" x14ac:dyDescent="0.25">
      <c r="B45" s="72"/>
      <c r="C45" s="464"/>
      <c r="D45" s="462"/>
      <c r="E45" s="463"/>
      <c r="F45" s="463"/>
      <c r="G45" s="463"/>
      <c r="L45" s="222"/>
    </row>
    <row r="46" spans="2:16" x14ac:dyDescent="0.25">
      <c r="B46" s="72"/>
      <c r="D46" s="462"/>
      <c r="E46" s="463"/>
      <c r="F46" s="463"/>
      <c r="G46" s="463"/>
      <c r="L46" s="222"/>
    </row>
    <row r="47" spans="2:16" x14ac:dyDescent="0.25">
      <c r="B47" s="72"/>
      <c r="C47" s="464"/>
      <c r="D47" s="462"/>
      <c r="E47" s="463"/>
      <c r="F47" s="463"/>
      <c r="G47" s="463"/>
      <c r="H47" s="407"/>
      <c r="L47" s="222"/>
    </row>
    <row r="48" spans="2:16" x14ac:dyDescent="0.25">
      <c r="B48" s="72"/>
      <c r="C48" s="464"/>
      <c r="D48" s="462"/>
      <c r="E48" s="463"/>
      <c r="F48" s="463"/>
      <c r="G48" s="463"/>
      <c r="H48" s="463"/>
      <c r="L48" s="222"/>
    </row>
    <row r="49" spans="2:16" x14ac:dyDescent="0.25">
      <c r="B49" s="72"/>
      <c r="D49" s="462"/>
      <c r="E49" s="463"/>
      <c r="F49" s="463"/>
      <c r="G49" s="463"/>
      <c r="H49" s="463"/>
      <c r="L49" s="222"/>
    </row>
    <row r="50" spans="2:16" x14ac:dyDescent="0.25">
      <c r="B50" s="72"/>
      <c r="D50" s="463"/>
      <c r="E50" s="463"/>
      <c r="F50" s="463"/>
      <c r="G50" s="463"/>
      <c r="H50" s="463"/>
      <c r="L50" s="222"/>
    </row>
    <row r="51" spans="2:16" x14ac:dyDescent="0.25">
      <c r="B51" s="62"/>
      <c r="C51" s="17"/>
      <c r="D51" s="463"/>
      <c r="E51" s="463"/>
      <c r="F51" s="463"/>
      <c r="G51" s="463"/>
      <c r="H51" s="463"/>
      <c r="L51" s="465"/>
    </row>
    <row r="52" spans="2:16" s="17" customFormat="1" x14ac:dyDescent="0.25">
      <c r="B52" s="72"/>
      <c r="C52" s="10"/>
      <c r="D52" s="462"/>
      <c r="E52" s="462"/>
      <c r="F52" s="462"/>
      <c r="G52" s="462"/>
      <c r="H52" s="462"/>
      <c r="L52" s="222"/>
      <c r="M52" s="767"/>
      <c r="O52" s="10"/>
      <c r="P52" s="10"/>
    </row>
    <row r="53" spans="2:16" x14ac:dyDescent="0.25">
      <c r="B53" s="72"/>
      <c r="D53" s="462"/>
      <c r="E53" s="462"/>
      <c r="F53" s="463"/>
      <c r="G53" s="463"/>
      <c r="H53" s="463"/>
      <c r="L53" s="222"/>
    </row>
    <row r="54" spans="2:16" s="17" customFormat="1" x14ac:dyDescent="0.25">
      <c r="B54" s="62"/>
      <c r="D54" s="462"/>
      <c r="E54" s="462"/>
      <c r="F54" s="462"/>
      <c r="G54" s="462"/>
      <c r="H54" s="462"/>
      <c r="L54" s="465"/>
      <c r="M54" s="767"/>
      <c r="O54" s="10"/>
      <c r="P54" s="10"/>
    </row>
    <row r="55" spans="2:16" s="17" customFormat="1" x14ac:dyDescent="0.25">
      <c r="B55" s="171"/>
      <c r="C55" s="172"/>
      <c r="D55" s="462"/>
      <c r="E55" s="462"/>
      <c r="F55" s="462"/>
      <c r="G55" s="462"/>
      <c r="H55" s="462"/>
      <c r="L55" s="222"/>
      <c r="M55" s="767"/>
      <c r="O55" s="10"/>
      <c r="P55" s="10"/>
    </row>
    <row r="56" spans="2:16" s="17" customFormat="1" x14ac:dyDescent="0.25">
      <c r="B56" s="171"/>
      <c r="C56" s="172"/>
      <c r="D56" s="462"/>
      <c r="E56" s="462"/>
      <c r="F56" s="462"/>
      <c r="G56" s="462"/>
      <c r="H56" s="462"/>
      <c r="L56" s="222"/>
      <c r="M56" s="767"/>
    </row>
    <row r="57" spans="2:16" x14ac:dyDescent="0.25">
      <c r="B57" s="466"/>
      <c r="C57" s="464"/>
      <c r="D57" s="463"/>
      <c r="E57" s="463"/>
      <c r="F57" s="463"/>
      <c r="G57" s="463"/>
      <c r="H57" s="463"/>
      <c r="L57" s="222"/>
      <c r="M57" s="767"/>
      <c r="O57" s="17"/>
      <c r="P57" s="17"/>
    </row>
    <row r="58" spans="2:16" x14ac:dyDescent="0.25">
      <c r="B58" s="466"/>
      <c r="C58" s="464"/>
      <c r="D58" s="463"/>
      <c r="E58" s="463"/>
      <c r="F58" s="463"/>
      <c r="G58" s="248"/>
      <c r="H58" s="407"/>
      <c r="L58" s="222"/>
      <c r="M58" s="767"/>
      <c r="O58" s="17"/>
      <c r="P58" s="17"/>
    </row>
    <row r="59" spans="2:16" x14ac:dyDescent="0.25">
      <c r="B59" s="466"/>
      <c r="C59" s="172"/>
      <c r="D59" s="463"/>
      <c r="E59" s="463"/>
      <c r="F59" s="463"/>
      <c r="G59" s="463"/>
      <c r="H59" s="463"/>
      <c r="L59" s="465"/>
      <c r="M59" s="767"/>
    </row>
    <row r="60" spans="2:16" s="17" customFormat="1" x14ac:dyDescent="0.25">
      <c r="B60" s="171"/>
      <c r="C60" s="172"/>
      <c r="D60" s="467"/>
      <c r="E60" s="467"/>
      <c r="F60" s="467"/>
      <c r="G60" s="467"/>
      <c r="H60" s="467"/>
      <c r="L60" s="465"/>
      <c r="M60" s="767"/>
      <c r="O60" s="10"/>
      <c r="P60" s="10"/>
    </row>
    <row r="62" spans="2:16" x14ac:dyDescent="0.25">
      <c r="B62" s="468"/>
      <c r="D62" s="469"/>
      <c r="E62" s="469"/>
      <c r="F62" s="469"/>
      <c r="G62" s="469"/>
      <c r="H62" s="469"/>
      <c r="I62" s="469"/>
      <c r="J62" s="469"/>
      <c r="K62" s="469"/>
      <c r="O62" s="17"/>
      <c r="P62" s="17"/>
    </row>
  </sheetData>
  <mergeCells count="3">
    <mergeCell ref="B2:E2"/>
    <mergeCell ref="B3:E3"/>
    <mergeCell ref="B4:E4"/>
  </mergeCells>
  <pageMargins left="1.1200000000000001" right="0.27" top="1.24" bottom="1" header="0.5" footer="0.5"/>
  <pageSetup paperSize="9" scale="76"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L29"/>
  <sheetViews>
    <sheetView showGridLines="0" workbookViewId="0">
      <selection activeCell="E4" sqref="E4"/>
    </sheetView>
  </sheetViews>
  <sheetFormatPr defaultColWidth="9.1796875" defaultRowHeight="14" x14ac:dyDescent="0.3"/>
  <cols>
    <col min="1" max="1" width="9.1796875" style="546"/>
    <col min="2" max="2" width="21.54296875" style="546" customWidth="1"/>
    <col min="3" max="3" width="23" style="546" customWidth="1"/>
    <col min="4" max="4" width="19.453125" style="546" customWidth="1"/>
    <col min="5" max="5" width="21.54296875" style="546" customWidth="1"/>
    <col min="6" max="6" width="38" style="546" customWidth="1"/>
    <col min="7" max="7" width="24.453125" style="546" customWidth="1"/>
    <col min="8" max="8" width="10.54296875" style="546" bestFit="1" customWidth="1"/>
    <col min="9" max="257" width="9.1796875" style="546"/>
    <col min="258" max="258" width="21.54296875" style="546" customWidth="1"/>
    <col min="259" max="259" width="27.81640625" style="546" customWidth="1"/>
    <col min="260" max="260" width="33.81640625" style="546" customWidth="1"/>
    <col min="261" max="261" width="60" style="546" customWidth="1"/>
    <col min="262" max="262" width="164.1796875" style="546" customWidth="1"/>
    <col min="263" max="263" width="24.453125" style="546" customWidth="1"/>
    <col min="264" max="264" width="10.54296875" style="546" bestFit="1" customWidth="1"/>
    <col min="265" max="513" width="9.1796875" style="546"/>
    <col min="514" max="514" width="21.54296875" style="546" customWidth="1"/>
    <col min="515" max="515" width="27.81640625" style="546" customWidth="1"/>
    <col min="516" max="516" width="33.81640625" style="546" customWidth="1"/>
    <col min="517" max="517" width="60" style="546" customWidth="1"/>
    <col min="518" max="518" width="164.1796875" style="546" customWidth="1"/>
    <col min="519" max="519" width="24.453125" style="546" customWidth="1"/>
    <col min="520" max="520" width="10.54296875" style="546" bestFit="1" customWidth="1"/>
    <col min="521" max="769" width="9.1796875" style="546"/>
    <col min="770" max="770" width="21.54296875" style="546" customWidth="1"/>
    <col min="771" max="771" width="27.81640625" style="546" customWidth="1"/>
    <col min="772" max="772" width="33.81640625" style="546" customWidth="1"/>
    <col min="773" max="773" width="60" style="546" customWidth="1"/>
    <col min="774" max="774" width="164.1796875" style="546" customWidth="1"/>
    <col min="775" max="775" width="24.453125" style="546" customWidth="1"/>
    <col min="776" max="776" width="10.54296875" style="546" bestFit="1" customWidth="1"/>
    <col min="777" max="1025" width="9.1796875" style="546"/>
    <col min="1026" max="1026" width="21.54296875" style="546" customWidth="1"/>
    <col min="1027" max="1027" width="27.81640625" style="546" customWidth="1"/>
    <col min="1028" max="1028" width="33.81640625" style="546" customWidth="1"/>
    <col min="1029" max="1029" width="60" style="546" customWidth="1"/>
    <col min="1030" max="1030" width="164.1796875" style="546" customWidth="1"/>
    <col min="1031" max="1031" width="24.453125" style="546" customWidth="1"/>
    <col min="1032" max="1032" width="10.54296875" style="546" bestFit="1" customWidth="1"/>
    <col min="1033" max="1281" width="9.1796875" style="546"/>
    <col min="1282" max="1282" width="21.54296875" style="546" customWidth="1"/>
    <col min="1283" max="1283" width="27.81640625" style="546" customWidth="1"/>
    <col min="1284" max="1284" width="33.81640625" style="546" customWidth="1"/>
    <col min="1285" max="1285" width="60" style="546" customWidth="1"/>
    <col min="1286" max="1286" width="164.1796875" style="546" customWidth="1"/>
    <col min="1287" max="1287" width="24.453125" style="546" customWidth="1"/>
    <col min="1288" max="1288" width="10.54296875" style="546" bestFit="1" customWidth="1"/>
    <col min="1289" max="1537" width="9.1796875" style="546"/>
    <col min="1538" max="1538" width="21.54296875" style="546" customWidth="1"/>
    <col min="1539" max="1539" width="27.81640625" style="546" customWidth="1"/>
    <col min="1540" max="1540" width="33.81640625" style="546" customWidth="1"/>
    <col min="1541" max="1541" width="60" style="546" customWidth="1"/>
    <col min="1542" max="1542" width="164.1796875" style="546" customWidth="1"/>
    <col min="1543" max="1543" width="24.453125" style="546" customWidth="1"/>
    <col min="1544" max="1544" width="10.54296875" style="546" bestFit="1" customWidth="1"/>
    <col min="1545" max="1793" width="9.1796875" style="546"/>
    <col min="1794" max="1794" width="21.54296875" style="546" customWidth="1"/>
    <col min="1795" max="1795" width="27.81640625" style="546" customWidth="1"/>
    <col min="1796" max="1796" width="33.81640625" style="546" customWidth="1"/>
    <col min="1797" max="1797" width="60" style="546" customWidth="1"/>
    <col min="1798" max="1798" width="164.1796875" style="546" customWidth="1"/>
    <col min="1799" max="1799" width="24.453125" style="546" customWidth="1"/>
    <col min="1800" max="1800" width="10.54296875" style="546" bestFit="1" customWidth="1"/>
    <col min="1801" max="2049" width="9.1796875" style="546"/>
    <col min="2050" max="2050" width="21.54296875" style="546" customWidth="1"/>
    <col min="2051" max="2051" width="27.81640625" style="546" customWidth="1"/>
    <col min="2052" max="2052" width="33.81640625" style="546" customWidth="1"/>
    <col min="2053" max="2053" width="60" style="546" customWidth="1"/>
    <col min="2054" max="2054" width="164.1796875" style="546" customWidth="1"/>
    <col min="2055" max="2055" width="24.453125" style="546" customWidth="1"/>
    <col min="2056" max="2056" width="10.54296875" style="546" bestFit="1" customWidth="1"/>
    <col min="2057" max="2305" width="9.1796875" style="546"/>
    <col min="2306" max="2306" width="21.54296875" style="546" customWidth="1"/>
    <col min="2307" max="2307" width="27.81640625" style="546" customWidth="1"/>
    <col min="2308" max="2308" width="33.81640625" style="546" customWidth="1"/>
    <col min="2309" max="2309" width="60" style="546" customWidth="1"/>
    <col min="2310" max="2310" width="164.1796875" style="546" customWidth="1"/>
    <col min="2311" max="2311" width="24.453125" style="546" customWidth="1"/>
    <col min="2312" max="2312" width="10.54296875" style="546" bestFit="1" customWidth="1"/>
    <col min="2313" max="2561" width="9.1796875" style="546"/>
    <col min="2562" max="2562" width="21.54296875" style="546" customWidth="1"/>
    <col min="2563" max="2563" width="27.81640625" style="546" customWidth="1"/>
    <col min="2564" max="2564" width="33.81640625" style="546" customWidth="1"/>
    <col min="2565" max="2565" width="60" style="546" customWidth="1"/>
    <col min="2566" max="2566" width="164.1796875" style="546" customWidth="1"/>
    <col min="2567" max="2567" width="24.453125" style="546" customWidth="1"/>
    <col min="2568" max="2568" width="10.54296875" style="546" bestFit="1" customWidth="1"/>
    <col min="2569" max="2817" width="9.1796875" style="546"/>
    <col min="2818" max="2818" width="21.54296875" style="546" customWidth="1"/>
    <col min="2819" max="2819" width="27.81640625" style="546" customWidth="1"/>
    <col min="2820" max="2820" width="33.81640625" style="546" customWidth="1"/>
    <col min="2821" max="2821" width="60" style="546" customWidth="1"/>
    <col min="2822" max="2822" width="164.1796875" style="546" customWidth="1"/>
    <col min="2823" max="2823" width="24.453125" style="546" customWidth="1"/>
    <col min="2824" max="2824" width="10.54296875" style="546" bestFit="1" customWidth="1"/>
    <col min="2825" max="3073" width="9.1796875" style="546"/>
    <col min="3074" max="3074" width="21.54296875" style="546" customWidth="1"/>
    <col min="3075" max="3075" width="27.81640625" style="546" customWidth="1"/>
    <col min="3076" max="3076" width="33.81640625" style="546" customWidth="1"/>
    <col min="3077" max="3077" width="60" style="546" customWidth="1"/>
    <col min="3078" max="3078" width="164.1796875" style="546" customWidth="1"/>
    <col min="3079" max="3079" width="24.453125" style="546" customWidth="1"/>
    <col min="3080" max="3080" width="10.54296875" style="546" bestFit="1" customWidth="1"/>
    <col min="3081" max="3329" width="9.1796875" style="546"/>
    <col min="3330" max="3330" width="21.54296875" style="546" customWidth="1"/>
    <col min="3331" max="3331" width="27.81640625" style="546" customWidth="1"/>
    <col min="3332" max="3332" width="33.81640625" style="546" customWidth="1"/>
    <col min="3333" max="3333" width="60" style="546" customWidth="1"/>
    <col min="3334" max="3334" width="164.1796875" style="546" customWidth="1"/>
    <col min="3335" max="3335" width="24.453125" style="546" customWidth="1"/>
    <col min="3336" max="3336" width="10.54296875" style="546" bestFit="1" customWidth="1"/>
    <col min="3337" max="3585" width="9.1796875" style="546"/>
    <col min="3586" max="3586" width="21.54296875" style="546" customWidth="1"/>
    <col min="3587" max="3587" width="27.81640625" style="546" customWidth="1"/>
    <col min="3588" max="3588" width="33.81640625" style="546" customWidth="1"/>
    <col min="3589" max="3589" width="60" style="546" customWidth="1"/>
    <col min="3590" max="3590" width="164.1796875" style="546" customWidth="1"/>
    <col min="3591" max="3591" width="24.453125" style="546" customWidth="1"/>
    <col min="3592" max="3592" width="10.54296875" style="546" bestFit="1" customWidth="1"/>
    <col min="3593" max="3841" width="9.1796875" style="546"/>
    <col min="3842" max="3842" width="21.54296875" style="546" customWidth="1"/>
    <col min="3843" max="3843" width="27.81640625" style="546" customWidth="1"/>
    <col min="3844" max="3844" width="33.81640625" style="546" customWidth="1"/>
    <col min="3845" max="3845" width="60" style="546" customWidth="1"/>
    <col min="3846" max="3846" width="164.1796875" style="546" customWidth="1"/>
    <col min="3847" max="3847" width="24.453125" style="546" customWidth="1"/>
    <col min="3848" max="3848" width="10.54296875" style="546" bestFit="1" customWidth="1"/>
    <col min="3849" max="4097" width="9.1796875" style="546"/>
    <col min="4098" max="4098" width="21.54296875" style="546" customWidth="1"/>
    <col min="4099" max="4099" width="27.81640625" style="546" customWidth="1"/>
    <col min="4100" max="4100" width="33.81640625" style="546" customWidth="1"/>
    <col min="4101" max="4101" width="60" style="546" customWidth="1"/>
    <col min="4102" max="4102" width="164.1796875" style="546" customWidth="1"/>
    <col min="4103" max="4103" width="24.453125" style="546" customWidth="1"/>
    <col min="4104" max="4104" width="10.54296875" style="546" bestFit="1" customWidth="1"/>
    <col min="4105" max="4353" width="9.1796875" style="546"/>
    <col min="4354" max="4354" width="21.54296875" style="546" customWidth="1"/>
    <col min="4355" max="4355" width="27.81640625" style="546" customWidth="1"/>
    <col min="4356" max="4356" width="33.81640625" style="546" customWidth="1"/>
    <col min="4357" max="4357" width="60" style="546" customWidth="1"/>
    <col min="4358" max="4358" width="164.1796875" style="546" customWidth="1"/>
    <col min="4359" max="4359" width="24.453125" style="546" customWidth="1"/>
    <col min="4360" max="4360" width="10.54296875" style="546" bestFit="1" customWidth="1"/>
    <col min="4361" max="4609" width="9.1796875" style="546"/>
    <col min="4610" max="4610" width="21.54296875" style="546" customWidth="1"/>
    <col min="4611" max="4611" width="27.81640625" style="546" customWidth="1"/>
    <col min="4612" max="4612" width="33.81640625" style="546" customWidth="1"/>
    <col min="4613" max="4613" width="60" style="546" customWidth="1"/>
    <col min="4614" max="4614" width="164.1796875" style="546" customWidth="1"/>
    <col min="4615" max="4615" width="24.453125" style="546" customWidth="1"/>
    <col min="4616" max="4616" width="10.54296875" style="546" bestFit="1" customWidth="1"/>
    <col min="4617" max="4865" width="9.1796875" style="546"/>
    <col min="4866" max="4866" width="21.54296875" style="546" customWidth="1"/>
    <col min="4867" max="4867" width="27.81640625" style="546" customWidth="1"/>
    <col min="4868" max="4868" width="33.81640625" style="546" customWidth="1"/>
    <col min="4869" max="4869" width="60" style="546" customWidth="1"/>
    <col min="4870" max="4870" width="164.1796875" style="546" customWidth="1"/>
    <col min="4871" max="4871" width="24.453125" style="546" customWidth="1"/>
    <col min="4872" max="4872" width="10.54296875" style="546" bestFit="1" customWidth="1"/>
    <col min="4873" max="5121" width="9.1796875" style="546"/>
    <col min="5122" max="5122" width="21.54296875" style="546" customWidth="1"/>
    <col min="5123" max="5123" width="27.81640625" style="546" customWidth="1"/>
    <col min="5124" max="5124" width="33.81640625" style="546" customWidth="1"/>
    <col min="5125" max="5125" width="60" style="546" customWidth="1"/>
    <col min="5126" max="5126" width="164.1796875" style="546" customWidth="1"/>
    <col min="5127" max="5127" width="24.453125" style="546" customWidth="1"/>
    <col min="5128" max="5128" width="10.54296875" style="546" bestFit="1" customWidth="1"/>
    <col min="5129" max="5377" width="9.1796875" style="546"/>
    <col min="5378" max="5378" width="21.54296875" style="546" customWidth="1"/>
    <col min="5379" max="5379" width="27.81640625" style="546" customWidth="1"/>
    <col min="5380" max="5380" width="33.81640625" style="546" customWidth="1"/>
    <col min="5381" max="5381" width="60" style="546" customWidth="1"/>
    <col min="5382" max="5382" width="164.1796875" style="546" customWidth="1"/>
    <col min="5383" max="5383" width="24.453125" style="546" customWidth="1"/>
    <col min="5384" max="5384" width="10.54296875" style="546" bestFit="1" customWidth="1"/>
    <col min="5385" max="5633" width="9.1796875" style="546"/>
    <col min="5634" max="5634" width="21.54296875" style="546" customWidth="1"/>
    <col min="5635" max="5635" width="27.81640625" style="546" customWidth="1"/>
    <col min="5636" max="5636" width="33.81640625" style="546" customWidth="1"/>
    <col min="5637" max="5637" width="60" style="546" customWidth="1"/>
    <col min="5638" max="5638" width="164.1796875" style="546" customWidth="1"/>
    <col min="5639" max="5639" width="24.453125" style="546" customWidth="1"/>
    <col min="5640" max="5640" width="10.54296875" style="546" bestFit="1" customWidth="1"/>
    <col min="5641" max="5889" width="9.1796875" style="546"/>
    <col min="5890" max="5890" width="21.54296875" style="546" customWidth="1"/>
    <col min="5891" max="5891" width="27.81640625" style="546" customWidth="1"/>
    <col min="5892" max="5892" width="33.81640625" style="546" customWidth="1"/>
    <col min="5893" max="5893" width="60" style="546" customWidth="1"/>
    <col min="5894" max="5894" width="164.1796875" style="546" customWidth="1"/>
    <col min="5895" max="5895" width="24.453125" style="546" customWidth="1"/>
    <col min="5896" max="5896" width="10.54296875" style="546" bestFit="1" customWidth="1"/>
    <col min="5897" max="6145" width="9.1796875" style="546"/>
    <col min="6146" max="6146" width="21.54296875" style="546" customWidth="1"/>
    <col min="6147" max="6147" width="27.81640625" style="546" customWidth="1"/>
    <col min="6148" max="6148" width="33.81640625" style="546" customWidth="1"/>
    <col min="6149" max="6149" width="60" style="546" customWidth="1"/>
    <col min="6150" max="6150" width="164.1796875" style="546" customWidth="1"/>
    <col min="6151" max="6151" width="24.453125" style="546" customWidth="1"/>
    <col min="6152" max="6152" width="10.54296875" style="546" bestFit="1" customWidth="1"/>
    <col min="6153" max="6401" width="9.1796875" style="546"/>
    <col min="6402" max="6402" width="21.54296875" style="546" customWidth="1"/>
    <col min="6403" max="6403" width="27.81640625" style="546" customWidth="1"/>
    <col min="6404" max="6404" width="33.81640625" style="546" customWidth="1"/>
    <col min="6405" max="6405" width="60" style="546" customWidth="1"/>
    <col min="6406" max="6406" width="164.1796875" style="546" customWidth="1"/>
    <col min="6407" max="6407" width="24.453125" style="546" customWidth="1"/>
    <col min="6408" max="6408" width="10.54296875" style="546" bestFit="1" customWidth="1"/>
    <col min="6409" max="6657" width="9.1796875" style="546"/>
    <col min="6658" max="6658" width="21.54296875" style="546" customWidth="1"/>
    <col min="6659" max="6659" width="27.81640625" style="546" customWidth="1"/>
    <col min="6660" max="6660" width="33.81640625" style="546" customWidth="1"/>
    <col min="6661" max="6661" width="60" style="546" customWidth="1"/>
    <col min="6662" max="6662" width="164.1796875" style="546" customWidth="1"/>
    <col min="6663" max="6663" width="24.453125" style="546" customWidth="1"/>
    <col min="6664" max="6664" width="10.54296875" style="546" bestFit="1" customWidth="1"/>
    <col min="6665" max="6913" width="9.1796875" style="546"/>
    <col min="6914" max="6914" width="21.54296875" style="546" customWidth="1"/>
    <col min="6915" max="6915" width="27.81640625" style="546" customWidth="1"/>
    <col min="6916" max="6916" width="33.81640625" style="546" customWidth="1"/>
    <col min="6917" max="6917" width="60" style="546" customWidth="1"/>
    <col min="6918" max="6918" width="164.1796875" style="546" customWidth="1"/>
    <col min="6919" max="6919" width="24.453125" style="546" customWidth="1"/>
    <col min="6920" max="6920" width="10.54296875" style="546" bestFit="1" customWidth="1"/>
    <col min="6921" max="7169" width="9.1796875" style="546"/>
    <col min="7170" max="7170" width="21.54296875" style="546" customWidth="1"/>
    <col min="7171" max="7171" width="27.81640625" style="546" customWidth="1"/>
    <col min="7172" max="7172" width="33.81640625" style="546" customWidth="1"/>
    <col min="7173" max="7173" width="60" style="546" customWidth="1"/>
    <col min="7174" max="7174" width="164.1796875" style="546" customWidth="1"/>
    <col min="7175" max="7175" width="24.453125" style="546" customWidth="1"/>
    <col min="7176" max="7176" width="10.54296875" style="546" bestFit="1" customWidth="1"/>
    <col min="7177" max="7425" width="9.1796875" style="546"/>
    <col min="7426" max="7426" width="21.54296875" style="546" customWidth="1"/>
    <col min="7427" max="7427" width="27.81640625" style="546" customWidth="1"/>
    <col min="7428" max="7428" width="33.81640625" style="546" customWidth="1"/>
    <col min="7429" max="7429" width="60" style="546" customWidth="1"/>
    <col min="7430" max="7430" width="164.1796875" style="546" customWidth="1"/>
    <col min="7431" max="7431" width="24.453125" style="546" customWidth="1"/>
    <col min="7432" max="7432" width="10.54296875" style="546" bestFit="1" customWidth="1"/>
    <col min="7433" max="7681" width="9.1796875" style="546"/>
    <col min="7682" max="7682" width="21.54296875" style="546" customWidth="1"/>
    <col min="7683" max="7683" width="27.81640625" style="546" customWidth="1"/>
    <col min="7684" max="7684" width="33.81640625" style="546" customWidth="1"/>
    <col min="7685" max="7685" width="60" style="546" customWidth="1"/>
    <col min="7686" max="7686" width="164.1796875" style="546" customWidth="1"/>
    <col min="7687" max="7687" width="24.453125" style="546" customWidth="1"/>
    <col min="7688" max="7688" width="10.54296875" style="546" bestFit="1" customWidth="1"/>
    <col min="7689" max="7937" width="9.1796875" style="546"/>
    <col min="7938" max="7938" width="21.54296875" style="546" customWidth="1"/>
    <col min="7939" max="7939" width="27.81640625" style="546" customWidth="1"/>
    <col min="7940" max="7940" width="33.81640625" style="546" customWidth="1"/>
    <col min="7941" max="7941" width="60" style="546" customWidth="1"/>
    <col min="7942" max="7942" width="164.1796875" style="546" customWidth="1"/>
    <col min="7943" max="7943" width="24.453125" style="546" customWidth="1"/>
    <col min="7944" max="7944" width="10.54296875" style="546" bestFit="1" customWidth="1"/>
    <col min="7945" max="8193" width="9.1796875" style="546"/>
    <col min="8194" max="8194" width="21.54296875" style="546" customWidth="1"/>
    <col min="8195" max="8195" width="27.81640625" style="546" customWidth="1"/>
    <col min="8196" max="8196" width="33.81640625" style="546" customWidth="1"/>
    <col min="8197" max="8197" width="60" style="546" customWidth="1"/>
    <col min="8198" max="8198" width="164.1796875" style="546" customWidth="1"/>
    <col min="8199" max="8199" width="24.453125" style="546" customWidth="1"/>
    <col min="8200" max="8200" width="10.54296875" style="546" bestFit="1" customWidth="1"/>
    <col min="8201" max="8449" width="9.1796875" style="546"/>
    <col min="8450" max="8450" width="21.54296875" style="546" customWidth="1"/>
    <col min="8451" max="8451" width="27.81640625" style="546" customWidth="1"/>
    <col min="8452" max="8452" width="33.81640625" style="546" customWidth="1"/>
    <col min="8453" max="8453" width="60" style="546" customWidth="1"/>
    <col min="8454" max="8454" width="164.1796875" style="546" customWidth="1"/>
    <col min="8455" max="8455" width="24.453125" style="546" customWidth="1"/>
    <col min="8456" max="8456" width="10.54296875" style="546" bestFit="1" customWidth="1"/>
    <col min="8457" max="8705" width="9.1796875" style="546"/>
    <col min="8706" max="8706" width="21.54296875" style="546" customWidth="1"/>
    <col min="8707" max="8707" width="27.81640625" style="546" customWidth="1"/>
    <col min="8708" max="8708" width="33.81640625" style="546" customWidth="1"/>
    <col min="8709" max="8709" width="60" style="546" customWidth="1"/>
    <col min="8710" max="8710" width="164.1796875" style="546" customWidth="1"/>
    <col min="8711" max="8711" width="24.453125" style="546" customWidth="1"/>
    <col min="8712" max="8712" width="10.54296875" style="546" bestFit="1" customWidth="1"/>
    <col min="8713" max="8961" width="9.1796875" style="546"/>
    <col min="8962" max="8962" width="21.54296875" style="546" customWidth="1"/>
    <col min="8963" max="8963" width="27.81640625" style="546" customWidth="1"/>
    <col min="8964" max="8964" width="33.81640625" style="546" customWidth="1"/>
    <col min="8965" max="8965" width="60" style="546" customWidth="1"/>
    <col min="8966" max="8966" width="164.1796875" style="546" customWidth="1"/>
    <col min="8967" max="8967" width="24.453125" style="546" customWidth="1"/>
    <col min="8968" max="8968" width="10.54296875" style="546" bestFit="1" customWidth="1"/>
    <col min="8969" max="9217" width="9.1796875" style="546"/>
    <col min="9218" max="9218" width="21.54296875" style="546" customWidth="1"/>
    <col min="9219" max="9219" width="27.81640625" style="546" customWidth="1"/>
    <col min="9220" max="9220" width="33.81640625" style="546" customWidth="1"/>
    <col min="9221" max="9221" width="60" style="546" customWidth="1"/>
    <col min="9222" max="9222" width="164.1796875" style="546" customWidth="1"/>
    <col min="9223" max="9223" width="24.453125" style="546" customWidth="1"/>
    <col min="9224" max="9224" width="10.54296875" style="546" bestFit="1" customWidth="1"/>
    <col min="9225" max="9473" width="9.1796875" style="546"/>
    <col min="9474" max="9474" width="21.54296875" style="546" customWidth="1"/>
    <col min="9475" max="9475" width="27.81640625" style="546" customWidth="1"/>
    <col min="9476" max="9476" width="33.81640625" style="546" customWidth="1"/>
    <col min="9477" max="9477" width="60" style="546" customWidth="1"/>
    <col min="9478" max="9478" width="164.1796875" style="546" customWidth="1"/>
    <col min="9479" max="9479" width="24.453125" style="546" customWidth="1"/>
    <col min="9480" max="9480" width="10.54296875" style="546" bestFit="1" customWidth="1"/>
    <col min="9481" max="9729" width="9.1796875" style="546"/>
    <col min="9730" max="9730" width="21.54296875" style="546" customWidth="1"/>
    <col min="9731" max="9731" width="27.81640625" style="546" customWidth="1"/>
    <col min="9732" max="9732" width="33.81640625" style="546" customWidth="1"/>
    <col min="9733" max="9733" width="60" style="546" customWidth="1"/>
    <col min="9734" max="9734" width="164.1796875" style="546" customWidth="1"/>
    <col min="9735" max="9735" width="24.453125" style="546" customWidth="1"/>
    <col min="9736" max="9736" width="10.54296875" style="546" bestFit="1" customWidth="1"/>
    <col min="9737" max="9985" width="9.1796875" style="546"/>
    <col min="9986" max="9986" width="21.54296875" style="546" customWidth="1"/>
    <col min="9987" max="9987" width="27.81640625" style="546" customWidth="1"/>
    <col min="9988" max="9988" width="33.81640625" style="546" customWidth="1"/>
    <col min="9989" max="9989" width="60" style="546" customWidth="1"/>
    <col min="9990" max="9990" width="164.1796875" style="546" customWidth="1"/>
    <col min="9991" max="9991" width="24.453125" style="546" customWidth="1"/>
    <col min="9992" max="9992" width="10.54296875" style="546" bestFit="1" customWidth="1"/>
    <col min="9993" max="10241" width="9.1796875" style="546"/>
    <col min="10242" max="10242" width="21.54296875" style="546" customWidth="1"/>
    <col min="10243" max="10243" width="27.81640625" style="546" customWidth="1"/>
    <col min="10244" max="10244" width="33.81640625" style="546" customWidth="1"/>
    <col min="10245" max="10245" width="60" style="546" customWidth="1"/>
    <col min="10246" max="10246" width="164.1796875" style="546" customWidth="1"/>
    <col min="10247" max="10247" width="24.453125" style="546" customWidth="1"/>
    <col min="10248" max="10248" width="10.54296875" style="546" bestFit="1" customWidth="1"/>
    <col min="10249" max="10497" width="9.1796875" style="546"/>
    <col min="10498" max="10498" width="21.54296875" style="546" customWidth="1"/>
    <col min="10499" max="10499" width="27.81640625" style="546" customWidth="1"/>
    <col min="10500" max="10500" width="33.81640625" style="546" customWidth="1"/>
    <col min="10501" max="10501" width="60" style="546" customWidth="1"/>
    <col min="10502" max="10502" width="164.1796875" style="546" customWidth="1"/>
    <col min="10503" max="10503" width="24.453125" style="546" customWidth="1"/>
    <col min="10504" max="10504" width="10.54296875" style="546" bestFit="1" customWidth="1"/>
    <col min="10505" max="10753" width="9.1796875" style="546"/>
    <col min="10754" max="10754" width="21.54296875" style="546" customWidth="1"/>
    <col min="10755" max="10755" width="27.81640625" style="546" customWidth="1"/>
    <col min="10756" max="10756" width="33.81640625" style="546" customWidth="1"/>
    <col min="10757" max="10757" width="60" style="546" customWidth="1"/>
    <col min="10758" max="10758" width="164.1796875" style="546" customWidth="1"/>
    <col min="10759" max="10759" width="24.453125" style="546" customWidth="1"/>
    <col min="10760" max="10760" width="10.54296875" style="546" bestFit="1" customWidth="1"/>
    <col min="10761" max="11009" width="9.1796875" style="546"/>
    <col min="11010" max="11010" width="21.54296875" style="546" customWidth="1"/>
    <col min="11011" max="11011" width="27.81640625" style="546" customWidth="1"/>
    <col min="11012" max="11012" width="33.81640625" style="546" customWidth="1"/>
    <col min="11013" max="11013" width="60" style="546" customWidth="1"/>
    <col min="11014" max="11014" width="164.1796875" style="546" customWidth="1"/>
    <col min="11015" max="11015" width="24.453125" style="546" customWidth="1"/>
    <col min="11016" max="11016" width="10.54296875" style="546" bestFit="1" customWidth="1"/>
    <col min="11017" max="11265" width="9.1796875" style="546"/>
    <col min="11266" max="11266" width="21.54296875" style="546" customWidth="1"/>
    <col min="11267" max="11267" width="27.81640625" style="546" customWidth="1"/>
    <col min="11268" max="11268" width="33.81640625" style="546" customWidth="1"/>
    <col min="11269" max="11269" width="60" style="546" customWidth="1"/>
    <col min="11270" max="11270" width="164.1796875" style="546" customWidth="1"/>
    <col min="11271" max="11271" width="24.453125" style="546" customWidth="1"/>
    <col min="11272" max="11272" width="10.54296875" style="546" bestFit="1" customWidth="1"/>
    <col min="11273" max="11521" width="9.1796875" style="546"/>
    <col min="11522" max="11522" width="21.54296875" style="546" customWidth="1"/>
    <col min="11523" max="11523" width="27.81640625" style="546" customWidth="1"/>
    <col min="11524" max="11524" width="33.81640625" style="546" customWidth="1"/>
    <col min="11525" max="11525" width="60" style="546" customWidth="1"/>
    <col min="11526" max="11526" width="164.1796875" style="546" customWidth="1"/>
    <col min="11527" max="11527" width="24.453125" style="546" customWidth="1"/>
    <col min="11528" max="11528" width="10.54296875" style="546" bestFit="1" customWidth="1"/>
    <col min="11529" max="11777" width="9.1796875" style="546"/>
    <col min="11778" max="11778" width="21.54296875" style="546" customWidth="1"/>
    <col min="11779" max="11779" width="27.81640625" style="546" customWidth="1"/>
    <col min="11780" max="11780" width="33.81640625" style="546" customWidth="1"/>
    <col min="11781" max="11781" width="60" style="546" customWidth="1"/>
    <col min="11782" max="11782" width="164.1796875" style="546" customWidth="1"/>
    <col min="11783" max="11783" width="24.453125" style="546" customWidth="1"/>
    <col min="11784" max="11784" width="10.54296875" style="546" bestFit="1" customWidth="1"/>
    <col min="11785" max="12033" width="9.1796875" style="546"/>
    <col min="12034" max="12034" width="21.54296875" style="546" customWidth="1"/>
    <col min="12035" max="12035" width="27.81640625" style="546" customWidth="1"/>
    <col min="12036" max="12036" width="33.81640625" style="546" customWidth="1"/>
    <col min="12037" max="12037" width="60" style="546" customWidth="1"/>
    <col min="12038" max="12038" width="164.1796875" style="546" customWidth="1"/>
    <col min="12039" max="12039" width="24.453125" style="546" customWidth="1"/>
    <col min="12040" max="12040" width="10.54296875" style="546" bestFit="1" customWidth="1"/>
    <col min="12041" max="12289" width="9.1796875" style="546"/>
    <col min="12290" max="12290" width="21.54296875" style="546" customWidth="1"/>
    <col min="12291" max="12291" width="27.81640625" style="546" customWidth="1"/>
    <col min="12292" max="12292" width="33.81640625" style="546" customWidth="1"/>
    <col min="12293" max="12293" width="60" style="546" customWidth="1"/>
    <col min="12294" max="12294" width="164.1796875" style="546" customWidth="1"/>
    <col min="12295" max="12295" width="24.453125" style="546" customWidth="1"/>
    <col min="12296" max="12296" width="10.54296875" style="546" bestFit="1" customWidth="1"/>
    <col min="12297" max="12545" width="9.1796875" style="546"/>
    <col min="12546" max="12546" width="21.54296875" style="546" customWidth="1"/>
    <col min="12547" max="12547" width="27.81640625" style="546" customWidth="1"/>
    <col min="12548" max="12548" width="33.81640625" style="546" customWidth="1"/>
    <col min="12549" max="12549" width="60" style="546" customWidth="1"/>
    <col min="12550" max="12550" width="164.1796875" style="546" customWidth="1"/>
    <col min="12551" max="12551" width="24.453125" style="546" customWidth="1"/>
    <col min="12552" max="12552" width="10.54296875" style="546" bestFit="1" customWidth="1"/>
    <col min="12553" max="12801" width="9.1796875" style="546"/>
    <col min="12802" max="12802" width="21.54296875" style="546" customWidth="1"/>
    <col min="12803" max="12803" width="27.81640625" style="546" customWidth="1"/>
    <col min="12804" max="12804" width="33.81640625" style="546" customWidth="1"/>
    <col min="12805" max="12805" width="60" style="546" customWidth="1"/>
    <col min="12806" max="12806" width="164.1796875" style="546" customWidth="1"/>
    <col min="12807" max="12807" width="24.453125" style="546" customWidth="1"/>
    <col min="12808" max="12808" width="10.54296875" style="546" bestFit="1" customWidth="1"/>
    <col min="12809" max="13057" width="9.1796875" style="546"/>
    <col min="13058" max="13058" width="21.54296875" style="546" customWidth="1"/>
    <col min="13059" max="13059" width="27.81640625" style="546" customWidth="1"/>
    <col min="13060" max="13060" width="33.81640625" style="546" customWidth="1"/>
    <col min="13061" max="13061" width="60" style="546" customWidth="1"/>
    <col min="13062" max="13062" width="164.1796875" style="546" customWidth="1"/>
    <col min="13063" max="13063" width="24.453125" style="546" customWidth="1"/>
    <col min="13064" max="13064" width="10.54296875" style="546" bestFit="1" customWidth="1"/>
    <col min="13065" max="13313" width="9.1796875" style="546"/>
    <col min="13314" max="13314" width="21.54296875" style="546" customWidth="1"/>
    <col min="13315" max="13315" width="27.81640625" style="546" customWidth="1"/>
    <col min="13316" max="13316" width="33.81640625" style="546" customWidth="1"/>
    <col min="13317" max="13317" width="60" style="546" customWidth="1"/>
    <col min="13318" max="13318" width="164.1796875" style="546" customWidth="1"/>
    <col min="13319" max="13319" width="24.453125" style="546" customWidth="1"/>
    <col min="13320" max="13320" width="10.54296875" style="546" bestFit="1" customWidth="1"/>
    <col min="13321" max="13569" width="9.1796875" style="546"/>
    <col min="13570" max="13570" width="21.54296875" style="546" customWidth="1"/>
    <col min="13571" max="13571" width="27.81640625" style="546" customWidth="1"/>
    <col min="13572" max="13572" width="33.81640625" style="546" customWidth="1"/>
    <col min="13573" max="13573" width="60" style="546" customWidth="1"/>
    <col min="13574" max="13574" width="164.1796875" style="546" customWidth="1"/>
    <col min="13575" max="13575" width="24.453125" style="546" customWidth="1"/>
    <col min="13576" max="13576" width="10.54296875" style="546" bestFit="1" customWidth="1"/>
    <col min="13577" max="13825" width="9.1796875" style="546"/>
    <col min="13826" max="13826" width="21.54296875" style="546" customWidth="1"/>
    <col min="13827" max="13827" width="27.81640625" style="546" customWidth="1"/>
    <col min="13828" max="13828" width="33.81640625" style="546" customWidth="1"/>
    <col min="13829" max="13829" width="60" style="546" customWidth="1"/>
    <col min="13830" max="13830" width="164.1796875" style="546" customWidth="1"/>
    <col min="13831" max="13831" width="24.453125" style="546" customWidth="1"/>
    <col min="13832" max="13832" width="10.54296875" style="546" bestFit="1" customWidth="1"/>
    <col min="13833" max="14081" width="9.1796875" style="546"/>
    <col min="14082" max="14082" width="21.54296875" style="546" customWidth="1"/>
    <col min="14083" max="14083" width="27.81640625" style="546" customWidth="1"/>
    <col min="14084" max="14084" width="33.81640625" style="546" customWidth="1"/>
    <col min="14085" max="14085" width="60" style="546" customWidth="1"/>
    <col min="14086" max="14086" width="164.1796875" style="546" customWidth="1"/>
    <col min="14087" max="14087" width="24.453125" style="546" customWidth="1"/>
    <col min="14088" max="14088" width="10.54296875" style="546" bestFit="1" customWidth="1"/>
    <col min="14089" max="14337" width="9.1796875" style="546"/>
    <col min="14338" max="14338" width="21.54296875" style="546" customWidth="1"/>
    <col min="14339" max="14339" width="27.81640625" style="546" customWidth="1"/>
    <col min="14340" max="14340" width="33.81640625" style="546" customWidth="1"/>
    <col min="14341" max="14341" width="60" style="546" customWidth="1"/>
    <col min="14342" max="14342" width="164.1796875" style="546" customWidth="1"/>
    <col min="14343" max="14343" width="24.453125" style="546" customWidth="1"/>
    <col min="14344" max="14344" width="10.54296875" style="546" bestFit="1" customWidth="1"/>
    <col min="14345" max="14593" width="9.1796875" style="546"/>
    <col min="14594" max="14594" width="21.54296875" style="546" customWidth="1"/>
    <col min="14595" max="14595" width="27.81640625" style="546" customWidth="1"/>
    <col min="14596" max="14596" width="33.81640625" style="546" customWidth="1"/>
    <col min="14597" max="14597" width="60" style="546" customWidth="1"/>
    <col min="14598" max="14598" width="164.1796875" style="546" customWidth="1"/>
    <col min="14599" max="14599" width="24.453125" style="546" customWidth="1"/>
    <col min="14600" max="14600" width="10.54296875" style="546" bestFit="1" customWidth="1"/>
    <col min="14601" max="14849" width="9.1796875" style="546"/>
    <col min="14850" max="14850" width="21.54296875" style="546" customWidth="1"/>
    <col min="14851" max="14851" width="27.81640625" style="546" customWidth="1"/>
    <col min="14852" max="14852" width="33.81640625" style="546" customWidth="1"/>
    <col min="14853" max="14853" width="60" style="546" customWidth="1"/>
    <col min="14854" max="14854" width="164.1796875" style="546" customWidth="1"/>
    <col min="14855" max="14855" width="24.453125" style="546" customWidth="1"/>
    <col min="14856" max="14856" width="10.54296875" style="546" bestFit="1" customWidth="1"/>
    <col min="14857" max="15105" width="9.1796875" style="546"/>
    <col min="15106" max="15106" width="21.54296875" style="546" customWidth="1"/>
    <col min="15107" max="15107" width="27.81640625" style="546" customWidth="1"/>
    <col min="15108" max="15108" width="33.81640625" style="546" customWidth="1"/>
    <col min="15109" max="15109" width="60" style="546" customWidth="1"/>
    <col min="15110" max="15110" width="164.1796875" style="546" customWidth="1"/>
    <col min="15111" max="15111" width="24.453125" style="546" customWidth="1"/>
    <col min="15112" max="15112" width="10.54296875" style="546" bestFit="1" customWidth="1"/>
    <col min="15113" max="15361" width="9.1796875" style="546"/>
    <col min="15362" max="15362" width="21.54296875" style="546" customWidth="1"/>
    <col min="15363" max="15363" width="27.81640625" style="546" customWidth="1"/>
    <col min="15364" max="15364" width="33.81640625" style="546" customWidth="1"/>
    <col min="15365" max="15365" width="60" style="546" customWidth="1"/>
    <col min="15366" max="15366" width="164.1796875" style="546" customWidth="1"/>
    <col min="15367" max="15367" width="24.453125" style="546" customWidth="1"/>
    <col min="15368" max="15368" width="10.54296875" style="546" bestFit="1" customWidth="1"/>
    <col min="15369" max="15617" width="9.1796875" style="546"/>
    <col min="15618" max="15618" width="21.54296875" style="546" customWidth="1"/>
    <col min="15619" max="15619" width="27.81640625" style="546" customWidth="1"/>
    <col min="15620" max="15620" width="33.81640625" style="546" customWidth="1"/>
    <col min="15621" max="15621" width="60" style="546" customWidth="1"/>
    <col min="15622" max="15622" width="164.1796875" style="546" customWidth="1"/>
    <col min="15623" max="15623" width="24.453125" style="546" customWidth="1"/>
    <col min="15624" max="15624" width="10.54296875" style="546" bestFit="1" customWidth="1"/>
    <col min="15625" max="15873" width="9.1796875" style="546"/>
    <col min="15874" max="15874" width="21.54296875" style="546" customWidth="1"/>
    <col min="15875" max="15875" width="27.81640625" style="546" customWidth="1"/>
    <col min="15876" max="15876" width="33.81640625" style="546" customWidth="1"/>
    <col min="15877" max="15877" width="60" style="546" customWidth="1"/>
    <col min="15878" max="15878" width="164.1796875" style="546" customWidth="1"/>
    <col min="15879" max="15879" width="24.453125" style="546" customWidth="1"/>
    <col min="15880" max="15880" width="10.54296875" style="546" bestFit="1" customWidth="1"/>
    <col min="15881" max="16129" width="9.1796875" style="546"/>
    <col min="16130" max="16130" width="21.54296875" style="546" customWidth="1"/>
    <col min="16131" max="16131" width="27.81640625" style="546" customWidth="1"/>
    <col min="16132" max="16132" width="33.81640625" style="546" customWidth="1"/>
    <col min="16133" max="16133" width="60" style="546" customWidth="1"/>
    <col min="16134" max="16134" width="164.1796875" style="546" customWidth="1"/>
    <col min="16135" max="16135" width="24.453125" style="546" customWidth="1"/>
    <col min="16136" max="16136" width="10.54296875" style="546" bestFit="1" customWidth="1"/>
    <col min="16137" max="16384" width="9.1796875" style="546"/>
  </cols>
  <sheetData>
    <row r="1" spans="2:12" x14ac:dyDescent="0.3">
      <c r="C1" s="562"/>
      <c r="D1" s="562"/>
    </row>
    <row r="2" spans="2:12" x14ac:dyDescent="0.3">
      <c r="C2" s="67"/>
      <c r="D2" s="67"/>
      <c r="E2" s="62" t="str">
        <f>Index!B2</f>
        <v xml:space="preserve">      Maharashtra State Power Generation Company Ltd.</v>
      </c>
      <c r="F2" s="67"/>
      <c r="G2" s="67"/>
      <c r="H2" s="67"/>
      <c r="I2" s="67"/>
    </row>
    <row r="3" spans="2:12" x14ac:dyDescent="0.3">
      <c r="C3" s="342"/>
      <c r="D3" s="342"/>
      <c r="E3" s="63" t="s">
        <v>3039</v>
      </c>
      <c r="F3" s="342"/>
      <c r="G3" s="342"/>
      <c r="H3" s="342"/>
      <c r="I3" s="342"/>
    </row>
    <row r="4" spans="2:12" x14ac:dyDescent="0.3">
      <c r="C4" s="342"/>
      <c r="D4" s="342"/>
      <c r="E4" s="63" t="s">
        <v>953</v>
      </c>
      <c r="F4" s="342"/>
      <c r="G4" s="342"/>
      <c r="H4" s="342"/>
      <c r="I4" s="342"/>
    </row>
    <row r="5" spans="2:12" x14ac:dyDescent="0.3">
      <c r="B5" s="563"/>
      <c r="C5" s="563"/>
      <c r="D5" s="563"/>
    </row>
    <row r="6" spans="2:12" s="565" customFormat="1" ht="42" x14ac:dyDescent="0.25">
      <c r="B6" s="564" t="s">
        <v>35</v>
      </c>
      <c r="C6" s="564" t="s">
        <v>954</v>
      </c>
      <c r="D6" s="564" t="s">
        <v>955</v>
      </c>
      <c r="E6" s="564" t="s">
        <v>956</v>
      </c>
      <c r="F6" s="564" t="s">
        <v>957</v>
      </c>
    </row>
    <row r="7" spans="2:12" s="565" customFormat="1" ht="98" x14ac:dyDescent="0.25">
      <c r="B7" s="285"/>
      <c r="C7" s="751">
        <v>44742</v>
      </c>
      <c r="D7" s="751">
        <v>45710</v>
      </c>
      <c r="E7" s="961"/>
      <c r="F7" s="961" t="s">
        <v>3027</v>
      </c>
    </row>
    <row r="8" spans="2:12" s="565" customFormat="1" x14ac:dyDescent="0.25">
      <c r="B8" s="285"/>
      <c r="C8" s="285"/>
      <c r="D8" s="285"/>
      <c r="E8" s="285"/>
      <c r="F8" s="285"/>
    </row>
    <row r="9" spans="2:12" s="565" customFormat="1" x14ac:dyDescent="0.25">
      <c r="B9" s="285"/>
      <c r="C9" s="285"/>
      <c r="D9" s="285"/>
      <c r="E9" s="285"/>
      <c r="F9" s="285"/>
    </row>
    <row r="10" spans="2:12" s="565" customFormat="1" x14ac:dyDescent="0.25">
      <c r="B10" s="285"/>
      <c r="C10" s="285"/>
      <c r="D10" s="285"/>
      <c r="E10" s="285"/>
      <c r="F10" s="285"/>
    </row>
    <row r="11" spans="2:12" s="565" customFormat="1" x14ac:dyDescent="0.25">
      <c r="B11" s="285"/>
      <c r="C11" s="285"/>
      <c r="D11" s="285"/>
      <c r="E11" s="285"/>
      <c r="F11" s="285"/>
    </row>
    <row r="12" spans="2:12" s="565" customFormat="1" x14ac:dyDescent="0.25">
      <c r="B12" s="285"/>
      <c r="C12" s="285"/>
      <c r="D12" s="285"/>
      <c r="E12" s="285"/>
      <c r="F12" s="285"/>
    </row>
    <row r="13" spans="2:12" s="565" customFormat="1" x14ac:dyDescent="0.3">
      <c r="B13" s="566"/>
      <c r="C13" s="390"/>
      <c r="D13" s="567"/>
      <c r="E13" s="566"/>
      <c r="F13" s="390"/>
      <c r="G13" s="568"/>
      <c r="H13" s="391"/>
      <c r="I13" s="567"/>
      <c r="J13" s="569"/>
      <c r="L13" s="570"/>
    </row>
    <row r="14" spans="2:12" x14ac:dyDescent="0.3">
      <c r="B14" s="546" t="s">
        <v>958</v>
      </c>
    </row>
    <row r="29" spans="3:3" x14ac:dyDescent="0.3">
      <c r="C29" s="57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S25"/>
  <sheetViews>
    <sheetView showGridLines="0" zoomScale="75" zoomScaleNormal="75" zoomScaleSheetLayoutView="75" workbookViewId="0">
      <selection activeCell="F9" sqref="F9"/>
    </sheetView>
  </sheetViews>
  <sheetFormatPr defaultColWidth="9.453125" defaultRowHeight="14" outlineLevelCol="1" x14ac:dyDescent="0.3"/>
  <cols>
    <col min="1" max="1" width="8.453125" style="125" customWidth="1"/>
    <col min="2" max="2" width="43.81640625" style="125" bestFit="1" customWidth="1"/>
    <col min="3" max="3" width="16.81640625" style="125" customWidth="1" outlineLevel="1"/>
    <col min="4" max="4" width="14.453125" style="125" customWidth="1" outlineLevel="1"/>
    <col min="5" max="6" width="10.1796875" style="125" customWidth="1" outlineLevel="1"/>
    <col min="7" max="11" width="11.54296875" style="444" bestFit="1" customWidth="1"/>
    <col min="12" max="12" width="15.81640625" style="444" customWidth="1"/>
    <col min="13" max="13" width="16.453125" style="125" customWidth="1"/>
    <col min="14" max="14" width="15.81640625" style="125" customWidth="1"/>
    <col min="15" max="15" width="15.1796875" style="125" customWidth="1"/>
    <col min="16" max="16" width="16.54296875" style="125" customWidth="1"/>
    <col min="17" max="17" width="20.1796875" style="125" customWidth="1"/>
    <col min="18" max="18" width="12.54296875" style="125" customWidth="1"/>
    <col min="19" max="16384" width="9.453125" style="125"/>
  </cols>
  <sheetData>
    <row r="1" spans="1:19" x14ac:dyDescent="0.3">
      <c r="A1" s="123"/>
      <c r="B1" s="124"/>
    </row>
    <row r="2" spans="1:19" x14ac:dyDescent="0.3">
      <c r="A2" s="1430" t="str">
        <f>Index!B2</f>
        <v xml:space="preserve">      Maharashtra State Power Generation Company Ltd.</v>
      </c>
      <c r="B2" s="1430"/>
      <c r="C2" s="1430"/>
      <c r="D2" s="1430"/>
      <c r="E2" s="1430"/>
      <c r="F2" s="1430"/>
      <c r="G2" s="1430"/>
      <c r="H2" s="1430"/>
      <c r="I2" s="1430"/>
      <c r="J2" s="62"/>
      <c r="K2" s="1430"/>
      <c r="L2" s="1430"/>
      <c r="M2" s="1430"/>
      <c r="N2" s="1430"/>
      <c r="O2" s="1430"/>
      <c r="P2" s="1430"/>
      <c r="Q2" s="1430"/>
      <c r="R2" s="1430"/>
      <c r="S2" s="369"/>
    </row>
    <row r="3" spans="1:19" x14ac:dyDescent="0.3">
      <c r="A3" s="1430" t="str">
        <f>Index!B3</f>
        <v>MYT Petition Formats for Bhusawal Unit 6</v>
      </c>
      <c r="B3" s="1430"/>
      <c r="C3" s="1430"/>
      <c r="D3" s="1430"/>
      <c r="E3" s="1430"/>
      <c r="F3" s="1430"/>
      <c r="G3" s="1430"/>
      <c r="H3" s="1430"/>
      <c r="I3" s="1430"/>
      <c r="J3" s="62"/>
      <c r="K3" s="1430"/>
      <c r="L3" s="1430"/>
      <c r="M3" s="1430"/>
      <c r="N3" s="1430"/>
      <c r="O3" s="1430"/>
      <c r="P3" s="1430"/>
      <c r="Q3" s="1430"/>
      <c r="R3" s="1430"/>
      <c r="S3" s="369"/>
    </row>
    <row r="4" spans="1:19" x14ac:dyDescent="0.3">
      <c r="A4" s="1431" t="s">
        <v>356</v>
      </c>
      <c r="B4" s="1431"/>
      <c r="C4" s="1431"/>
      <c r="D4" s="1431"/>
      <c r="E4" s="1431"/>
      <c r="F4" s="1431"/>
      <c r="G4" s="1431"/>
      <c r="H4" s="1431"/>
      <c r="I4" s="1431"/>
      <c r="J4" s="63"/>
      <c r="K4" s="1431"/>
      <c r="L4" s="1431"/>
      <c r="M4" s="1431"/>
      <c r="N4" s="1431"/>
      <c r="O4" s="1431"/>
      <c r="P4" s="1431"/>
      <c r="Q4" s="1431"/>
      <c r="R4" s="1431"/>
      <c r="S4" s="370"/>
    </row>
    <row r="5" spans="1:19" s="162" customFormat="1" ht="36" customHeight="1" x14ac:dyDescent="0.3">
      <c r="A5" s="126"/>
      <c r="B5" s="125"/>
      <c r="C5" s="125"/>
      <c r="D5" s="125"/>
      <c r="E5" s="125"/>
      <c r="F5" s="125"/>
      <c r="G5" s="444"/>
      <c r="H5" s="438"/>
      <c r="I5" s="438"/>
      <c r="J5" s="444"/>
      <c r="K5" s="444"/>
      <c r="L5" s="444"/>
      <c r="M5" s="125"/>
      <c r="N5" s="125"/>
      <c r="O5" s="125"/>
      <c r="P5" s="125"/>
      <c r="Q5" s="125"/>
      <c r="R5" s="125"/>
    </row>
    <row r="6" spans="1:19" s="162" customFormat="1" ht="15.65" customHeight="1" x14ac:dyDescent="0.25">
      <c r="A6" s="1424" t="s">
        <v>327</v>
      </c>
      <c r="B6" s="1422" t="s">
        <v>35</v>
      </c>
      <c r="C6" s="1426" t="s">
        <v>477</v>
      </c>
      <c r="D6" s="1427"/>
      <c r="E6" s="1428"/>
      <c r="F6" s="1365"/>
      <c r="G6" s="1429" t="s">
        <v>848</v>
      </c>
      <c r="H6" s="1429"/>
      <c r="I6" s="1429"/>
      <c r="J6" s="1429"/>
      <c r="K6" s="1429"/>
      <c r="L6" s="1420" t="s">
        <v>25</v>
      </c>
    </row>
    <row r="7" spans="1:19" s="162" customFormat="1" ht="28" x14ac:dyDescent="0.25">
      <c r="A7" s="1425"/>
      <c r="B7" s="1423"/>
      <c r="C7" s="411" t="s">
        <v>1216</v>
      </c>
      <c r="D7" s="411" t="s">
        <v>827</v>
      </c>
      <c r="E7" s="203" t="s">
        <v>7</v>
      </c>
      <c r="F7" s="1367" t="s">
        <v>849</v>
      </c>
      <c r="G7" s="666" t="s">
        <v>849</v>
      </c>
      <c r="H7" s="666" t="s">
        <v>850</v>
      </c>
      <c r="I7" s="666" t="s">
        <v>851</v>
      </c>
      <c r="J7" s="666" t="s">
        <v>852</v>
      </c>
      <c r="K7" s="666" t="s">
        <v>853</v>
      </c>
      <c r="L7" s="1421"/>
    </row>
    <row r="8" spans="1:19" s="162" customFormat="1" ht="28" x14ac:dyDescent="0.25">
      <c r="A8" s="455"/>
      <c r="B8" s="454"/>
      <c r="C8" s="203"/>
      <c r="D8" s="411"/>
      <c r="E8" s="203"/>
      <c r="F8" s="203" t="s">
        <v>860</v>
      </c>
      <c r="G8" s="666" t="s">
        <v>3067</v>
      </c>
      <c r="H8" s="666" t="s">
        <v>20</v>
      </c>
      <c r="I8" s="666" t="s">
        <v>20</v>
      </c>
      <c r="J8" s="666" t="s">
        <v>20</v>
      </c>
      <c r="K8" s="666" t="s">
        <v>20</v>
      </c>
      <c r="L8" s="453"/>
    </row>
    <row r="9" spans="1:19" s="438" customFormat="1" x14ac:dyDescent="0.3">
      <c r="A9" s="434">
        <v>1</v>
      </c>
      <c r="B9" s="435" t="s">
        <v>591</v>
      </c>
      <c r="C9" s="436">
        <f>SUM('F1'!E13:E25,'F1'!E27:E29)-'F1'!E30</f>
        <v>376.30639000000002</v>
      </c>
      <c r="D9" s="436">
        <f ca="1">SUM('F1'!F13:F25,'F1'!F27:F29)-'F1'!F30</f>
        <v>120.8407225905314</v>
      </c>
      <c r="E9" s="436">
        <f ca="1">SUM('F1'!G13:G25,'F1'!G27:G29)-'F1'!G30</f>
        <v>118.20674213562801</v>
      </c>
      <c r="F9" s="436">
        <f ca="1">SUM('F1'!I13:I25,'F1'!I27:I29)-'F1'!I30-'F1'!I20+F2.4!E73</f>
        <v>1213.601199697717</v>
      </c>
      <c r="G9" s="436">
        <f ca="1">SUM('F1'!I13:I25,'F1'!I27:I29)-'F1'!I30</f>
        <v>1217.2617700785618</v>
      </c>
      <c r="H9" s="436">
        <f ca="1">SUM('F1'!J13:J25,'F1'!J27:J29)-'F1'!J30</f>
        <v>1278.4878752590605</v>
      </c>
      <c r="I9" s="436">
        <f ca="1">SUM('F1'!K13:K25,'F1'!K27:K29)-'F1'!K30</f>
        <v>1339.5553859417782</v>
      </c>
      <c r="J9" s="436">
        <f ca="1">SUM('F1'!L13:L25,'F1'!L27:L29)-'F1'!L30</f>
        <v>1407.8532114057746</v>
      </c>
      <c r="K9" s="436">
        <f ca="1">SUM('F1'!M13:M25,'F1'!M27:M29)-'F1'!M30</f>
        <v>1484.5795777052388</v>
      </c>
      <c r="L9" s="437"/>
    </row>
    <row r="10" spans="1:19" s="438" customFormat="1" x14ac:dyDescent="0.3">
      <c r="A10" s="439"/>
      <c r="B10" s="19"/>
      <c r="C10" s="19"/>
      <c r="D10" s="440"/>
      <c r="E10" s="440"/>
      <c r="F10" s="440"/>
      <c r="G10" s="408"/>
      <c r="H10" s="408"/>
      <c r="I10" s="408"/>
      <c r="J10" s="408"/>
      <c r="K10" s="408"/>
      <c r="L10" s="437"/>
    </row>
    <row r="11" spans="1:19" s="444" customFormat="1" x14ac:dyDescent="0.3">
      <c r="A11" s="409">
        <v>2</v>
      </c>
      <c r="B11" s="441" t="s">
        <v>2881</v>
      </c>
      <c r="C11" s="442">
        <f>F2.2!$E$157</f>
        <v>3.2586898395721926</v>
      </c>
      <c r="D11" s="443">
        <f>F2.2!F157</f>
        <v>3.2492332881444899</v>
      </c>
      <c r="E11" s="443">
        <f>F2.2!G157</f>
        <v>4.5268112283196755</v>
      </c>
      <c r="F11" s="443">
        <f>F2.2!$I$157</f>
        <v>3.5799164070516767</v>
      </c>
      <c r="G11" s="1012">
        <f>F2.2!J157</f>
        <v>3.9832577194252035</v>
      </c>
      <c r="H11" s="1012">
        <f>F2.2!K157</f>
        <v>3.4526562645058592</v>
      </c>
      <c r="I11" s="1012">
        <f>F2.2!L157</f>
        <v>3.5562359524410345</v>
      </c>
      <c r="J11" s="1012">
        <f>F2.2!M157</f>
        <v>3.662923031014266</v>
      </c>
      <c r="K11" s="1012">
        <f>F2.2!N157</f>
        <v>3.772810721944694</v>
      </c>
      <c r="L11" s="410"/>
    </row>
    <row r="12" spans="1:19" s="438" customFormat="1" x14ac:dyDescent="0.3">
      <c r="A12" s="439"/>
      <c r="B12" s="19"/>
      <c r="C12" s="19"/>
      <c r="D12" s="440"/>
      <c r="E12" s="440"/>
      <c r="F12" s="440"/>
      <c r="G12" s="408"/>
      <c r="H12" s="408"/>
      <c r="I12" s="408"/>
      <c r="J12" s="408"/>
      <c r="K12" s="408"/>
      <c r="L12" s="437"/>
    </row>
    <row r="13" spans="1:19" s="444" customFormat="1" ht="17.25" customHeight="1" x14ac:dyDescent="0.3">
      <c r="A13" s="409">
        <v>3</v>
      </c>
      <c r="B13" s="441" t="s">
        <v>2834</v>
      </c>
      <c r="C13" s="441"/>
      <c r="D13" s="408"/>
      <c r="E13" s="409"/>
      <c r="F13" s="409"/>
      <c r="G13" s="1014">
        <f>F2.2!J161</f>
        <v>0</v>
      </c>
      <c r="H13" s="1014">
        <f>F2.2!K161</f>
        <v>3.7044102650090061E-3</v>
      </c>
      <c r="I13" s="1014">
        <f>F2.2!L161</f>
        <v>7.6369632162496259E-3</v>
      </c>
      <c r="J13" s="1014">
        <f>F2.2!M161</f>
        <v>7.8638363232621522E-3</v>
      </c>
      <c r="K13" s="1014">
        <f>F2.2!N161</f>
        <v>8.0975156234868173E-3</v>
      </c>
      <c r="L13" s="410"/>
    </row>
    <row r="14" spans="1:19" s="444" customFormat="1" ht="17.25" customHeight="1" x14ac:dyDescent="0.3">
      <c r="A14" s="409"/>
      <c r="B14" s="441"/>
      <c r="C14" s="441"/>
      <c r="D14" s="408"/>
      <c r="E14" s="409"/>
      <c r="F14" s="409"/>
      <c r="G14" s="1014"/>
      <c r="H14" s="1014"/>
      <c r="I14" s="1014"/>
      <c r="J14" s="1014"/>
      <c r="K14" s="1014"/>
      <c r="L14" s="410"/>
    </row>
    <row r="15" spans="1:19" s="444" customFormat="1" ht="17.25" customHeight="1" x14ac:dyDescent="0.3">
      <c r="A15" s="409">
        <v>4</v>
      </c>
      <c r="B15" s="441" t="s">
        <v>2838</v>
      </c>
      <c r="C15" s="441"/>
      <c r="D15" s="408"/>
      <c r="E15" s="409"/>
      <c r="F15" s="1020">
        <f>SUM(F11,F13)</f>
        <v>3.5799164070516767</v>
      </c>
      <c r="G15" s="1020">
        <f>SUM(G11,G13)</f>
        <v>3.9832577194252035</v>
      </c>
      <c r="H15" s="1020">
        <f t="shared" ref="H15:K15" si="0">SUM(H11,H13)</f>
        <v>3.4563606747708682</v>
      </c>
      <c r="I15" s="1020">
        <f t="shared" si="0"/>
        <v>3.5638729156572841</v>
      </c>
      <c r="J15" s="1020">
        <f t="shared" si="0"/>
        <v>3.6707868673375281</v>
      </c>
      <c r="K15" s="1020">
        <f t="shared" si="0"/>
        <v>3.7809082375681808</v>
      </c>
      <c r="L15" s="410"/>
    </row>
    <row r="16" spans="1:19" s="444" customFormat="1" ht="17.25" customHeight="1" x14ac:dyDescent="0.3">
      <c r="A16" s="409"/>
      <c r="B16" s="441"/>
      <c r="C16" s="441"/>
      <c r="D16" s="408"/>
      <c r="E16" s="409"/>
      <c r="F16" s="409"/>
      <c r="G16" s="1020"/>
      <c r="H16" s="1020"/>
      <c r="I16" s="1020"/>
      <c r="J16" s="1020"/>
      <c r="K16" s="1020"/>
      <c r="L16" s="410"/>
    </row>
    <row r="17" spans="1:12" s="444" customFormat="1" ht="17.25" customHeight="1" x14ac:dyDescent="0.3">
      <c r="A17" s="409">
        <v>5</v>
      </c>
      <c r="B17" s="441" t="s">
        <v>2839</v>
      </c>
      <c r="C17" s="441"/>
      <c r="D17" s="408"/>
      <c r="E17" s="409"/>
      <c r="F17" s="1020">
        <f ca="1">F9/F2.2!I37*10</f>
        <v>3.105595685160139</v>
      </c>
      <c r="G17" s="1020">
        <f ca="1">G9/F2.2!J37*10</f>
        <v>3.1584579962103239</v>
      </c>
      <c r="H17" s="1020">
        <f ca="1">H9/F2.2!K37*10</f>
        <v>2.763180923255129</v>
      </c>
      <c r="I17" s="1020">
        <f ca="1">I9/F2.2!L37*10</f>
        <v>2.8903250484040663</v>
      </c>
      <c r="J17" s="1020">
        <f ca="1">J9/F2.2!M37*10</f>
        <v>3.0460119900281999</v>
      </c>
      <c r="K17" s="1020">
        <f ca="1">K9/F2.2!N37*10</f>
        <v>3.2120161087857935</v>
      </c>
      <c r="L17" s="410"/>
    </row>
    <row r="18" spans="1:12" s="444" customFormat="1" ht="17.25" customHeight="1" x14ac:dyDescent="0.3">
      <c r="A18" s="409"/>
      <c r="B18" s="441"/>
      <c r="C18" s="441"/>
      <c r="D18" s="408"/>
      <c r="E18" s="409"/>
      <c r="F18" s="409"/>
      <c r="G18" s="1020"/>
      <c r="H18" s="1020"/>
      <c r="I18" s="1020"/>
      <c r="J18" s="1020"/>
      <c r="K18" s="1020"/>
      <c r="L18" s="410"/>
    </row>
    <row r="19" spans="1:12" s="444" customFormat="1" ht="17.25" customHeight="1" x14ac:dyDescent="0.3">
      <c r="A19" s="409">
        <v>6</v>
      </c>
      <c r="B19" s="441" t="s">
        <v>2840</v>
      </c>
      <c r="C19" s="441"/>
      <c r="D19" s="409"/>
      <c r="E19" s="409"/>
      <c r="F19" s="1080">
        <f ca="1">SUM(F15,F17)</f>
        <v>6.6855120922118161</v>
      </c>
      <c r="G19" s="1080">
        <f ca="1">SUM(G15,G17)</f>
        <v>7.1417157156355273</v>
      </c>
      <c r="H19" s="1080">
        <f t="shared" ref="H19:J19" ca="1" si="1">SUM(H15,H17)</f>
        <v>6.2195415980259972</v>
      </c>
      <c r="I19" s="1080">
        <f t="shared" ca="1" si="1"/>
        <v>6.4541979640613505</v>
      </c>
      <c r="J19" s="1080">
        <f t="shared" ca="1" si="1"/>
        <v>6.7167988573657276</v>
      </c>
      <c r="K19" s="1080">
        <f ca="1">SUM(K15,K17)</f>
        <v>6.9929243463539743</v>
      </c>
      <c r="L19" s="410"/>
    </row>
    <row r="20" spans="1:12" x14ac:dyDescent="0.3">
      <c r="A20" s="126"/>
      <c r="B20" s="1419" t="s">
        <v>3070</v>
      </c>
      <c r="C20" s="1419"/>
      <c r="D20" s="1419"/>
      <c r="E20" s="1419"/>
      <c r="F20" s="1419"/>
      <c r="G20" s="1419"/>
      <c r="H20" s="1419"/>
      <c r="I20" s="1419"/>
      <c r="J20" s="1419"/>
      <c r="K20" s="1419"/>
      <c r="L20" s="1419"/>
    </row>
    <row r="21" spans="1:12" x14ac:dyDescent="0.3">
      <c r="H21" s="1024"/>
      <c r="I21" s="1024"/>
      <c r="J21" s="1024"/>
      <c r="K21" s="1024"/>
    </row>
    <row r="22" spans="1:12" x14ac:dyDescent="0.3">
      <c r="G22" s="1070"/>
      <c r="H22" s="1070"/>
      <c r="I22" s="1070"/>
      <c r="J22" s="1070"/>
      <c r="K22" s="1070"/>
    </row>
    <row r="23" spans="1:12" x14ac:dyDescent="0.3">
      <c r="G23" s="1217"/>
      <c r="H23" s="1217"/>
      <c r="I23" s="1217"/>
      <c r="J23" s="1217"/>
      <c r="K23" s="1217"/>
    </row>
    <row r="24" spans="1:12" x14ac:dyDescent="0.3">
      <c r="G24" s="1248"/>
      <c r="H24" s="1248"/>
      <c r="I24" s="1248"/>
      <c r="J24" s="1248"/>
      <c r="K24" s="1248"/>
    </row>
    <row r="25" spans="1:12" x14ac:dyDescent="0.3">
      <c r="G25" s="1248"/>
      <c r="H25" s="1248"/>
      <c r="I25" s="1248"/>
      <c r="J25" s="1248"/>
      <c r="K25" s="1248"/>
    </row>
  </sheetData>
  <mergeCells count="12">
    <mergeCell ref="A2:I2"/>
    <mergeCell ref="A3:I3"/>
    <mergeCell ref="A4:I4"/>
    <mergeCell ref="K2:R2"/>
    <mergeCell ref="K3:R3"/>
    <mergeCell ref="K4:R4"/>
    <mergeCell ref="B20:L20"/>
    <mergeCell ref="L6:L7"/>
    <mergeCell ref="B6:B7"/>
    <mergeCell ref="A6:A7"/>
    <mergeCell ref="C6:E6"/>
    <mergeCell ref="G6:K6"/>
  </mergeCells>
  <pageMargins left="0.74803149606299213" right="6.4960629921259843" top="0.98425196850393704" bottom="0.98425196850393704" header="0.51181102362204722" footer="0.51181102362204722"/>
  <pageSetup scale="40" fitToHeight="2" orientation="landscape" horizontalDpi="300" verticalDpi="300" r:id="rId1"/>
  <headerFooter alignWithMargins="0">
    <oddHeader>&amp;A</oddHeader>
    <oddFooter>&amp;L&amp;F&amp;C&amp;P/&amp;N&amp;R&amp;D&amp;T</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B2:G32"/>
  <sheetViews>
    <sheetView showGridLines="0" zoomScale="90" zoomScaleNormal="90" workbookViewId="0">
      <selection activeCell="E15" sqref="E15"/>
    </sheetView>
  </sheetViews>
  <sheetFormatPr defaultColWidth="9.1796875" defaultRowHeight="14" x14ac:dyDescent="0.3"/>
  <cols>
    <col min="1" max="1" width="9.1796875" style="546"/>
    <col min="2" max="2" width="62.1796875" style="546" customWidth="1"/>
    <col min="3" max="3" width="24.54296875" style="546" customWidth="1"/>
    <col min="4" max="4" width="19.54296875" style="546" customWidth="1"/>
    <col min="5" max="5" width="18.453125" style="546" customWidth="1"/>
    <col min="6" max="6" width="21.54296875" style="546" customWidth="1"/>
    <col min="7" max="7" width="21.453125" style="546" customWidth="1"/>
    <col min="8" max="258" width="9.1796875" style="546"/>
    <col min="259" max="259" width="110.453125" style="546" customWidth="1"/>
    <col min="260" max="260" width="43.54296875" style="546" customWidth="1"/>
    <col min="261" max="261" width="35.54296875" style="546" customWidth="1"/>
    <col min="262" max="262" width="36" style="546" customWidth="1"/>
    <col min="263" max="263" width="34.81640625" style="546" customWidth="1"/>
    <col min="264" max="514" width="9.1796875" style="546"/>
    <col min="515" max="515" width="110.453125" style="546" customWidth="1"/>
    <col min="516" max="516" width="43.54296875" style="546" customWidth="1"/>
    <col min="517" max="517" width="35.54296875" style="546" customWidth="1"/>
    <col min="518" max="518" width="36" style="546" customWidth="1"/>
    <col min="519" max="519" width="34.81640625" style="546" customWidth="1"/>
    <col min="520" max="770" width="9.1796875" style="546"/>
    <col min="771" max="771" width="110.453125" style="546" customWidth="1"/>
    <col min="772" max="772" width="43.54296875" style="546" customWidth="1"/>
    <col min="773" max="773" width="35.54296875" style="546" customWidth="1"/>
    <col min="774" max="774" width="36" style="546" customWidth="1"/>
    <col min="775" max="775" width="34.81640625" style="546" customWidth="1"/>
    <col min="776" max="1026" width="9.1796875" style="546"/>
    <col min="1027" max="1027" width="110.453125" style="546" customWidth="1"/>
    <col min="1028" max="1028" width="43.54296875" style="546" customWidth="1"/>
    <col min="1029" max="1029" width="35.54296875" style="546" customWidth="1"/>
    <col min="1030" max="1030" width="36" style="546" customWidth="1"/>
    <col min="1031" max="1031" width="34.81640625" style="546" customWidth="1"/>
    <col min="1032" max="1282" width="9.1796875" style="546"/>
    <col min="1283" max="1283" width="110.453125" style="546" customWidth="1"/>
    <col min="1284" max="1284" width="43.54296875" style="546" customWidth="1"/>
    <col min="1285" max="1285" width="35.54296875" style="546" customWidth="1"/>
    <col min="1286" max="1286" width="36" style="546" customWidth="1"/>
    <col min="1287" max="1287" width="34.81640625" style="546" customWidth="1"/>
    <col min="1288" max="1538" width="9.1796875" style="546"/>
    <col min="1539" max="1539" width="110.453125" style="546" customWidth="1"/>
    <col min="1540" max="1540" width="43.54296875" style="546" customWidth="1"/>
    <col min="1541" max="1541" width="35.54296875" style="546" customWidth="1"/>
    <col min="1542" max="1542" width="36" style="546" customWidth="1"/>
    <col min="1543" max="1543" width="34.81640625" style="546" customWidth="1"/>
    <col min="1544" max="1794" width="9.1796875" style="546"/>
    <col min="1795" max="1795" width="110.453125" style="546" customWidth="1"/>
    <col min="1796" max="1796" width="43.54296875" style="546" customWidth="1"/>
    <col min="1797" max="1797" width="35.54296875" style="546" customWidth="1"/>
    <col min="1798" max="1798" width="36" style="546" customWidth="1"/>
    <col min="1799" max="1799" width="34.81640625" style="546" customWidth="1"/>
    <col min="1800" max="2050" width="9.1796875" style="546"/>
    <col min="2051" max="2051" width="110.453125" style="546" customWidth="1"/>
    <col min="2052" max="2052" width="43.54296875" style="546" customWidth="1"/>
    <col min="2053" max="2053" width="35.54296875" style="546" customWidth="1"/>
    <col min="2054" max="2054" width="36" style="546" customWidth="1"/>
    <col min="2055" max="2055" width="34.81640625" style="546" customWidth="1"/>
    <col min="2056" max="2306" width="9.1796875" style="546"/>
    <col min="2307" max="2307" width="110.453125" style="546" customWidth="1"/>
    <col min="2308" max="2308" width="43.54296875" style="546" customWidth="1"/>
    <col min="2309" max="2309" width="35.54296875" style="546" customWidth="1"/>
    <col min="2310" max="2310" width="36" style="546" customWidth="1"/>
    <col min="2311" max="2311" width="34.81640625" style="546" customWidth="1"/>
    <col min="2312" max="2562" width="9.1796875" style="546"/>
    <col min="2563" max="2563" width="110.453125" style="546" customWidth="1"/>
    <col min="2564" max="2564" width="43.54296875" style="546" customWidth="1"/>
    <col min="2565" max="2565" width="35.54296875" style="546" customWidth="1"/>
    <col min="2566" max="2566" width="36" style="546" customWidth="1"/>
    <col min="2567" max="2567" width="34.81640625" style="546" customWidth="1"/>
    <col min="2568" max="2818" width="9.1796875" style="546"/>
    <col min="2819" max="2819" width="110.453125" style="546" customWidth="1"/>
    <col min="2820" max="2820" width="43.54296875" style="546" customWidth="1"/>
    <col min="2821" max="2821" width="35.54296875" style="546" customWidth="1"/>
    <col min="2822" max="2822" width="36" style="546" customWidth="1"/>
    <col min="2823" max="2823" width="34.81640625" style="546" customWidth="1"/>
    <col min="2824" max="3074" width="9.1796875" style="546"/>
    <col min="3075" max="3075" width="110.453125" style="546" customWidth="1"/>
    <col min="3076" max="3076" width="43.54296875" style="546" customWidth="1"/>
    <col min="3077" max="3077" width="35.54296875" style="546" customWidth="1"/>
    <col min="3078" max="3078" width="36" style="546" customWidth="1"/>
    <col min="3079" max="3079" width="34.81640625" style="546" customWidth="1"/>
    <col min="3080" max="3330" width="9.1796875" style="546"/>
    <col min="3331" max="3331" width="110.453125" style="546" customWidth="1"/>
    <col min="3332" max="3332" width="43.54296875" style="546" customWidth="1"/>
    <col min="3333" max="3333" width="35.54296875" style="546" customWidth="1"/>
    <col min="3334" max="3334" width="36" style="546" customWidth="1"/>
    <col min="3335" max="3335" width="34.81640625" style="546" customWidth="1"/>
    <col min="3336" max="3586" width="9.1796875" style="546"/>
    <col min="3587" max="3587" width="110.453125" style="546" customWidth="1"/>
    <col min="3588" max="3588" width="43.54296875" style="546" customWidth="1"/>
    <col min="3589" max="3589" width="35.54296875" style="546" customWidth="1"/>
    <col min="3590" max="3590" width="36" style="546" customWidth="1"/>
    <col min="3591" max="3591" width="34.81640625" style="546" customWidth="1"/>
    <col min="3592" max="3842" width="9.1796875" style="546"/>
    <col min="3843" max="3843" width="110.453125" style="546" customWidth="1"/>
    <col min="3844" max="3844" width="43.54296875" style="546" customWidth="1"/>
    <col min="3845" max="3845" width="35.54296875" style="546" customWidth="1"/>
    <col min="3846" max="3846" width="36" style="546" customWidth="1"/>
    <col min="3847" max="3847" width="34.81640625" style="546" customWidth="1"/>
    <col min="3848" max="4098" width="9.1796875" style="546"/>
    <col min="4099" max="4099" width="110.453125" style="546" customWidth="1"/>
    <col min="4100" max="4100" width="43.54296875" style="546" customWidth="1"/>
    <col min="4101" max="4101" width="35.54296875" style="546" customWidth="1"/>
    <col min="4102" max="4102" width="36" style="546" customWidth="1"/>
    <col min="4103" max="4103" width="34.81640625" style="546" customWidth="1"/>
    <col min="4104" max="4354" width="9.1796875" style="546"/>
    <col min="4355" max="4355" width="110.453125" style="546" customWidth="1"/>
    <col min="4356" max="4356" width="43.54296875" style="546" customWidth="1"/>
    <col min="4357" max="4357" width="35.54296875" style="546" customWidth="1"/>
    <col min="4358" max="4358" width="36" style="546" customWidth="1"/>
    <col min="4359" max="4359" width="34.81640625" style="546" customWidth="1"/>
    <col min="4360" max="4610" width="9.1796875" style="546"/>
    <col min="4611" max="4611" width="110.453125" style="546" customWidth="1"/>
    <col min="4612" max="4612" width="43.54296875" style="546" customWidth="1"/>
    <col min="4613" max="4613" width="35.54296875" style="546" customWidth="1"/>
    <col min="4614" max="4614" width="36" style="546" customWidth="1"/>
    <col min="4615" max="4615" width="34.81640625" style="546" customWidth="1"/>
    <col min="4616" max="4866" width="9.1796875" style="546"/>
    <col min="4867" max="4867" width="110.453125" style="546" customWidth="1"/>
    <col min="4868" max="4868" width="43.54296875" style="546" customWidth="1"/>
    <col min="4869" max="4869" width="35.54296875" style="546" customWidth="1"/>
    <col min="4870" max="4870" width="36" style="546" customWidth="1"/>
    <col min="4871" max="4871" width="34.81640625" style="546" customWidth="1"/>
    <col min="4872" max="5122" width="9.1796875" style="546"/>
    <col min="5123" max="5123" width="110.453125" style="546" customWidth="1"/>
    <col min="5124" max="5124" width="43.54296875" style="546" customWidth="1"/>
    <col min="5125" max="5125" width="35.54296875" style="546" customWidth="1"/>
    <col min="5126" max="5126" width="36" style="546" customWidth="1"/>
    <col min="5127" max="5127" width="34.81640625" style="546" customWidth="1"/>
    <col min="5128" max="5378" width="9.1796875" style="546"/>
    <col min="5379" max="5379" width="110.453125" style="546" customWidth="1"/>
    <col min="5380" max="5380" width="43.54296875" style="546" customWidth="1"/>
    <col min="5381" max="5381" width="35.54296875" style="546" customWidth="1"/>
    <col min="5382" max="5382" width="36" style="546" customWidth="1"/>
    <col min="5383" max="5383" width="34.81640625" style="546" customWidth="1"/>
    <col min="5384" max="5634" width="9.1796875" style="546"/>
    <col min="5635" max="5635" width="110.453125" style="546" customWidth="1"/>
    <col min="5636" max="5636" width="43.54296875" style="546" customWidth="1"/>
    <col min="5637" max="5637" width="35.54296875" style="546" customWidth="1"/>
    <col min="5638" max="5638" width="36" style="546" customWidth="1"/>
    <col min="5639" max="5639" width="34.81640625" style="546" customWidth="1"/>
    <col min="5640" max="5890" width="9.1796875" style="546"/>
    <col min="5891" max="5891" width="110.453125" style="546" customWidth="1"/>
    <col min="5892" max="5892" width="43.54296875" style="546" customWidth="1"/>
    <col min="5893" max="5893" width="35.54296875" style="546" customWidth="1"/>
    <col min="5894" max="5894" width="36" style="546" customWidth="1"/>
    <col min="5895" max="5895" width="34.81640625" style="546" customWidth="1"/>
    <col min="5896" max="6146" width="9.1796875" style="546"/>
    <col min="6147" max="6147" width="110.453125" style="546" customWidth="1"/>
    <col min="6148" max="6148" width="43.54296875" style="546" customWidth="1"/>
    <col min="6149" max="6149" width="35.54296875" style="546" customWidth="1"/>
    <col min="6150" max="6150" width="36" style="546" customWidth="1"/>
    <col min="6151" max="6151" width="34.81640625" style="546" customWidth="1"/>
    <col min="6152" max="6402" width="9.1796875" style="546"/>
    <col min="6403" max="6403" width="110.453125" style="546" customWidth="1"/>
    <col min="6404" max="6404" width="43.54296875" style="546" customWidth="1"/>
    <col min="6405" max="6405" width="35.54296875" style="546" customWidth="1"/>
    <col min="6406" max="6406" width="36" style="546" customWidth="1"/>
    <col min="6407" max="6407" width="34.81640625" style="546" customWidth="1"/>
    <col min="6408" max="6658" width="9.1796875" style="546"/>
    <col min="6659" max="6659" width="110.453125" style="546" customWidth="1"/>
    <col min="6660" max="6660" width="43.54296875" style="546" customWidth="1"/>
    <col min="6661" max="6661" width="35.54296875" style="546" customWidth="1"/>
    <col min="6662" max="6662" width="36" style="546" customWidth="1"/>
    <col min="6663" max="6663" width="34.81640625" style="546" customWidth="1"/>
    <col min="6664" max="6914" width="9.1796875" style="546"/>
    <col min="6915" max="6915" width="110.453125" style="546" customWidth="1"/>
    <col min="6916" max="6916" width="43.54296875" style="546" customWidth="1"/>
    <col min="6917" max="6917" width="35.54296875" style="546" customWidth="1"/>
    <col min="6918" max="6918" width="36" style="546" customWidth="1"/>
    <col min="6919" max="6919" width="34.81640625" style="546" customWidth="1"/>
    <col min="6920" max="7170" width="9.1796875" style="546"/>
    <col min="7171" max="7171" width="110.453125" style="546" customWidth="1"/>
    <col min="7172" max="7172" width="43.54296875" style="546" customWidth="1"/>
    <col min="7173" max="7173" width="35.54296875" style="546" customWidth="1"/>
    <col min="7174" max="7174" width="36" style="546" customWidth="1"/>
    <col min="7175" max="7175" width="34.81640625" style="546" customWidth="1"/>
    <col min="7176" max="7426" width="9.1796875" style="546"/>
    <col min="7427" max="7427" width="110.453125" style="546" customWidth="1"/>
    <col min="7428" max="7428" width="43.54296875" style="546" customWidth="1"/>
    <col min="7429" max="7429" width="35.54296875" style="546" customWidth="1"/>
    <col min="7430" max="7430" width="36" style="546" customWidth="1"/>
    <col min="7431" max="7431" width="34.81640625" style="546" customWidth="1"/>
    <col min="7432" max="7682" width="9.1796875" style="546"/>
    <col min="7683" max="7683" width="110.453125" style="546" customWidth="1"/>
    <col min="7684" max="7684" width="43.54296875" style="546" customWidth="1"/>
    <col min="7685" max="7685" width="35.54296875" style="546" customWidth="1"/>
    <col min="7686" max="7686" width="36" style="546" customWidth="1"/>
    <col min="7687" max="7687" width="34.81640625" style="546" customWidth="1"/>
    <col min="7688" max="7938" width="9.1796875" style="546"/>
    <col min="7939" max="7939" width="110.453125" style="546" customWidth="1"/>
    <col min="7940" max="7940" width="43.54296875" style="546" customWidth="1"/>
    <col min="7941" max="7941" width="35.54296875" style="546" customWidth="1"/>
    <col min="7942" max="7942" width="36" style="546" customWidth="1"/>
    <col min="7943" max="7943" width="34.81640625" style="546" customWidth="1"/>
    <col min="7944" max="8194" width="9.1796875" style="546"/>
    <col min="8195" max="8195" width="110.453125" style="546" customWidth="1"/>
    <col min="8196" max="8196" width="43.54296875" style="546" customWidth="1"/>
    <col min="8197" max="8197" width="35.54296875" style="546" customWidth="1"/>
    <col min="8198" max="8198" width="36" style="546" customWidth="1"/>
    <col min="8199" max="8199" width="34.81640625" style="546" customWidth="1"/>
    <col min="8200" max="8450" width="9.1796875" style="546"/>
    <col min="8451" max="8451" width="110.453125" style="546" customWidth="1"/>
    <col min="8452" max="8452" width="43.54296875" style="546" customWidth="1"/>
    <col min="8453" max="8453" width="35.54296875" style="546" customWidth="1"/>
    <col min="8454" max="8454" width="36" style="546" customWidth="1"/>
    <col min="8455" max="8455" width="34.81640625" style="546" customWidth="1"/>
    <col min="8456" max="8706" width="9.1796875" style="546"/>
    <col min="8707" max="8707" width="110.453125" style="546" customWidth="1"/>
    <col min="8708" max="8708" width="43.54296875" style="546" customWidth="1"/>
    <col min="8709" max="8709" width="35.54296875" style="546" customWidth="1"/>
    <col min="8710" max="8710" width="36" style="546" customWidth="1"/>
    <col min="8711" max="8711" width="34.81640625" style="546" customWidth="1"/>
    <col min="8712" max="8962" width="9.1796875" style="546"/>
    <col min="8963" max="8963" width="110.453125" style="546" customWidth="1"/>
    <col min="8964" max="8964" width="43.54296875" style="546" customWidth="1"/>
    <col min="8965" max="8965" width="35.54296875" style="546" customWidth="1"/>
    <col min="8966" max="8966" width="36" style="546" customWidth="1"/>
    <col min="8967" max="8967" width="34.81640625" style="546" customWidth="1"/>
    <col min="8968" max="9218" width="9.1796875" style="546"/>
    <col min="9219" max="9219" width="110.453125" style="546" customWidth="1"/>
    <col min="9220" max="9220" width="43.54296875" style="546" customWidth="1"/>
    <col min="9221" max="9221" width="35.54296875" style="546" customWidth="1"/>
    <col min="9222" max="9222" width="36" style="546" customWidth="1"/>
    <col min="9223" max="9223" width="34.81640625" style="546" customWidth="1"/>
    <col min="9224" max="9474" width="9.1796875" style="546"/>
    <col min="9475" max="9475" width="110.453125" style="546" customWidth="1"/>
    <col min="9476" max="9476" width="43.54296875" style="546" customWidth="1"/>
    <col min="9477" max="9477" width="35.54296875" style="546" customWidth="1"/>
    <col min="9478" max="9478" width="36" style="546" customWidth="1"/>
    <col min="9479" max="9479" width="34.81640625" style="546" customWidth="1"/>
    <col min="9480" max="9730" width="9.1796875" style="546"/>
    <col min="9731" max="9731" width="110.453125" style="546" customWidth="1"/>
    <col min="9732" max="9732" width="43.54296875" style="546" customWidth="1"/>
    <col min="9733" max="9733" width="35.54296875" style="546" customWidth="1"/>
    <col min="9734" max="9734" width="36" style="546" customWidth="1"/>
    <col min="9735" max="9735" width="34.81640625" style="546" customWidth="1"/>
    <col min="9736" max="9986" width="9.1796875" style="546"/>
    <col min="9987" max="9987" width="110.453125" style="546" customWidth="1"/>
    <col min="9988" max="9988" width="43.54296875" style="546" customWidth="1"/>
    <col min="9989" max="9989" width="35.54296875" style="546" customWidth="1"/>
    <col min="9990" max="9990" width="36" style="546" customWidth="1"/>
    <col min="9991" max="9991" width="34.81640625" style="546" customWidth="1"/>
    <col min="9992" max="10242" width="9.1796875" style="546"/>
    <col min="10243" max="10243" width="110.453125" style="546" customWidth="1"/>
    <col min="10244" max="10244" width="43.54296875" style="546" customWidth="1"/>
    <col min="10245" max="10245" width="35.54296875" style="546" customWidth="1"/>
    <col min="10246" max="10246" width="36" style="546" customWidth="1"/>
    <col min="10247" max="10247" width="34.81640625" style="546" customWidth="1"/>
    <col min="10248" max="10498" width="9.1796875" style="546"/>
    <col min="10499" max="10499" width="110.453125" style="546" customWidth="1"/>
    <col min="10500" max="10500" width="43.54296875" style="546" customWidth="1"/>
    <col min="10501" max="10501" width="35.54296875" style="546" customWidth="1"/>
    <col min="10502" max="10502" width="36" style="546" customWidth="1"/>
    <col min="10503" max="10503" width="34.81640625" style="546" customWidth="1"/>
    <col min="10504" max="10754" width="9.1796875" style="546"/>
    <col min="10755" max="10755" width="110.453125" style="546" customWidth="1"/>
    <col min="10756" max="10756" width="43.54296875" style="546" customWidth="1"/>
    <col min="10757" max="10757" width="35.54296875" style="546" customWidth="1"/>
    <col min="10758" max="10758" width="36" style="546" customWidth="1"/>
    <col min="10759" max="10759" width="34.81640625" style="546" customWidth="1"/>
    <col min="10760" max="11010" width="9.1796875" style="546"/>
    <col min="11011" max="11011" width="110.453125" style="546" customWidth="1"/>
    <col min="11012" max="11012" width="43.54296875" style="546" customWidth="1"/>
    <col min="11013" max="11013" width="35.54296875" style="546" customWidth="1"/>
    <col min="11014" max="11014" width="36" style="546" customWidth="1"/>
    <col min="11015" max="11015" width="34.81640625" style="546" customWidth="1"/>
    <col min="11016" max="11266" width="9.1796875" style="546"/>
    <col min="11267" max="11267" width="110.453125" style="546" customWidth="1"/>
    <col min="11268" max="11268" width="43.54296875" style="546" customWidth="1"/>
    <col min="11269" max="11269" width="35.54296875" style="546" customWidth="1"/>
    <col min="11270" max="11270" width="36" style="546" customWidth="1"/>
    <col min="11271" max="11271" width="34.81640625" style="546" customWidth="1"/>
    <col min="11272" max="11522" width="9.1796875" style="546"/>
    <col min="11523" max="11523" width="110.453125" style="546" customWidth="1"/>
    <col min="11524" max="11524" width="43.54296875" style="546" customWidth="1"/>
    <col min="11525" max="11525" width="35.54296875" style="546" customWidth="1"/>
    <col min="11526" max="11526" width="36" style="546" customWidth="1"/>
    <col min="11527" max="11527" width="34.81640625" style="546" customWidth="1"/>
    <col min="11528" max="11778" width="9.1796875" style="546"/>
    <col min="11779" max="11779" width="110.453125" style="546" customWidth="1"/>
    <col min="11780" max="11780" width="43.54296875" style="546" customWidth="1"/>
    <col min="11781" max="11781" width="35.54296875" style="546" customWidth="1"/>
    <col min="11782" max="11782" width="36" style="546" customWidth="1"/>
    <col min="11783" max="11783" width="34.81640625" style="546" customWidth="1"/>
    <col min="11784" max="12034" width="9.1796875" style="546"/>
    <col min="12035" max="12035" width="110.453125" style="546" customWidth="1"/>
    <col min="12036" max="12036" width="43.54296875" style="546" customWidth="1"/>
    <col min="12037" max="12037" width="35.54296875" style="546" customWidth="1"/>
    <col min="12038" max="12038" width="36" style="546" customWidth="1"/>
    <col min="12039" max="12039" width="34.81640625" style="546" customWidth="1"/>
    <col min="12040" max="12290" width="9.1796875" style="546"/>
    <col min="12291" max="12291" width="110.453125" style="546" customWidth="1"/>
    <col min="12292" max="12292" width="43.54296875" style="546" customWidth="1"/>
    <col min="12293" max="12293" width="35.54296875" style="546" customWidth="1"/>
    <col min="12294" max="12294" width="36" style="546" customWidth="1"/>
    <col min="12295" max="12295" width="34.81640625" style="546" customWidth="1"/>
    <col min="12296" max="12546" width="9.1796875" style="546"/>
    <col min="12547" max="12547" width="110.453125" style="546" customWidth="1"/>
    <col min="12548" max="12548" width="43.54296875" style="546" customWidth="1"/>
    <col min="12549" max="12549" width="35.54296875" style="546" customWidth="1"/>
    <col min="12550" max="12550" width="36" style="546" customWidth="1"/>
    <col min="12551" max="12551" width="34.81640625" style="546" customWidth="1"/>
    <col min="12552" max="12802" width="9.1796875" style="546"/>
    <col min="12803" max="12803" width="110.453125" style="546" customWidth="1"/>
    <col min="12804" max="12804" width="43.54296875" style="546" customWidth="1"/>
    <col min="12805" max="12805" width="35.54296875" style="546" customWidth="1"/>
    <col min="12806" max="12806" width="36" style="546" customWidth="1"/>
    <col min="12807" max="12807" width="34.81640625" style="546" customWidth="1"/>
    <col min="12808" max="13058" width="9.1796875" style="546"/>
    <col min="13059" max="13059" width="110.453125" style="546" customWidth="1"/>
    <col min="13060" max="13060" width="43.54296875" style="546" customWidth="1"/>
    <col min="13061" max="13061" width="35.54296875" style="546" customWidth="1"/>
    <col min="13062" max="13062" width="36" style="546" customWidth="1"/>
    <col min="13063" max="13063" width="34.81640625" style="546" customWidth="1"/>
    <col min="13064" max="13314" width="9.1796875" style="546"/>
    <col min="13315" max="13315" width="110.453125" style="546" customWidth="1"/>
    <col min="13316" max="13316" width="43.54296875" style="546" customWidth="1"/>
    <col min="13317" max="13317" width="35.54296875" style="546" customWidth="1"/>
    <col min="13318" max="13318" width="36" style="546" customWidth="1"/>
    <col min="13319" max="13319" width="34.81640625" style="546" customWidth="1"/>
    <col min="13320" max="13570" width="9.1796875" style="546"/>
    <col min="13571" max="13571" width="110.453125" style="546" customWidth="1"/>
    <col min="13572" max="13572" width="43.54296875" style="546" customWidth="1"/>
    <col min="13573" max="13573" width="35.54296875" style="546" customWidth="1"/>
    <col min="13574" max="13574" width="36" style="546" customWidth="1"/>
    <col min="13575" max="13575" width="34.81640625" style="546" customWidth="1"/>
    <col min="13576" max="13826" width="9.1796875" style="546"/>
    <col min="13827" max="13827" width="110.453125" style="546" customWidth="1"/>
    <col min="13828" max="13828" width="43.54296875" style="546" customWidth="1"/>
    <col min="13829" max="13829" width="35.54296875" style="546" customWidth="1"/>
    <col min="13830" max="13830" width="36" style="546" customWidth="1"/>
    <col min="13831" max="13831" width="34.81640625" style="546" customWidth="1"/>
    <col min="13832" max="14082" width="9.1796875" style="546"/>
    <col min="14083" max="14083" width="110.453125" style="546" customWidth="1"/>
    <col min="14084" max="14084" width="43.54296875" style="546" customWidth="1"/>
    <col min="14085" max="14085" width="35.54296875" style="546" customWidth="1"/>
    <col min="14086" max="14086" width="36" style="546" customWidth="1"/>
    <col min="14087" max="14087" width="34.81640625" style="546" customWidth="1"/>
    <col min="14088" max="14338" width="9.1796875" style="546"/>
    <col min="14339" max="14339" width="110.453125" style="546" customWidth="1"/>
    <col min="14340" max="14340" width="43.54296875" style="546" customWidth="1"/>
    <col min="14341" max="14341" width="35.54296875" style="546" customWidth="1"/>
    <col min="14342" max="14342" width="36" style="546" customWidth="1"/>
    <col min="14343" max="14343" width="34.81640625" style="546" customWidth="1"/>
    <col min="14344" max="14594" width="9.1796875" style="546"/>
    <col min="14595" max="14595" width="110.453125" style="546" customWidth="1"/>
    <col min="14596" max="14596" width="43.54296875" style="546" customWidth="1"/>
    <col min="14597" max="14597" width="35.54296875" style="546" customWidth="1"/>
    <col min="14598" max="14598" width="36" style="546" customWidth="1"/>
    <col min="14599" max="14599" width="34.81640625" style="546" customWidth="1"/>
    <col min="14600" max="14850" width="9.1796875" style="546"/>
    <col min="14851" max="14851" width="110.453125" style="546" customWidth="1"/>
    <col min="14852" max="14852" width="43.54296875" style="546" customWidth="1"/>
    <col min="14853" max="14853" width="35.54296875" style="546" customWidth="1"/>
    <col min="14854" max="14854" width="36" style="546" customWidth="1"/>
    <col min="14855" max="14855" width="34.81640625" style="546" customWidth="1"/>
    <col min="14856" max="15106" width="9.1796875" style="546"/>
    <col min="15107" max="15107" width="110.453125" style="546" customWidth="1"/>
    <col min="15108" max="15108" width="43.54296875" style="546" customWidth="1"/>
    <col min="15109" max="15109" width="35.54296875" style="546" customWidth="1"/>
    <col min="15110" max="15110" width="36" style="546" customWidth="1"/>
    <col min="15111" max="15111" width="34.81640625" style="546" customWidth="1"/>
    <col min="15112" max="15362" width="9.1796875" style="546"/>
    <col min="15363" max="15363" width="110.453125" style="546" customWidth="1"/>
    <col min="15364" max="15364" width="43.54296875" style="546" customWidth="1"/>
    <col min="15365" max="15365" width="35.54296875" style="546" customWidth="1"/>
    <col min="15366" max="15366" width="36" style="546" customWidth="1"/>
    <col min="15367" max="15367" width="34.81640625" style="546" customWidth="1"/>
    <col min="15368" max="15618" width="9.1796875" style="546"/>
    <col min="15619" max="15619" width="110.453125" style="546" customWidth="1"/>
    <col min="15620" max="15620" width="43.54296875" style="546" customWidth="1"/>
    <col min="15621" max="15621" width="35.54296875" style="546" customWidth="1"/>
    <col min="15622" max="15622" width="36" style="546" customWidth="1"/>
    <col min="15623" max="15623" width="34.81640625" style="546" customWidth="1"/>
    <col min="15624" max="15874" width="9.1796875" style="546"/>
    <col min="15875" max="15875" width="110.453125" style="546" customWidth="1"/>
    <col min="15876" max="15876" width="43.54296875" style="546" customWidth="1"/>
    <col min="15877" max="15877" width="35.54296875" style="546" customWidth="1"/>
    <col min="15878" max="15878" width="36" style="546" customWidth="1"/>
    <col min="15879" max="15879" width="34.81640625" style="546" customWidth="1"/>
    <col min="15880" max="16130" width="9.1796875" style="546"/>
    <col min="16131" max="16131" width="110.453125" style="546" customWidth="1"/>
    <col min="16132" max="16132" width="43.54296875" style="546" customWidth="1"/>
    <col min="16133" max="16133" width="35.54296875" style="546" customWidth="1"/>
    <col min="16134" max="16134" width="36" style="546" customWidth="1"/>
    <col min="16135" max="16135" width="34.81640625" style="546" customWidth="1"/>
    <col min="16136" max="16384" width="9.1796875" style="546"/>
  </cols>
  <sheetData>
    <row r="2" spans="2:7" x14ac:dyDescent="0.3">
      <c r="B2" s="17"/>
      <c r="C2" s="62" t="str">
        <f>Index!B2</f>
        <v xml:space="preserve">      Maharashtra State Power Generation Company Ltd.</v>
      </c>
      <c r="D2" s="17"/>
      <c r="E2" s="17"/>
      <c r="F2" s="17"/>
      <c r="G2" s="17"/>
    </row>
    <row r="3" spans="2:7" x14ac:dyDescent="0.3">
      <c r="B3" s="572"/>
      <c r="C3" s="63" t="s">
        <v>3040</v>
      </c>
      <c r="D3" s="572"/>
      <c r="E3" s="572"/>
      <c r="F3" s="572"/>
      <c r="G3" s="572"/>
    </row>
    <row r="4" spans="2:7" x14ac:dyDescent="0.3">
      <c r="B4" s="572"/>
      <c r="C4" s="63" t="s">
        <v>959</v>
      </c>
      <c r="D4" s="572"/>
      <c r="E4" s="572"/>
      <c r="F4" s="572"/>
      <c r="G4" s="572"/>
    </row>
    <row r="5" spans="2:7" x14ac:dyDescent="0.3">
      <c r="B5" s="17"/>
      <c r="C5" s="63"/>
      <c r="D5" s="17"/>
      <c r="E5" s="16" t="s">
        <v>10</v>
      </c>
      <c r="F5" s="17"/>
    </row>
    <row r="6" spans="2:7" s="575" customFormat="1" ht="28" x14ac:dyDescent="0.3">
      <c r="B6" s="573" t="s">
        <v>35</v>
      </c>
      <c r="C6" s="574" t="s">
        <v>960</v>
      </c>
      <c r="D6" s="574" t="s">
        <v>1454</v>
      </c>
      <c r="E6" s="574" t="s">
        <v>1455</v>
      </c>
      <c r="F6" s="17"/>
      <c r="G6" s="546"/>
    </row>
    <row r="7" spans="2:7" x14ac:dyDescent="0.3">
      <c r="B7" s="576" t="s">
        <v>962</v>
      </c>
      <c r="C7" s="577"/>
      <c r="D7" s="577"/>
      <c r="E7" s="577"/>
      <c r="F7" s="17"/>
    </row>
    <row r="8" spans="2:7" x14ac:dyDescent="0.3">
      <c r="B8" s="578" t="s">
        <v>480</v>
      </c>
      <c r="C8" s="577"/>
      <c r="D8" s="577"/>
      <c r="E8" s="209">
        <v>31.725778200000001</v>
      </c>
      <c r="F8" s="17"/>
    </row>
    <row r="9" spans="2:7" x14ac:dyDescent="0.3">
      <c r="B9" s="578" t="s">
        <v>1452</v>
      </c>
      <c r="C9" s="209">
        <v>3326</v>
      </c>
      <c r="D9" s="209">
        <v>4509.8292612863997</v>
      </c>
      <c r="E9" s="209">
        <v>3949.6285913129968</v>
      </c>
      <c r="F9" s="17"/>
    </row>
    <row r="10" spans="2:7" x14ac:dyDescent="0.3">
      <c r="B10" s="578" t="s">
        <v>1451</v>
      </c>
      <c r="C10" s="209">
        <v>441</v>
      </c>
      <c r="D10" s="209">
        <v>514.81999999999994</v>
      </c>
      <c r="E10" s="209">
        <v>63.843330441765112</v>
      </c>
      <c r="F10" s="17"/>
    </row>
    <row r="11" spans="2:7" x14ac:dyDescent="0.3">
      <c r="B11" s="578" t="s">
        <v>3011</v>
      </c>
      <c r="C11" s="209"/>
      <c r="D11" s="209">
        <v>263.63</v>
      </c>
      <c r="E11" s="209">
        <v>338.2357367533844</v>
      </c>
      <c r="F11" s="17"/>
    </row>
    <row r="12" spans="2:7" x14ac:dyDescent="0.3">
      <c r="B12" s="578" t="s">
        <v>3014</v>
      </c>
      <c r="C12" s="209"/>
      <c r="D12" s="209">
        <v>57.94</v>
      </c>
      <c r="E12" s="209">
        <v>9.2318313826143807</v>
      </c>
      <c r="F12" s="17"/>
    </row>
    <row r="13" spans="2:7" x14ac:dyDescent="0.3">
      <c r="B13" s="578" t="s">
        <v>1460</v>
      </c>
      <c r="C13" s="209">
        <v>25</v>
      </c>
      <c r="D13" s="209">
        <v>25</v>
      </c>
      <c r="E13" s="209">
        <v>4.5811842816069914</v>
      </c>
      <c r="F13" s="17"/>
    </row>
    <row r="14" spans="2:7" x14ac:dyDescent="0.3">
      <c r="B14" s="578" t="s">
        <v>3013</v>
      </c>
      <c r="C14" s="209">
        <v>44</v>
      </c>
      <c r="D14" s="209">
        <v>234.25</v>
      </c>
      <c r="E14" s="209">
        <v>293.10615896228518</v>
      </c>
      <c r="F14" s="17"/>
    </row>
    <row r="15" spans="2:7" x14ac:dyDescent="0.3">
      <c r="B15" s="576" t="s">
        <v>965</v>
      </c>
      <c r="C15" s="223">
        <f t="shared" ref="C15:D15" si="0">SUM(C8:C14)</f>
        <v>3836</v>
      </c>
      <c r="D15" s="223">
        <f t="shared" si="0"/>
        <v>5605.4692612863992</v>
      </c>
      <c r="E15" s="223">
        <f>SUM(E8:E14)</f>
        <v>4690.3526113346534</v>
      </c>
      <c r="F15" s="17"/>
    </row>
    <row r="16" spans="2:7" x14ac:dyDescent="0.3">
      <c r="B16" s="578"/>
      <c r="C16" s="209"/>
      <c r="D16" s="209"/>
      <c r="E16" s="209"/>
      <c r="F16" s="17"/>
    </row>
    <row r="17" spans="2:7" x14ac:dyDescent="0.3">
      <c r="B17" s="576" t="s">
        <v>966</v>
      </c>
      <c r="C17" s="209"/>
      <c r="D17" s="209"/>
      <c r="E17" s="209"/>
      <c r="F17" s="17"/>
    </row>
    <row r="18" spans="2:7" x14ac:dyDescent="0.3">
      <c r="B18" s="578" t="s">
        <v>399</v>
      </c>
      <c r="C18" s="209">
        <v>712</v>
      </c>
      <c r="D18" s="209">
        <v>745.52</v>
      </c>
      <c r="E18" s="209">
        <v>1122.0283103034301</v>
      </c>
      <c r="F18" s="17"/>
    </row>
    <row r="19" spans="2:7" x14ac:dyDescent="0.3">
      <c r="B19" s="578" t="s">
        <v>1453</v>
      </c>
      <c r="C19" s="209"/>
      <c r="D19" s="209"/>
      <c r="E19" s="209"/>
      <c r="F19" s="17"/>
    </row>
    <row r="20" spans="2:7" s="962" customFormat="1" x14ac:dyDescent="0.3">
      <c r="B20" s="576" t="s">
        <v>967</v>
      </c>
      <c r="C20" s="223">
        <f>SUM(C18:C19)</f>
        <v>712</v>
      </c>
      <c r="D20" s="223">
        <f t="shared" ref="D20" si="1">SUM(D18:D19)</f>
        <v>745.52</v>
      </c>
      <c r="E20" s="223">
        <f t="shared" ref="E20" si="2">SUM(E18:E19)</f>
        <v>1122.0283103034301</v>
      </c>
      <c r="F20" s="17"/>
      <c r="G20" s="546"/>
    </row>
    <row r="21" spans="2:7" x14ac:dyDescent="0.3">
      <c r="B21" s="578"/>
      <c r="C21" s="209"/>
      <c r="D21" s="209"/>
      <c r="E21" s="209"/>
      <c r="F21" s="17"/>
    </row>
    <row r="22" spans="2:7" x14ac:dyDescent="0.3">
      <c r="B22" s="576" t="s">
        <v>968</v>
      </c>
      <c r="C22" s="223">
        <f>SUM(C15,C20)</f>
        <v>4548</v>
      </c>
      <c r="D22" s="223">
        <f t="shared" ref="D22" si="3">SUM(D15,D20)</f>
        <v>6350.9892612863987</v>
      </c>
      <c r="E22" s="223">
        <f t="shared" ref="E22" si="4">SUM(E15,E20)</f>
        <v>5812.3809216380832</v>
      </c>
      <c r="F22" s="17"/>
    </row>
    <row r="23" spans="2:7" x14ac:dyDescent="0.3">
      <c r="B23" s="546" t="s">
        <v>969</v>
      </c>
      <c r="E23" s="1002">
        <v>0</v>
      </c>
      <c r="F23" s="17"/>
    </row>
    <row r="24" spans="2:7" x14ac:dyDescent="0.3">
      <c r="F24" s="17"/>
    </row>
    <row r="25" spans="2:7" x14ac:dyDescent="0.3">
      <c r="C25" s="1032"/>
      <c r="D25" s="1032"/>
      <c r="E25" s="1032"/>
    </row>
    <row r="26" spans="2:7" x14ac:dyDescent="0.3">
      <c r="C26" s="1033"/>
      <c r="D26" s="1033"/>
      <c r="E26" s="1033"/>
    </row>
    <row r="32" spans="2:7" x14ac:dyDescent="0.3">
      <c r="C32" s="571"/>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B1:N26"/>
  <sheetViews>
    <sheetView zoomScale="58" workbookViewId="0">
      <selection activeCell="J10" sqref="J10"/>
    </sheetView>
  </sheetViews>
  <sheetFormatPr defaultColWidth="9.1796875" defaultRowHeight="14" x14ac:dyDescent="0.3"/>
  <cols>
    <col min="1" max="1" width="14.54296875" style="582" customWidth="1"/>
    <col min="2" max="2" width="7.1796875" style="579" bestFit="1" customWidth="1"/>
    <col min="3" max="3" width="58.1796875" style="587" customWidth="1"/>
    <col min="4" max="10" width="15.453125" style="582" customWidth="1"/>
    <col min="11" max="11" width="15.453125" style="583" customWidth="1"/>
    <col min="12" max="12" width="15.453125" style="584" customWidth="1"/>
    <col min="13" max="13" width="19.453125" style="582" customWidth="1"/>
    <col min="14" max="250" width="9.1796875" style="582"/>
    <col min="251" max="251" width="14.54296875" style="582" customWidth="1"/>
    <col min="252" max="252" width="14.453125" style="582" customWidth="1"/>
    <col min="253" max="253" width="58.1796875" style="582" customWidth="1"/>
    <col min="254" max="254" width="30.453125" style="582" customWidth="1"/>
    <col min="255" max="255" width="27.453125" style="582" customWidth="1"/>
    <col min="256" max="256" width="30.81640625" style="582" customWidth="1"/>
    <col min="257" max="257" width="24.81640625" style="582" customWidth="1"/>
    <col min="258" max="258" width="27.453125" style="582" customWidth="1"/>
    <col min="259" max="259" width="32" style="582" customWidth="1"/>
    <col min="260" max="260" width="25.54296875" style="582" customWidth="1"/>
    <col min="261" max="261" width="27.453125" style="582" customWidth="1"/>
    <col min="262" max="262" width="31.453125" style="582" customWidth="1"/>
    <col min="263" max="263" width="30.54296875" style="582" customWidth="1"/>
    <col min="264" max="264" width="27.453125" style="582" customWidth="1"/>
    <col min="265" max="265" width="32.54296875" style="582" customWidth="1"/>
    <col min="266" max="266" width="30.453125" style="582" customWidth="1"/>
    <col min="267" max="267" width="24.453125" style="582" customWidth="1"/>
    <col min="268" max="268" width="28" style="582" customWidth="1"/>
    <col min="269" max="269" width="19.453125" style="582" customWidth="1"/>
    <col min="270" max="506" width="9.1796875" style="582"/>
    <col min="507" max="507" width="14.54296875" style="582" customWidth="1"/>
    <col min="508" max="508" width="14.453125" style="582" customWidth="1"/>
    <col min="509" max="509" width="58.1796875" style="582" customWidth="1"/>
    <col min="510" max="510" width="30.453125" style="582" customWidth="1"/>
    <col min="511" max="511" width="27.453125" style="582" customWidth="1"/>
    <col min="512" max="512" width="30.81640625" style="582" customWidth="1"/>
    <col min="513" max="513" width="24.81640625" style="582" customWidth="1"/>
    <col min="514" max="514" width="27.453125" style="582" customWidth="1"/>
    <col min="515" max="515" width="32" style="582" customWidth="1"/>
    <col min="516" max="516" width="25.54296875" style="582" customWidth="1"/>
    <col min="517" max="517" width="27.453125" style="582" customWidth="1"/>
    <col min="518" max="518" width="31.453125" style="582" customWidth="1"/>
    <col min="519" max="519" width="30.54296875" style="582" customWidth="1"/>
    <col min="520" max="520" width="27.453125" style="582" customWidth="1"/>
    <col min="521" max="521" width="32.54296875" style="582" customWidth="1"/>
    <col min="522" max="522" width="30.453125" style="582" customWidth="1"/>
    <col min="523" max="523" width="24.453125" style="582" customWidth="1"/>
    <col min="524" max="524" width="28" style="582" customWidth="1"/>
    <col min="525" max="525" width="19.453125" style="582" customWidth="1"/>
    <col min="526" max="762" width="9.1796875" style="582"/>
    <col min="763" max="763" width="14.54296875" style="582" customWidth="1"/>
    <col min="764" max="764" width="14.453125" style="582" customWidth="1"/>
    <col min="765" max="765" width="58.1796875" style="582" customWidth="1"/>
    <col min="766" max="766" width="30.453125" style="582" customWidth="1"/>
    <col min="767" max="767" width="27.453125" style="582" customWidth="1"/>
    <col min="768" max="768" width="30.81640625" style="582" customWidth="1"/>
    <col min="769" max="769" width="24.81640625" style="582" customWidth="1"/>
    <col min="770" max="770" width="27.453125" style="582" customWidth="1"/>
    <col min="771" max="771" width="32" style="582" customWidth="1"/>
    <col min="772" max="772" width="25.54296875" style="582" customWidth="1"/>
    <col min="773" max="773" width="27.453125" style="582" customWidth="1"/>
    <col min="774" max="774" width="31.453125" style="582" customWidth="1"/>
    <col min="775" max="775" width="30.54296875" style="582" customWidth="1"/>
    <col min="776" max="776" width="27.453125" style="582" customWidth="1"/>
    <col min="777" max="777" width="32.54296875" style="582" customWidth="1"/>
    <col min="778" max="778" width="30.453125" style="582" customWidth="1"/>
    <col min="779" max="779" width="24.453125" style="582" customWidth="1"/>
    <col min="780" max="780" width="28" style="582" customWidth="1"/>
    <col min="781" max="781" width="19.453125" style="582" customWidth="1"/>
    <col min="782" max="1018" width="9.1796875" style="582"/>
    <col min="1019" max="1019" width="14.54296875" style="582" customWidth="1"/>
    <col min="1020" max="1020" width="14.453125" style="582" customWidth="1"/>
    <col min="1021" max="1021" width="58.1796875" style="582" customWidth="1"/>
    <col min="1022" max="1022" width="30.453125" style="582" customWidth="1"/>
    <col min="1023" max="1023" width="27.453125" style="582" customWidth="1"/>
    <col min="1024" max="1024" width="30.81640625" style="582" customWidth="1"/>
    <col min="1025" max="1025" width="24.81640625" style="582" customWidth="1"/>
    <col min="1026" max="1026" width="27.453125" style="582" customWidth="1"/>
    <col min="1027" max="1027" width="32" style="582" customWidth="1"/>
    <col min="1028" max="1028" width="25.54296875" style="582" customWidth="1"/>
    <col min="1029" max="1029" width="27.453125" style="582" customWidth="1"/>
    <col min="1030" max="1030" width="31.453125" style="582" customWidth="1"/>
    <col min="1031" max="1031" width="30.54296875" style="582" customWidth="1"/>
    <col min="1032" max="1032" width="27.453125" style="582" customWidth="1"/>
    <col min="1033" max="1033" width="32.54296875" style="582" customWidth="1"/>
    <col min="1034" max="1034" width="30.453125" style="582" customWidth="1"/>
    <col min="1035" max="1035" width="24.453125" style="582" customWidth="1"/>
    <col min="1036" max="1036" width="28" style="582" customWidth="1"/>
    <col min="1037" max="1037" width="19.453125" style="582" customWidth="1"/>
    <col min="1038" max="1274" width="9.1796875" style="582"/>
    <col min="1275" max="1275" width="14.54296875" style="582" customWidth="1"/>
    <col min="1276" max="1276" width="14.453125" style="582" customWidth="1"/>
    <col min="1277" max="1277" width="58.1796875" style="582" customWidth="1"/>
    <col min="1278" max="1278" width="30.453125" style="582" customWidth="1"/>
    <col min="1279" max="1279" width="27.453125" style="582" customWidth="1"/>
    <col min="1280" max="1280" width="30.81640625" style="582" customWidth="1"/>
    <col min="1281" max="1281" width="24.81640625" style="582" customWidth="1"/>
    <col min="1282" max="1282" width="27.453125" style="582" customWidth="1"/>
    <col min="1283" max="1283" width="32" style="582" customWidth="1"/>
    <col min="1284" max="1284" width="25.54296875" style="582" customWidth="1"/>
    <col min="1285" max="1285" width="27.453125" style="582" customWidth="1"/>
    <col min="1286" max="1286" width="31.453125" style="582" customWidth="1"/>
    <col min="1287" max="1287" width="30.54296875" style="582" customWidth="1"/>
    <col min="1288" max="1288" width="27.453125" style="582" customWidth="1"/>
    <col min="1289" max="1289" width="32.54296875" style="582" customWidth="1"/>
    <col min="1290" max="1290" width="30.453125" style="582" customWidth="1"/>
    <col min="1291" max="1291" width="24.453125" style="582" customWidth="1"/>
    <col min="1292" max="1292" width="28" style="582" customWidth="1"/>
    <col min="1293" max="1293" width="19.453125" style="582" customWidth="1"/>
    <col min="1294" max="1530" width="9.1796875" style="582"/>
    <col min="1531" max="1531" width="14.54296875" style="582" customWidth="1"/>
    <col min="1532" max="1532" width="14.453125" style="582" customWidth="1"/>
    <col min="1533" max="1533" width="58.1796875" style="582" customWidth="1"/>
    <col min="1534" max="1534" width="30.453125" style="582" customWidth="1"/>
    <col min="1535" max="1535" width="27.453125" style="582" customWidth="1"/>
    <col min="1536" max="1536" width="30.81640625" style="582" customWidth="1"/>
    <col min="1537" max="1537" width="24.81640625" style="582" customWidth="1"/>
    <col min="1538" max="1538" width="27.453125" style="582" customWidth="1"/>
    <col min="1539" max="1539" width="32" style="582" customWidth="1"/>
    <col min="1540" max="1540" width="25.54296875" style="582" customWidth="1"/>
    <col min="1541" max="1541" width="27.453125" style="582" customWidth="1"/>
    <col min="1542" max="1542" width="31.453125" style="582" customWidth="1"/>
    <col min="1543" max="1543" width="30.54296875" style="582" customWidth="1"/>
    <col min="1544" max="1544" width="27.453125" style="582" customWidth="1"/>
    <col min="1545" max="1545" width="32.54296875" style="582" customWidth="1"/>
    <col min="1546" max="1546" width="30.453125" style="582" customWidth="1"/>
    <col min="1547" max="1547" width="24.453125" style="582" customWidth="1"/>
    <col min="1548" max="1548" width="28" style="582" customWidth="1"/>
    <col min="1549" max="1549" width="19.453125" style="582" customWidth="1"/>
    <col min="1550" max="1786" width="9.1796875" style="582"/>
    <col min="1787" max="1787" width="14.54296875" style="582" customWidth="1"/>
    <col min="1788" max="1788" width="14.453125" style="582" customWidth="1"/>
    <col min="1789" max="1789" width="58.1796875" style="582" customWidth="1"/>
    <col min="1790" max="1790" width="30.453125" style="582" customWidth="1"/>
    <col min="1791" max="1791" width="27.453125" style="582" customWidth="1"/>
    <col min="1792" max="1792" width="30.81640625" style="582" customWidth="1"/>
    <col min="1793" max="1793" width="24.81640625" style="582" customWidth="1"/>
    <col min="1794" max="1794" width="27.453125" style="582" customWidth="1"/>
    <col min="1795" max="1795" width="32" style="582" customWidth="1"/>
    <col min="1796" max="1796" width="25.54296875" style="582" customWidth="1"/>
    <col min="1797" max="1797" width="27.453125" style="582" customWidth="1"/>
    <col min="1798" max="1798" width="31.453125" style="582" customWidth="1"/>
    <col min="1799" max="1799" width="30.54296875" style="582" customWidth="1"/>
    <col min="1800" max="1800" width="27.453125" style="582" customWidth="1"/>
    <col min="1801" max="1801" width="32.54296875" style="582" customWidth="1"/>
    <col min="1802" max="1802" width="30.453125" style="582" customWidth="1"/>
    <col min="1803" max="1803" width="24.453125" style="582" customWidth="1"/>
    <col min="1804" max="1804" width="28" style="582" customWidth="1"/>
    <col min="1805" max="1805" width="19.453125" style="582" customWidth="1"/>
    <col min="1806" max="2042" width="9.1796875" style="582"/>
    <col min="2043" max="2043" width="14.54296875" style="582" customWidth="1"/>
    <col min="2044" max="2044" width="14.453125" style="582" customWidth="1"/>
    <col min="2045" max="2045" width="58.1796875" style="582" customWidth="1"/>
    <col min="2046" max="2046" width="30.453125" style="582" customWidth="1"/>
    <col min="2047" max="2047" width="27.453125" style="582" customWidth="1"/>
    <col min="2048" max="2048" width="30.81640625" style="582" customWidth="1"/>
    <col min="2049" max="2049" width="24.81640625" style="582" customWidth="1"/>
    <col min="2050" max="2050" width="27.453125" style="582" customWidth="1"/>
    <col min="2051" max="2051" width="32" style="582" customWidth="1"/>
    <col min="2052" max="2052" width="25.54296875" style="582" customWidth="1"/>
    <col min="2053" max="2053" width="27.453125" style="582" customWidth="1"/>
    <col min="2054" max="2054" width="31.453125" style="582" customWidth="1"/>
    <col min="2055" max="2055" width="30.54296875" style="582" customWidth="1"/>
    <col min="2056" max="2056" width="27.453125" style="582" customWidth="1"/>
    <col min="2057" max="2057" width="32.54296875" style="582" customWidth="1"/>
    <col min="2058" max="2058" width="30.453125" style="582" customWidth="1"/>
    <col min="2059" max="2059" width="24.453125" style="582" customWidth="1"/>
    <col min="2060" max="2060" width="28" style="582" customWidth="1"/>
    <col min="2061" max="2061" width="19.453125" style="582" customWidth="1"/>
    <col min="2062" max="2298" width="9.1796875" style="582"/>
    <col min="2299" max="2299" width="14.54296875" style="582" customWidth="1"/>
    <col min="2300" max="2300" width="14.453125" style="582" customWidth="1"/>
    <col min="2301" max="2301" width="58.1796875" style="582" customWidth="1"/>
    <col min="2302" max="2302" width="30.453125" style="582" customWidth="1"/>
    <col min="2303" max="2303" width="27.453125" style="582" customWidth="1"/>
    <col min="2304" max="2304" width="30.81640625" style="582" customWidth="1"/>
    <col min="2305" max="2305" width="24.81640625" style="582" customWidth="1"/>
    <col min="2306" max="2306" width="27.453125" style="582" customWidth="1"/>
    <col min="2307" max="2307" width="32" style="582" customWidth="1"/>
    <col min="2308" max="2308" width="25.54296875" style="582" customWidth="1"/>
    <col min="2309" max="2309" width="27.453125" style="582" customWidth="1"/>
    <col min="2310" max="2310" width="31.453125" style="582" customWidth="1"/>
    <col min="2311" max="2311" width="30.54296875" style="582" customWidth="1"/>
    <col min="2312" max="2312" width="27.453125" style="582" customWidth="1"/>
    <col min="2313" max="2313" width="32.54296875" style="582" customWidth="1"/>
    <col min="2314" max="2314" width="30.453125" style="582" customWidth="1"/>
    <col min="2315" max="2315" width="24.453125" style="582" customWidth="1"/>
    <col min="2316" max="2316" width="28" style="582" customWidth="1"/>
    <col min="2317" max="2317" width="19.453125" style="582" customWidth="1"/>
    <col min="2318" max="2554" width="9.1796875" style="582"/>
    <col min="2555" max="2555" width="14.54296875" style="582" customWidth="1"/>
    <col min="2556" max="2556" width="14.453125" style="582" customWidth="1"/>
    <col min="2557" max="2557" width="58.1796875" style="582" customWidth="1"/>
    <col min="2558" max="2558" width="30.453125" style="582" customWidth="1"/>
    <col min="2559" max="2559" width="27.453125" style="582" customWidth="1"/>
    <col min="2560" max="2560" width="30.81640625" style="582" customWidth="1"/>
    <col min="2561" max="2561" width="24.81640625" style="582" customWidth="1"/>
    <col min="2562" max="2562" width="27.453125" style="582" customWidth="1"/>
    <col min="2563" max="2563" width="32" style="582" customWidth="1"/>
    <col min="2564" max="2564" width="25.54296875" style="582" customWidth="1"/>
    <col min="2565" max="2565" width="27.453125" style="582" customWidth="1"/>
    <col min="2566" max="2566" width="31.453125" style="582" customWidth="1"/>
    <col min="2567" max="2567" width="30.54296875" style="582" customWidth="1"/>
    <col min="2568" max="2568" width="27.453125" style="582" customWidth="1"/>
    <col min="2569" max="2569" width="32.54296875" style="582" customWidth="1"/>
    <col min="2570" max="2570" width="30.453125" style="582" customWidth="1"/>
    <col min="2571" max="2571" width="24.453125" style="582" customWidth="1"/>
    <col min="2572" max="2572" width="28" style="582" customWidth="1"/>
    <col min="2573" max="2573" width="19.453125" style="582" customWidth="1"/>
    <col min="2574" max="2810" width="9.1796875" style="582"/>
    <col min="2811" max="2811" width="14.54296875" style="582" customWidth="1"/>
    <col min="2812" max="2812" width="14.453125" style="582" customWidth="1"/>
    <col min="2813" max="2813" width="58.1796875" style="582" customWidth="1"/>
    <col min="2814" max="2814" width="30.453125" style="582" customWidth="1"/>
    <col min="2815" max="2815" width="27.453125" style="582" customWidth="1"/>
    <col min="2816" max="2816" width="30.81640625" style="582" customWidth="1"/>
    <col min="2817" max="2817" width="24.81640625" style="582" customWidth="1"/>
    <col min="2818" max="2818" width="27.453125" style="582" customWidth="1"/>
    <col min="2819" max="2819" width="32" style="582" customWidth="1"/>
    <col min="2820" max="2820" width="25.54296875" style="582" customWidth="1"/>
    <col min="2821" max="2821" width="27.453125" style="582" customWidth="1"/>
    <col min="2822" max="2822" width="31.453125" style="582" customWidth="1"/>
    <col min="2823" max="2823" width="30.54296875" style="582" customWidth="1"/>
    <col min="2824" max="2824" width="27.453125" style="582" customWidth="1"/>
    <col min="2825" max="2825" width="32.54296875" style="582" customWidth="1"/>
    <col min="2826" max="2826" width="30.453125" style="582" customWidth="1"/>
    <col min="2827" max="2827" width="24.453125" style="582" customWidth="1"/>
    <col min="2828" max="2828" width="28" style="582" customWidth="1"/>
    <col min="2829" max="2829" width="19.453125" style="582" customWidth="1"/>
    <col min="2830" max="3066" width="9.1796875" style="582"/>
    <col min="3067" max="3067" width="14.54296875" style="582" customWidth="1"/>
    <col min="3068" max="3068" width="14.453125" style="582" customWidth="1"/>
    <col min="3069" max="3069" width="58.1796875" style="582" customWidth="1"/>
    <col min="3070" max="3070" width="30.453125" style="582" customWidth="1"/>
    <col min="3071" max="3071" width="27.453125" style="582" customWidth="1"/>
    <col min="3072" max="3072" width="30.81640625" style="582" customWidth="1"/>
    <col min="3073" max="3073" width="24.81640625" style="582" customWidth="1"/>
    <col min="3074" max="3074" width="27.453125" style="582" customWidth="1"/>
    <col min="3075" max="3075" width="32" style="582" customWidth="1"/>
    <col min="3076" max="3076" width="25.54296875" style="582" customWidth="1"/>
    <col min="3077" max="3077" width="27.453125" style="582" customWidth="1"/>
    <col min="3078" max="3078" width="31.453125" style="582" customWidth="1"/>
    <col min="3079" max="3079" width="30.54296875" style="582" customWidth="1"/>
    <col min="3080" max="3080" width="27.453125" style="582" customWidth="1"/>
    <col min="3081" max="3081" width="32.54296875" style="582" customWidth="1"/>
    <col min="3082" max="3082" width="30.453125" style="582" customWidth="1"/>
    <col min="3083" max="3083" width="24.453125" style="582" customWidth="1"/>
    <col min="3084" max="3084" width="28" style="582" customWidth="1"/>
    <col min="3085" max="3085" width="19.453125" style="582" customWidth="1"/>
    <col min="3086" max="3322" width="9.1796875" style="582"/>
    <col min="3323" max="3323" width="14.54296875" style="582" customWidth="1"/>
    <col min="3324" max="3324" width="14.453125" style="582" customWidth="1"/>
    <col min="3325" max="3325" width="58.1796875" style="582" customWidth="1"/>
    <col min="3326" max="3326" width="30.453125" style="582" customWidth="1"/>
    <col min="3327" max="3327" width="27.453125" style="582" customWidth="1"/>
    <col min="3328" max="3328" width="30.81640625" style="582" customWidth="1"/>
    <col min="3329" max="3329" width="24.81640625" style="582" customWidth="1"/>
    <col min="3330" max="3330" width="27.453125" style="582" customWidth="1"/>
    <col min="3331" max="3331" width="32" style="582" customWidth="1"/>
    <col min="3332" max="3332" width="25.54296875" style="582" customWidth="1"/>
    <col min="3333" max="3333" width="27.453125" style="582" customWidth="1"/>
    <col min="3334" max="3334" width="31.453125" style="582" customWidth="1"/>
    <col min="3335" max="3335" width="30.54296875" style="582" customWidth="1"/>
    <col min="3336" max="3336" width="27.453125" style="582" customWidth="1"/>
    <col min="3337" max="3337" width="32.54296875" style="582" customWidth="1"/>
    <col min="3338" max="3338" width="30.453125" style="582" customWidth="1"/>
    <col min="3339" max="3339" width="24.453125" style="582" customWidth="1"/>
    <col min="3340" max="3340" width="28" style="582" customWidth="1"/>
    <col min="3341" max="3341" width="19.453125" style="582" customWidth="1"/>
    <col min="3342" max="3578" width="9.1796875" style="582"/>
    <col min="3579" max="3579" width="14.54296875" style="582" customWidth="1"/>
    <col min="3580" max="3580" width="14.453125" style="582" customWidth="1"/>
    <col min="3581" max="3581" width="58.1796875" style="582" customWidth="1"/>
    <col min="3582" max="3582" width="30.453125" style="582" customWidth="1"/>
    <col min="3583" max="3583" width="27.453125" style="582" customWidth="1"/>
    <col min="3584" max="3584" width="30.81640625" style="582" customWidth="1"/>
    <col min="3585" max="3585" width="24.81640625" style="582" customWidth="1"/>
    <col min="3586" max="3586" width="27.453125" style="582" customWidth="1"/>
    <col min="3587" max="3587" width="32" style="582" customWidth="1"/>
    <col min="3588" max="3588" width="25.54296875" style="582" customWidth="1"/>
    <col min="3589" max="3589" width="27.453125" style="582" customWidth="1"/>
    <col min="3590" max="3590" width="31.453125" style="582" customWidth="1"/>
    <col min="3591" max="3591" width="30.54296875" style="582" customWidth="1"/>
    <col min="3592" max="3592" width="27.453125" style="582" customWidth="1"/>
    <col min="3593" max="3593" width="32.54296875" style="582" customWidth="1"/>
    <col min="3594" max="3594" width="30.453125" style="582" customWidth="1"/>
    <col min="3595" max="3595" width="24.453125" style="582" customWidth="1"/>
    <col min="3596" max="3596" width="28" style="582" customWidth="1"/>
    <col min="3597" max="3597" width="19.453125" style="582" customWidth="1"/>
    <col min="3598" max="3834" width="9.1796875" style="582"/>
    <col min="3835" max="3835" width="14.54296875" style="582" customWidth="1"/>
    <col min="3836" max="3836" width="14.453125" style="582" customWidth="1"/>
    <col min="3837" max="3837" width="58.1796875" style="582" customWidth="1"/>
    <col min="3838" max="3838" width="30.453125" style="582" customWidth="1"/>
    <col min="3839" max="3839" width="27.453125" style="582" customWidth="1"/>
    <col min="3840" max="3840" width="30.81640625" style="582" customWidth="1"/>
    <col min="3841" max="3841" width="24.81640625" style="582" customWidth="1"/>
    <col min="3842" max="3842" width="27.453125" style="582" customWidth="1"/>
    <col min="3843" max="3843" width="32" style="582" customWidth="1"/>
    <col min="3844" max="3844" width="25.54296875" style="582" customWidth="1"/>
    <col min="3845" max="3845" width="27.453125" style="582" customWidth="1"/>
    <col min="3846" max="3846" width="31.453125" style="582" customWidth="1"/>
    <col min="3847" max="3847" width="30.54296875" style="582" customWidth="1"/>
    <col min="3848" max="3848" width="27.453125" style="582" customWidth="1"/>
    <col min="3849" max="3849" width="32.54296875" style="582" customWidth="1"/>
    <col min="3850" max="3850" width="30.453125" style="582" customWidth="1"/>
    <col min="3851" max="3851" width="24.453125" style="582" customWidth="1"/>
    <col min="3852" max="3852" width="28" style="582" customWidth="1"/>
    <col min="3853" max="3853" width="19.453125" style="582" customWidth="1"/>
    <col min="3854" max="4090" width="9.1796875" style="582"/>
    <col min="4091" max="4091" width="14.54296875" style="582" customWidth="1"/>
    <col min="4092" max="4092" width="14.453125" style="582" customWidth="1"/>
    <col min="4093" max="4093" width="58.1796875" style="582" customWidth="1"/>
    <col min="4094" max="4094" width="30.453125" style="582" customWidth="1"/>
    <col min="4095" max="4095" width="27.453125" style="582" customWidth="1"/>
    <col min="4096" max="4096" width="30.81640625" style="582" customWidth="1"/>
    <col min="4097" max="4097" width="24.81640625" style="582" customWidth="1"/>
    <col min="4098" max="4098" width="27.453125" style="582" customWidth="1"/>
    <col min="4099" max="4099" width="32" style="582" customWidth="1"/>
    <col min="4100" max="4100" width="25.54296875" style="582" customWidth="1"/>
    <col min="4101" max="4101" width="27.453125" style="582" customWidth="1"/>
    <col min="4102" max="4102" width="31.453125" style="582" customWidth="1"/>
    <col min="4103" max="4103" width="30.54296875" style="582" customWidth="1"/>
    <col min="4104" max="4104" width="27.453125" style="582" customWidth="1"/>
    <col min="4105" max="4105" width="32.54296875" style="582" customWidth="1"/>
    <col min="4106" max="4106" width="30.453125" style="582" customWidth="1"/>
    <col min="4107" max="4107" width="24.453125" style="582" customWidth="1"/>
    <col min="4108" max="4108" width="28" style="582" customWidth="1"/>
    <col min="4109" max="4109" width="19.453125" style="582" customWidth="1"/>
    <col min="4110" max="4346" width="9.1796875" style="582"/>
    <col min="4347" max="4347" width="14.54296875" style="582" customWidth="1"/>
    <col min="4348" max="4348" width="14.453125" style="582" customWidth="1"/>
    <col min="4349" max="4349" width="58.1796875" style="582" customWidth="1"/>
    <col min="4350" max="4350" width="30.453125" style="582" customWidth="1"/>
    <col min="4351" max="4351" width="27.453125" style="582" customWidth="1"/>
    <col min="4352" max="4352" width="30.81640625" style="582" customWidth="1"/>
    <col min="4353" max="4353" width="24.81640625" style="582" customWidth="1"/>
    <col min="4354" max="4354" width="27.453125" style="582" customWidth="1"/>
    <col min="4355" max="4355" width="32" style="582" customWidth="1"/>
    <col min="4356" max="4356" width="25.54296875" style="582" customWidth="1"/>
    <col min="4357" max="4357" width="27.453125" style="582" customWidth="1"/>
    <col min="4358" max="4358" width="31.453125" style="582" customWidth="1"/>
    <col min="4359" max="4359" width="30.54296875" style="582" customWidth="1"/>
    <col min="4360" max="4360" width="27.453125" style="582" customWidth="1"/>
    <col min="4361" max="4361" width="32.54296875" style="582" customWidth="1"/>
    <col min="4362" max="4362" width="30.453125" style="582" customWidth="1"/>
    <col min="4363" max="4363" width="24.453125" style="582" customWidth="1"/>
    <col min="4364" max="4364" width="28" style="582" customWidth="1"/>
    <col min="4365" max="4365" width="19.453125" style="582" customWidth="1"/>
    <col min="4366" max="4602" width="9.1796875" style="582"/>
    <col min="4603" max="4603" width="14.54296875" style="582" customWidth="1"/>
    <col min="4604" max="4604" width="14.453125" style="582" customWidth="1"/>
    <col min="4605" max="4605" width="58.1796875" style="582" customWidth="1"/>
    <col min="4606" max="4606" width="30.453125" style="582" customWidth="1"/>
    <col min="4607" max="4607" width="27.453125" style="582" customWidth="1"/>
    <col min="4608" max="4608" width="30.81640625" style="582" customWidth="1"/>
    <col min="4609" max="4609" width="24.81640625" style="582" customWidth="1"/>
    <col min="4610" max="4610" width="27.453125" style="582" customWidth="1"/>
    <col min="4611" max="4611" width="32" style="582" customWidth="1"/>
    <col min="4612" max="4612" width="25.54296875" style="582" customWidth="1"/>
    <col min="4613" max="4613" width="27.453125" style="582" customWidth="1"/>
    <col min="4614" max="4614" width="31.453125" style="582" customWidth="1"/>
    <col min="4615" max="4615" width="30.54296875" style="582" customWidth="1"/>
    <col min="4616" max="4616" width="27.453125" style="582" customWidth="1"/>
    <col min="4617" max="4617" width="32.54296875" style="582" customWidth="1"/>
    <col min="4618" max="4618" width="30.453125" style="582" customWidth="1"/>
    <col min="4619" max="4619" width="24.453125" style="582" customWidth="1"/>
    <col min="4620" max="4620" width="28" style="582" customWidth="1"/>
    <col min="4621" max="4621" width="19.453125" style="582" customWidth="1"/>
    <col min="4622" max="4858" width="9.1796875" style="582"/>
    <col min="4859" max="4859" width="14.54296875" style="582" customWidth="1"/>
    <col min="4860" max="4860" width="14.453125" style="582" customWidth="1"/>
    <col min="4861" max="4861" width="58.1796875" style="582" customWidth="1"/>
    <col min="4862" max="4862" width="30.453125" style="582" customWidth="1"/>
    <col min="4863" max="4863" width="27.453125" style="582" customWidth="1"/>
    <col min="4864" max="4864" width="30.81640625" style="582" customWidth="1"/>
    <col min="4865" max="4865" width="24.81640625" style="582" customWidth="1"/>
    <col min="4866" max="4866" width="27.453125" style="582" customWidth="1"/>
    <col min="4867" max="4867" width="32" style="582" customWidth="1"/>
    <col min="4868" max="4868" width="25.54296875" style="582" customWidth="1"/>
    <col min="4869" max="4869" width="27.453125" style="582" customWidth="1"/>
    <col min="4870" max="4870" width="31.453125" style="582" customWidth="1"/>
    <col min="4871" max="4871" width="30.54296875" style="582" customWidth="1"/>
    <col min="4872" max="4872" width="27.453125" style="582" customWidth="1"/>
    <col min="4873" max="4873" width="32.54296875" style="582" customWidth="1"/>
    <col min="4874" max="4874" width="30.453125" style="582" customWidth="1"/>
    <col min="4875" max="4875" width="24.453125" style="582" customWidth="1"/>
    <col min="4876" max="4876" width="28" style="582" customWidth="1"/>
    <col min="4877" max="4877" width="19.453125" style="582" customWidth="1"/>
    <col min="4878" max="5114" width="9.1796875" style="582"/>
    <col min="5115" max="5115" width="14.54296875" style="582" customWidth="1"/>
    <col min="5116" max="5116" width="14.453125" style="582" customWidth="1"/>
    <col min="5117" max="5117" width="58.1796875" style="582" customWidth="1"/>
    <col min="5118" max="5118" width="30.453125" style="582" customWidth="1"/>
    <col min="5119" max="5119" width="27.453125" style="582" customWidth="1"/>
    <col min="5120" max="5120" width="30.81640625" style="582" customWidth="1"/>
    <col min="5121" max="5121" width="24.81640625" style="582" customWidth="1"/>
    <col min="5122" max="5122" width="27.453125" style="582" customWidth="1"/>
    <col min="5123" max="5123" width="32" style="582" customWidth="1"/>
    <col min="5124" max="5124" width="25.54296875" style="582" customWidth="1"/>
    <col min="5125" max="5125" width="27.453125" style="582" customWidth="1"/>
    <col min="5126" max="5126" width="31.453125" style="582" customWidth="1"/>
    <col min="5127" max="5127" width="30.54296875" style="582" customWidth="1"/>
    <col min="5128" max="5128" width="27.453125" style="582" customWidth="1"/>
    <col min="5129" max="5129" width="32.54296875" style="582" customWidth="1"/>
    <col min="5130" max="5130" width="30.453125" style="582" customWidth="1"/>
    <col min="5131" max="5131" width="24.453125" style="582" customWidth="1"/>
    <col min="5132" max="5132" width="28" style="582" customWidth="1"/>
    <col min="5133" max="5133" width="19.453125" style="582" customWidth="1"/>
    <col min="5134" max="5370" width="9.1796875" style="582"/>
    <col min="5371" max="5371" width="14.54296875" style="582" customWidth="1"/>
    <col min="5372" max="5372" width="14.453125" style="582" customWidth="1"/>
    <col min="5373" max="5373" width="58.1796875" style="582" customWidth="1"/>
    <col min="5374" max="5374" width="30.453125" style="582" customWidth="1"/>
    <col min="5375" max="5375" width="27.453125" style="582" customWidth="1"/>
    <col min="5376" max="5376" width="30.81640625" style="582" customWidth="1"/>
    <col min="5377" max="5377" width="24.81640625" style="582" customWidth="1"/>
    <col min="5378" max="5378" width="27.453125" style="582" customWidth="1"/>
    <col min="5379" max="5379" width="32" style="582" customWidth="1"/>
    <col min="5380" max="5380" width="25.54296875" style="582" customWidth="1"/>
    <col min="5381" max="5381" width="27.453125" style="582" customWidth="1"/>
    <col min="5382" max="5382" width="31.453125" style="582" customWidth="1"/>
    <col min="5383" max="5383" width="30.54296875" style="582" customWidth="1"/>
    <col min="5384" max="5384" width="27.453125" style="582" customWidth="1"/>
    <col min="5385" max="5385" width="32.54296875" style="582" customWidth="1"/>
    <col min="5386" max="5386" width="30.453125" style="582" customWidth="1"/>
    <col min="5387" max="5387" width="24.453125" style="582" customWidth="1"/>
    <col min="5388" max="5388" width="28" style="582" customWidth="1"/>
    <col min="5389" max="5389" width="19.453125" style="582" customWidth="1"/>
    <col min="5390" max="5626" width="9.1796875" style="582"/>
    <col min="5627" max="5627" width="14.54296875" style="582" customWidth="1"/>
    <col min="5628" max="5628" width="14.453125" style="582" customWidth="1"/>
    <col min="5629" max="5629" width="58.1796875" style="582" customWidth="1"/>
    <col min="5630" max="5630" width="30.453125" style="582" customWidth="1"/>
    <col min="5631" max="5631" width="27.453125" style="582" customWidth="1"/>
    <col min="5632" max="5632" width="30.81640625" style="582" customWidth="1"/>
    <col min="5633" max="5633" width="24.81640625" style="582" customWidth="1"/>
    <col min="5634" max="5634" width="27.453125" style="582" customWidth="1"/>
    <col min="5635" max="5635" width="32" style="582" customWidth="1"/>
    <col min="5636" max="5636" width="25.54296875" style="582" customWidth="1"/>
    <col min="5637" max="5637" width="27.453125" style="582" customWidth="1"/>
    <col min="5638" max="5638" width="31.453125" style="582" customWidth="1"/>
    <col min="5639" max="5639" width="30.54296875" style="582" customWidth="1"/>
    <col min="5640" max="5640" width="27.453125" style="582" customWidth="1"/>
    <col min="5641" max="5641" width="32.54296875" style="582" customWidth="1"/>
    <col min="5642" max="5642" width="30.453125" style="582" customWidth="1"/>
    <col min="5643" max="5643" width="24.453125" style="582" customWidth="1"/>
    <col min="5644" max="5644" width="28" style="582" customWidth="1"/>
    <col min="5645" max="5645" width="19.453125" style="582" customWidth="1"/>
    <col min="5646" max="5882" width="9.1796875" style="582"/>
    <col min="5883" max="5883" width="14.54296875" style="582" customWidth="1"/>
    <col min="5884" max="5884" width="14.453125" style="582" customWidth="1"/>
    <col min="5885" max="5885" width="58.1796875" style="582" customWidth="1"/>
    <col min="5886" max="5886" width="30.453125" style="582" customWidth="1"/>
    <col min="5887" max="5887" width="27.453125" style="582" customWidth="1"/>
    <col min="5888" max="5888" width="30.81640625" style="582" customWidth="1"/>
    <col min="5889" max="5889" width="24.81640625" style="582" customWidth="1"/>
    <col min="5890" max="5890" width="27.453125" style="582" customWidth="1"/>
    <col min="5891" max="5891" width="32" style="582" customWidth="1"/>
    <col min="5892" max="5892" width="25.54296875" style="582" customWidth="1"/>
    <col min="5893" max="5893" width="27.453125" style="582" customWidth="1"/>
    <col min="5894" max="5894" width="31.453125" style="582" customWidth="1"/>
    <col min="5895" max="5895" width="30.54296875" style="582" customWidth="1"/>
    <col min="5896" max="5896" width="27.453125" style="582" customWidth="1"/>
    <col min="5897" max="5897" width="32.54296875" style="582" customWidth="1"/>
    <col min="5898" max="5898" width="30.453125" style="582" customWidth="1"/>
    <col min="5899" max="5899" width="24.453125" style="582" customWidth="1"/>
    <col min="5900" max="5900" width="28" style="582" customWidth="1"/>
    <col min="5901" max="5901" width="19.453125" style="582" customWidth="1"/>
    <col min="5902" max="6138" width="9.1796875" style="582"/>
    <col min="6139" max="6139" width="14.54296875" style="582" customWidth="1"/>
    <col min="6140" max="6140" width="14.453125" style="582" customWidth="1"/>
    <col min="6141" max="6141" width="58.1796875" style="582" customWidth="1"/>
    <col min="6142" max="6142" width="30.453125" style="582" customWidth="1"/>
    <col min="6143" max="6143" width="27.453125" style="582" customWidth="1"/>
    <col min="6144" max="6144" width="30.81640625" style="582" customWidth="1"/>
    <col min="6145" max="6145" width="24.81640625" style="582" customWidth="1"/>
    <col min="6146" max="6146" width="27.453125" style="582" customWidth="1"/>
    <col min="6147" max="6147" width="32" style="582" customWidth="1"/>
    <col min="6148" max="6148" width="25.54296875" style="582" customWidth="1"/>
    <col min="6149" max="6149" width="27.453125" style="582" customWidth="1"/>
    <col min="6150" max="6150" width="31.453125" style="582" customWidth="1"/>
    <col min="6151" max="6151" width="30.54296875" style="582" customWidth="1"/>
    <col min="6152" max="6152" width="27.453125" style="582" customWidth="1"/>
    <col min="6153" max="6153" width="32.54296875" style="582" customWidth="1"/>
    <col min="6154" max="6154" width="30.453125" style="582" customWidth="1"/>
    <col min="6155" max="6155" width="24.453125" style="582" customWidth="1"/>
    <col min="6156" max="6156" width="28" style="582" customWidth="1"/>
    <col min="6157" max="6157" width="19.453125" style="582" customWidth="1"/>
    <col min="6158" max="6394" width="9.1796875" style="582"/>
    <col min="6395" max="6395" width="14.54296875" style="582" customWidth="1"/>
    <col min="6396" max="6396" width="14.453125" style="582" customWidth="1"/>
    <col min="6397" max="6397" width="58.1796875" style="582" customWidth="1"/>
    <col min="6398" max="6398" width="30.453125" style="582" customWidth="1"/>
    <col min="6399" max="6399" width="27.453125" style="582" customWidth="1"/>
    <col min="6400" max="6400" width="30.81640625" style="582" customWidth="1"/>
    <col min="6401" max="6401" width="24.81640625" style="582" customWidth="1"/>
    <col min="6402" max="6402" width="27.453125" style="582" customWidth="1"/>
    <col min="6403" max="6403" width="32" style="582" customWidth="1"/>
    <col min="6404" max="6404" width="25.54296875" style="582" customWidth="1"/>
    <col min="6405" max="6405" width="27.453125" style="582" customWidth="1"/>
    <col min="6406" max="6406" width="31.453125" style="582" customWidth="1"/>
    <col min="6407" max="6407" width="30.54296875" style="582" customWidth="1"/>
    <col min="6408" max="6408" width="27.453125" style="582" customWidth="1"/>
    <col min="6409" max="6409" width="32.54296875" style="582" customWidth="1"/>
    <col min="6410" max="6410" width="30.453125" style="582" customWidth="1"/>
    <col min="6411" max="6411" width="24.453125" style="582" customWidth="1"/>
    <col min="6412" max="6412" width="28" style="582" customWidth="1"/>
    <col min="6413" max="6413" width="19.453125" style="582" customWidth="1"/>
    <col min="6414" max="6650" width="9.1796875" style="582"/>
    <col min="6651" max="6651" width="14.54296875" style="582" customWidth="1"/>
    <col min="6652" max="6652" width="14.453125" style="582" customWidth="1"/>
    <col min="6653" max="6653" width="58.1796875" style="582" customWidth="1"/>
    <col min="6654" max="6654" width="30.453125" style="582" customWidth="1"/>
    <col min="6655" max="6655" width="27.453125" style="582" customWidth="1"/>
    <col min="6656" max="6656" width="30.81640625" style="582" customWidth="1"/>
    <col min="6657" max="6657" width="24.81640625" style="582" customWidth="1"/>
    <col min="6658" max="6658" width="27.453125" style="582" customWidth="1"/>
    <col min="6659" max="6659" width="32" style="582" customWidth="1"/>
    <col min="6660" max="6660" width="25.54296875" style="582" customWidth="1"/>
    <col min="6661" max="6661" width="27.453125" style="582" customWidth="1"/>
    <col min="6662" max="6662" width="31.453125" style="582" customWidth="1"/>
    <col min="6663" max="6663" width="30.54296875" style="582" customWidth="1"/>
    <col min="6664" max="6664" width="27.453125" style="582" customWidth="1"/>
    <col min="6665" max="6665" width="32.54296875" style="582" customWidth="1"/>
    <col min="6666" max="6666" width="30.453125" style="582" customWidth="1"/>
    <col min="6667" max="6667" width="24.453125" style="582" customWidth="1"/>
    <col min="6668" max="6668" width="28" style="582" customWidth="1"/>
    <col min="6669" max="6669" width="19.453125" style="582" customWidth="1"/>
    <col min="6670" max="6906" width="9.1796875" style="582"/>
    <col min="6907" max="6907" width="14.54296875" style="582" customWidth="1"/>
    <col min="6908" max="6908" width="14.453125" style="582" customWidth="1"/>
    <col min="6909" max="6909" width="58.1796875" style="582" customWidth="1"/>
    <col min="6910" max="6910" width="30.453125" style="582" customWidth="1"/>
    <col min="6911" max="6911" width="27.453125" style="582" customWidth="1"/>
    <col min="6912" max="6912" width="30.81640625" style="582" customWidth="1"/>
    <col min="6913" max="6913" width="24.81640625" style="582" customWidth="1"/>
    <col min="6914" max="6914" width="27.453125" style="582" customWidth="1"/>
    <col min="6915" max="6915" width="32" style="582" customWidth="1"/>
    <col min="6916" max="6916" width="25.54296875" style="582" customWidth="1"/>
    <col min="6917" max="6917" width="27.453125" style="582" customWidth="1"/>
    <col min="6918" max="6918" width="31.453125" style="582" customWidth="1"/>
    <col min="6919" max="6919" width="30.54296875" style="582" customWidth="1"/>
    <col min="6920" max="6920" width="27.453125" style="582" customWidth="1"/>
    <col min="6921" max="6921" width="32.54296875" style="582" customWidth="1"/>
    <col min="6922" max="6922" width="30.453125" style="582" customWidth="1"/>
    <col min="6923" max="6923" width="24.453125" style="582" customWidth="1"/>
    <col min="6924" max="6924" width="28" style="582" customWidth="1"/>
    <col min="6925" max="6925" width="19.453125" style="582" customWidth="1"/>
    <col min="6926" max="7162" width="9.1796875" style="582"/>
    <col min="7163" max="7163" width="14.54296875" style="582" customWidth="1"/>
    <col min="7164" max="7164" width="14.453125" style="582" customWidth="1"/>
    <col min="7165" max="7165" width="58.1796875" style="582" customWidth="1"/>
    <col min="7166" max="7166" width="30.453125" style="582" customWidth="1"/>
    <col min="7167" max="7167" width="27.453125" style="582" customWidth="1"/>
    <col min="7168" max="7168" width="30.81640625" style="582" customWidth="1"/>
    <col min="7169" max="7169" width="24.81640625" style="582" customWidth="1"/>
    <col min="7170" max="7170" width="27.453125" style="582" customWidth="1"/>
    <col min="7171" max="7171" width="32" style="582" customWidth="1"/>
    <col min="7172" max="7172" width="25.54296875" style="582" customWidth="1"/>
    <col min="7173" max="7173" width="27.453125" style="582" customWidth="1"/>
    <col min="7174" max="7174" width="31.453125" style="582" customWidth="1"/>
    <col min="7175" max="7175" width="30.54296875" style="582" customWidth="1"/>
    <col min="7176" max="7176" width="27.453125" style="582" customWidth="1"/>
    <col min="7177" max="7177" width="32.54296875" style="582" customWidth="1"/>
    <col min="7178" max="7178" width="30.453125" style="582" customWidth="1"/>
    <col min="7179" max="7179" width="24.453125" style="582" customWidth="1"/>
    <col min="7180" max="7180" width="28" style="582" customWidth="1"/>
    <col min="7181" max="7181" width="19.453125" style="582" customWidth="1"/>
    <col min="7182" max="7418" width="9.1796875" style="582"/>
    <col min="7419" max="7419" width="14.54296875" style="582" customWidth="1"/>
    <col min="7420" max="7420" width="14.453125" style="582" customWidth="1"/>
    <col min="7421" max="7421" width="58.1796875" style="582" customWidth="1"/>
    <col min="7422" max="7422" width="30.453125" style="582" customWidth="1"/>
    <col min="7423" max="7423" width="27.453125" style="582" customWidth="1"/>
    <col min="7424" max="7424" width="30.81640625" style="582" customWidth="1"/>
    <col min="7425" max="7425" width="24.81640625" style="582" customWidth="1"/>
    <col min="7426" max="7426" width="27.453125" style="582" customWidth="1"/>
    <col min="7427" max="7427" width="32" style="582" customWidth="1"/>
    <col min="7428" max="7428" width="25.54296875" style="582" customWidth="1"/>
    <col min="7429" max="7429" width="27.453125" style="582" customWidth="1"/>
    <col min="7430" max="7430" width="31.453125" style="582" customWidth="1"/>
    <col min="7431" max="7431" width="30.54296875" style="582" customWidth="1"/>
    <col min="7432" max="7432" width="27.453125" style="582" customWidth="1"/>
    <col min="7433" max="7433" width="32.54296875" style="582" customWidth="1"/>
    <col min="7434" max="7434" width="30.453125" style="582" customWidth="1"/>
    <col min="7435" max="7435" width="24.453125" style="582" customWidth="1"/>
    <col min="7436" max="7436" width="28" style="582" customWidth="1"/>
    <col min="7437" max="7437" width="19.453125" style="582" customWidth="1"/>
    <col min="7438" max="7674" width="9.1796875" style="582"/>
    <col min="7675" max="7675" width="14.54296875" style="582" customWidth="1"/>
    <col min="7676" max="7676" width="14.453125" style="582" customWidth="1"/>
    <col min="7677" max="7677" width="58.1796875" style="582" customWidth="1"/>
    <col min="7678" max="7678" width="30.453125" style="582" customWidth="1"/>
    <col min="7679" max="7679" width="27.453125" style="582" customWidth="1"/>
    <col min="7680" max="7680" width="30.81640625" style="582" customWidth="1"/>
    <col min="7681" max="7681" width="24.81640625" style="582" customWidth="1"/>
    <col min="7682" max="7682" width="27.453125" style="582" customWidth="1"/>
    <col min="7683" max="7683" width="32" style="582" customWidth="1"/>
    <col min="7684" max="7684" width="25.54296875" style="582" customWidth="1"/>
    <col min="7685" max="7685" width="27.453125" style="582" customWidth="1"/>
    <col min="7686" max="7686" width="31.453125" style="582" customWidth="1"/>
    <col min="7687" max="7687" width="30.54296875" style="582" customWidth="1"/>
    <col min="7688" max="7688" width="27.453125" style="582" customWidth="1"/>
    <col min="7689" max="7689" width="32.54296875" style="582" customWidth="1"/>
    <col min="7690" max="7690" width="30.453125" style="582" customWidth="1"/>
    <col min="7691" max="7691" width="24.453125" style="582" customWidth="1"/>
    <col min="7692" max="7692" width="28" style="582" customWidth="1"/>
    <col min="7693" max="7693" width="19.453125" style="582" customWidth="1"/>
    <col min="7694" max="7930" width="9.1796875" style="582"/>
    <col min="7931" max="7931" width="14.54296875" style="582" customWidth="1"/>
    <col min="7932" max="7932" width="14.453125" style="582" customWidth="1"/>
    <col min="7933" max="7933" width="58.1796875" style="582" customWidth="1"/>
    <col min="7934" max="7934" width="30.453125" style="582" customWidth="1"/>
    <col min="7935" max="7935" width="27.453125" style="582" customWidth="1"/>
    <col min="7936" max="7936" width="30.81640625" style="582" customWidth="1"/>
    <col min="7937" max="7937" width="24.81640625" style="582" customWidth="1"/>
    <col min="7938" max="7938" width="27.453125" style="582" customWidth="1"/>
    <col min="7939" max="7939" width="32" style="582" customWidth="1"/>
    <col min="7940" max="7940" width="25.54296875" style="582" customWidth="1"/>
    <col min="7941" max="7941" width="27.453125" style="582" customWidth="1"/>
    <col min="7942" max="7942" width="31.453125" style="582" customWidth="1"/>
    <col min="7943" max="7943" width="30.54296875" style="582" customWidth="1"/>
    <col min="7944" max="7944" width="27.453125" style="582" customWidth="1"/>
    <col min="7945" max="7945" width="32.54296875" style="582" customWidth="1"/>
    <col min="7946" max="7946" width="30.453125" style="582" customWidth="1"/>
    <col min="7947" max="7947" width="24.453125" style="582" customWidth="1"/>
    <col min="7948" max="7948" width="28" style="582" customWidth="1"/>
    <col min="7949" max="7949" width="19.453125" style="582" customWidth="1"/>
    <col min="7950" max="8186" width="9.1796875" style="582"/>
    <col min="8187" max="8187" width="14.54296875" style="582" customWidth="1"/>
    <col min="8188" max="8188" width="14.453125" style="582" customWidth="1"/>
    <col min="8189" max="8189" width="58.1796875" style="582" customWidth="1"/>
    <col min="8190" max="8190" width="30.453125" style="582" customWidth="1"/>
    <col min="8191" max="8191" width="27.453125" style="582" customWidth="1"/>
    <col min="8192" max="8192" width="30.81640625" style="582" customWidth="1"/>
    <col min="8193" max="8193" width="24.81640625" style="582" customWidth="1"/>
    <col min="8194" max="8194" width="27.453125" style="582" customWidth="1"/>
    <col min="8195" max="8195" width="32" style="582" customWidth="1"/>
    <col min="8196" max="8196" width="25.54296875" style="582" customWidth="1"/>
    <col min="8197" max="8197" width="27.453125" style="582" customWidth="1"/>
    <col min="8198" max="8198" width="31.453125" style="582" customWidth="1"/>
    <col min="8199" max="8199" width="30.54296875" style="582" customWidth="1"/>
    <col min="8200" max="8200" width="27.453125" style="582" customWidth="1"/>
    <col min="8201" max="8201" width="32.54296875" style="582" customWidth="1"/>
    <col min="8202" max="8202" width="30.453125" style="582" customWidth="1"/>
    <col min="8203" max="8203" width="24.453125" style="582" customWidth="1"/>
    <col min="8204" max="8204" width="28" style="582" customWidth="1"/>
    <col min="8205" max="8205" width="19.453125" style="582" customWidth="1"/>
    <col min="8206" max="8442" width="9.1796875" style="582"/>
    <col min="8443" max="8443" width="14.54296875" style="582" customWidth="1"/>
    <col min="8444" max="8444" width="14.453125" style="582" customWidth="1"/>
    <col min="8445" max="8445" width="58.1796875" style="582" customWidth="1"/>
    <col min="8446" max="8446" width="30.453125" style="582" customWidth="1"/>
    <col min="8447" max="8447" width="27.453125" style="582" customWidth="1"/>
    <col min="8448" max="8448" width="30.81640625" style="582" customWidth="1"/>
    <col min="8449" max="8449" width="24.81640625" style="582" customWidth="1"/>
    <col min="8450" max="8450" width="27.453125" style="582" customWidth="1"/>
    <col min="8451" max="8451" width="32" style="582" customWidth="1"/>
    <col min="8452" max="8452" width="25.54296875" style="582" customWidth="1"/>
    <col min="8453" max="8453" width="27.453125" style="582" customWidth="1"/>
    <col min="8454" max="8454" width="31.453125" style="582" customWidth="1"/>
    <col min="8455" max="8455" width="30.54296875" style="582" customWidth="1"/>
    <col min="8456" max="8456" width="27.453125" style="582" customWidth="1"/>
    <col min="8457" max="8457" width="32.54296875" style="582" customWidth="1"/>
    <col min="8458" max="8458" width="30.453125" style="582" customWidth="1"/>
    <col min="8459" max="8459" width="24.453125" style="582" customWidth="1"/>
    <col min="8460" max="8460" width="28" style="582" customWidth="1"/>
    <col min="8461" max="8461" width="19.453125" style="582" customWidth="1"/>
    <col min="8462" max="8698" width="9.1796875" style="582"/>
    <col min="8699" max="8699" width="14.54296875" style="582" customWidth="1"/>
    <col min="8700" max="8700" width="14.453125" style="582" customWidth="1"/>
    <col min="8701" max="8701" width="58.1796875" style="582" customWidth="1"/>
    <col min="8702" max="8702" width="30.453125" style="582" customWidth="1"/>
    <col min="8703" max="8703" width="27.453125" style="582" customWidth="1"/>
    <col min="8704" max="8704" width="30.81640625" style="582" customWidth="1"/>
    <col min="8705" max="8705" width="24.81640625" style="582" customWidth="1"/>
    <col min="8706" max="8706" width="27.453125" style="582" customWidth="1"/>
    <col min="8707" max="8707" width="32" style="582" customWidth="1"/>
    <col min="8708" max="8708" width="25.54296875" style="582" customWidth="1"/>
    <col min="8709" max="8709" width="27.453125" style="582" customWidth="1"/>
    <col min="8710" max="8710" width="31.453125" style="582" customWidth="1"/>
    <col min="8711" max="8711" width="30.54296875" style="582" customWidth="1"/>
    <col min="8712" max="8712" width="27.453125" style="582" customWidth="1"/>
    <col min="8713" max="8713" width="32.54296875" style="582" customWidth="1"/>
    <col min="8714" max="8714" width="30.453125" style="582" customWidth="1"/>
    <col min="8715" max="8715" width="24.453125" style="582" customWidth="1"/>
    <col min="8716" max="8716" width="28" style="582" customWidth="1"/>
    <col min="8717" max="8717" width="19.453125" style="582" customWidth="1"/>
    <col min="8718" max="8954" width="9.1796875" style="582"/>
    <col min="8955" max="8955" width="14.54296875" style="582" customWidth="1"/>
    <col min="8956" max="8956" width="14.453125" style="582" customWidth="1"/>
    <col min="8957" max="8957" width="58.1796875" style="582" customWidth="1"/>
    <col min="8958" max="8958" width="30.453125" style="582" customWidth="1"/>
    <col min="8959" max="8959" width="27.453125" style="582" customWidth="1"/>
    <col min="8960" max="8960" width="30.81640625" style="582" customWidth="1"/>
    <col min="8961" max="8961" width="24.81640625" style="582" customWidth="1"/>
    <col min="8962" max="8962" width="27.453125" style="582" customWidth="1"/>
    <col min="8963" max="8963" width="32" style="582" customWidth="1"/>
    <col min="8964" max="8964" width="25.54296875" style="582" customWidth="1"/>
    <col min="8965" max="8965" width="27.453125" style="582" customWidth="1"/>
    <col min="8966" max="8966" width="31.453125" style="582" customWidth="1"/>
    <col min="8967" max="8967" width="30.54296875" style="582" customWidth="1"/>
    <col min="8968" max="8968" width="27.453125" style="582" customWidth="1"/>
    <col min="8969" max="8969" width="32.54296875" style="582" customWidth="1"/>
    <col min="8970" max="8970" width="30.453125" style="582" customWidth="1"/>
    <col min="8971" max="8971" width="24.453125" style="582" customWidth="1"/>
    <col min="8972" max="8972" width="28" style="582" customWidth="1"/>
    <col min="8973" max="8973" width="19.453125" style="582" customWidth="1"/>
    <col min="8974" max="9210" width="9.1796875" style="582"/>
    <col min="9211" max="9211" width="14.54296875" style="582" customWidth="1"/>
    <col min="9212" max="9212" width="14.453125" style="582" customWidth="1"/>
    <col min="9213" max="9213" width="58.1796875" style="582" customWidth="1"/>
    <col min="9214" max="9214" width="30.453125" style="582" customWidth="1"/>
    <col min="9215" max="9215" width="27.453125" style="582" customWidth="1"/>
    <col min="9216" max="9216" width="30.81640625" style="582" customWidth="1"/>
    <col min="9217" max="9217" width="24.81640625" style="582" customWidth="1"/>
    <col min="9218" max="9218" width="27.453125" style="582" customWidth="1"/>
    <col min="9219" max="9219" width="32" style="582" customWidth="1"/>
    <col min="9220" max="9220" width="25.54296875" style="582" customWidth="1"/>
    <col min="9221" max="9221" width="27.453125" style="582" customWidth="1"/>
    <col min="9222" max="9222" width="31.453125" style="582" customWidth="1"/>
    <col min="9223" max="9223" width="30.54296875" style="582" customWidth="1"/>
    <col min="9224" max="9224" width="27.453125" style="582" customWidth="1"/>
    <col min="9225" max="9225" width="32.54296875" style="582" customWidth="1"/>
    <col min="9226" max="9226" width="30.453125" style="582" customWidth="1"/>
    <col min="9227" max="9227" width="24.453125" style="582" customWidth="1"/>
    <col min="9228" max="9228" width="28" style="582" customWidth="1"/>
    <col min="9229" max="9229" width="19.453125" style="582" customWidth="1"/>
    <col min="9230" max="9466" width="9.1796875" style="582"/>
    <col min="9467" max="9467" width="14.54296875" style="582" customWidth="1"/>
    <col min="9468" max="9468" width="14.453125" style="582" customWidth="1"/>
    <col min="9469" max="9469" width="58.1796875" style="582" customWidth="1"/>
    <col min="9470" max="9470" width="30.453125" style="582" customWidth="1"/>
    <col min="9471" max="9471" width="27.453125" style="582" customWidth="1"/>
    <col min="9472" max="9472" width="30.81640625" style="582" customWidth="1"/>
    <col min="9473" max="9473" width="24.81640625" style="582" customWidth="1"/>
    <col min="9474" max="9474" width="27.453125" style="582" customWidth="1"/>
    <col min="9475" max="9475" width="32" style="582" customWidth="1"/>
    <col min="9476" max="9476" width="25.54296875" style="582" customWidth="1"/>
    <col min="9477" max="9477" width="27.453125" style="582" customWidth="1"/>
    <col min="9478" max="9478" width="31.453125" style="582" customWidth="1"/>
    <col min="9479" max="9479" width="30.54296875" style="582" customWidth="1"/>
    <col min="9480" max="9480" width="27.453125" style="582" customWidth="1"/>
    <col min="9481" max="9481" width="32.54296875" style="582" customWidth="1"/>
    <col min="9482" max="9482" width="30.453125" style="582" customWidth="1"/>
    <col min="9483" max="9483" width="24.453125" style="582" customWidth="1"/>
    <col min="9484" max="9484" width="28" style="582" customWidth="1"/>
    <col min="9485" max="9485" width="19.453125" style="582" customWidth="1"/>
    <col min="9486" max="9722" width="9.1796875" style="582"/>
    <col min="9723" max="9723" width="14.54296875" style="582" customWidth="1"/>
    <col min="9724" max="9724" width="14.453125" style="582" customWidth="1"/>
    <col min="9725" max="9725" width="58.1796875" style="582" customWidth="1"/>
    <col min="9726" max="9726" width="30.453125" style="582" customWidth="1"/>
    <col min="9727" max="9727" width="27.453125" style="582" customWidth="1"/>
    <col min="9728" max="9728" width="30.81640625" style="582" customWidth="1"/>
    <col min="9729" max="9729" width="24.81640625" style="582" customWidth="1"/>
    <col min="9730" max="9730" width="27.453125" style="582" customWidth="1"/>
    <col min="9731" max="9731" width="32" style="582" customWidth="1"/>
    <col min="9732" max="9732" width="25.54296875" style="582" customWidth="1"/>
    <col min="9733" max="9733" width="27.453125" style="582" customWidth="1"/>
    <col min="9734" max="9734" width="31.453125" style="582" customWidth="1"/>
    <col min="9735" max="9735" width="30.54296875" style="582" customWidth="1"/>
    <col min="9736" max="9736" width="27.453125" style="582" customWidth="1"/>
    <col min="9737" max="9737" width="32.54296875" style="582" customWidth="1"/>
    <col min="9738" max="9738" width="30.453125" style="582" customWidth="1"/>
    <col min="9739" max="9739" width="24.453125" style="582" customWidth="1"/>
    <col min="9740" max="9740" width="28" style="582" customWidth="1"/>
    <col min="9741" max="9741" width="19.453125" style="582" customWidth="1"/>
    <col min="9742" max="9978" width="9.1796875" style="582"/>
    <col min="9979" max="9979" width="14.54296875" style="582" customWidth="1"/>
    <col min="9980" max="9980" width="14.453125" style="582" customWidth="1"/>
    <col min="9981" max="9981" width="58.1796875" style="582" customWidth="1"/>
    <col min="9982" max="9982" width="30.453125" style="582" customWidth="1"/>
    <col min="9983" max="9983" width="27.453125" style="582" customWidth="1"/>
    <col min="9984" max="9984" width="30.81640625" style="582" customWidth="1"/>
    <col min="9985" max="9985" width="24.81640625" style="582" customWidth="1"/>
    <col min="9986" max="9986" width="27.453125" style="582" customWidth="1"/>
    <col min="9987" max="9987" width="32" style="582" customWidth="1"/>
    <col min="9988" max="9988" width="25.54296875" style="582" customWidth="1"/>
    <col min="9989" max="9989" width="27.453125" style="582" customWidth="1"/>
    <col min="9990" max="9990" width="31.453125" style="582" customWidth="1"/>
    <col min="9991" max="9991" width="30.54296875" style="582" customWidth="1"/>
    <col min="9992" max="9992" width="27.453125" style="582" customWidth="1"/>
    <col min="9993" max="9993" width="32.54296875" style="582" customWidth="1"/>
    <col min="9994" max="9994" width="30.453125" style="582" customWidth="1"/>
    <col min="9995" max="9995" width="24.453125" style="582" customWidth="1"/>
    <col min="9996" max="9996" width="28" style="582" customWidth="1"/>
    <col min="9997" max="9997" width="19.453125" style="582" customWidth="1"/>
    <col min="9998" max="10234" width="9.1796875" style="582"/>
    <col min="10235" max="10235" width="14.54296875" style="582" customWidth="1"/>
    <col min="10236" max="10236" width="14.453125" style="582" customWidth="1"/>
    <col min="10237" max="10237" width="58.1796875" style="582" customWidth="1"/>
    <col min="10238" max="10238" width="30.453125" style="582" customWidth="1"/>
    <col min="10239" max="10239" width="27.453125" style="582" customWidth="1"/>
    <col min="10240" max="10240" width="30.81640625" style="582" customWidth="1"/>
    <col min="10241" max="10241" width="24.81640625" style="582" customWidth="1"/>
    <col min="10242" max="10242" width="27.453125" style="582" customWidth="1"/>
    <col min="10243" max="10243" width="32" style="582" customWidth="1"/>
    <col min="10244" max="10244" width="25.54296875" style="582" customWidth="1"/>
    <col min="10245" max="10245" width="27.453125" style="582" customWidth="1"/>
    <col min="10246" max="10246" width="31.453125" style="582" customWidth="1"/>
    <col min="10247" max="10247" width="30.54296875" style="582" customWidth="1"/>
    <col min="10248" max="10248" width="27.453125" style="582" customWidth="1"/>
    <col min="10249" max="10249" width="32.54296875" style="582" customWidth="1"/>
    <col min="10250" max="10250" width="30.453125" style="582" customWidth="1"/>
    <col min="10251" max="10251" width="24.453125" style="582" customWidth="1"/>
    <col min="10252" max="10252" width="28" style="582" customWidth="1"/>
    <col min="10253" max="10253" width="19.453125" style="582" customWidth="1"/>
    <col min="10254" max="10490" width="9.1796875" style="582"/>
    <col min="10491" max="10491" width="14.54296875" style="582" customWidth="1"/>
    <col min="10492" max="10492" width="14.453125" style="582" customWidth="1"/>
    <col min="10493" max="10493" width="58.1796875" style="582" customWidth="1"/>
    <col min="10494" max="10494" width="30.453125" style="582" customWidth="1"/>
    <col min="10495" max="10495" width="27.453125" style="582" customWidth="1"/>
    <col min="10496" max="10496" width="30.81640625" style="582" customWidth="1"/>
    <col min="10497" max="10497" width="24.81640625" style="582" customWidth="1"/>
    <col min="10498" max="10498" width="27.453125" style="582" customWidth="1"/>
    <col min="10499" max="10499" width="32" style="582" customWidth="1"/>
    <col min="10500" max="10500" width="25.54296875" style="582" customWidth="1"/>
    <col min="10501" max="10501" width="27.453125" style="582" customWidth="1"/>
    <col min="10502" max="10502" width="31.453125" style="582" customWidth="1"/>
    <col min="10503" max="10503" width="30.54296875" style="582" customWidth="1"/>
    <col min="10504" max="10504" width="27.453125" style="582" customWidth="1"/>
    <col min="10505" max="10505" width="32.54296875" style="582" customWidth="1"/>
    <col min="10506" max="10506" width="30.453125" style="582" customWidth="1"/>
    <col min="10507" max="10507" width="24.453125" style="582" customWidth="1"/>
    <col min="10508" max="10508" width="28" style="582" customWidth="1"/>
    <col min="10509" max="10509" width="19.453125" style="582" customWidth="1"/>
    <col min="10510" max="10746" width="9.1796875" style="582"/>
    <col min="10747" max="10747" width="14.54296875" style="582" customWidth="1"/>
    <col min="10748" max="10748" width="14.453125" style="582" customWidth="1"/>
    <col min="10749" max="10749" width="58.1796875" style="582" customWidth="1"/>
    <col min="10750" max="10750" width="30.453125" style="582" customWidth="1"/>
    <col min="10751" max="10751" width="27.453125" style="582" customWidth="1"/>
    <col min="10752" max="10752" width="30.81640625" style="582" customWidth="1"/>
    <col min="10753" max="10753" width="24.81640625" style="582" customWidth="1"/>
    <col min="10754" max="10754" width="27.453125" style="582" customWidth="1"/>
    <col min="10755" max="10755" width="32" style="582" customWidth="1"/>
    <col min="10756" max="10756" width="25.54296875" style="582" customWidth="1"/>
    <col min="10757" max="10757" width="27.453125" style="582" customWidth="1"/>
    <col min="10758" max="10758" width="31.453125" style="582" customWidth="1"/>
    <col min="10759" max="10759" width="30.54296875" style="582" customWidth="1"/>
    <col min="10760" max="10760" width="27.453125" style="582" customWidth="1"/>
    <col min="10761" max="10761" width="32.54296875" style="582" customWidth="1"/>
    <col min="10762" max="10762" width="30.453125" style="582" customWidth="1"/>
    <col min="10763" max="10763" width="24.453125" style="582" customWidth="1"/>
    <col min="10764" max="10764" width="28" style="582" customWidth="1"/>
    <col min="10765" max="10765" width="19.453125" style="582" customWidth="1"/>
    <col min="10766" max="11002" width="9.1796875" style="582"/>
    <col min="11003" max="11003" width="14.54296875" style="582" customWidth="1"/>
    <col min="11004" max="11004" width="14.453125" style="582" customWidth="1"/>
    <col min="11005" max="11005" width="58.1796875" style="582" customWidth="1"/>
    <col min="11006" max="11006" width="30.453125" style="582" customWidth="1"/>
    <col min="11007" max="11007" width="27.453125" style="582" customWidth="1"/>
    <col min="11008" max="11008" width="30.81640625" style="582" customWidth="1"/>
    <col min="11009" max="11009" width="24.81640625" style="582" customWidth="1"/>
    <col min="11010" max="11010" width="27.453125" style="582" customWidth="1"/>
    <col min="11011" max="11011" width="32" style="582" customWidth="1"/>
    <col min="11012" max="11012" width="25.54296875" style="582" customWidth="1"/>
    <col min="11013" max="11013" width="27.453125" style="582" customWidth="1"/>
    <col min="11014" max="11014" width="31.453125" style="582" customWidth="1"/>
    <col min="11015" max="11015" width="30.54296875" style="582" customWidth="1"/>
    <col min="11016" max="11016" width="27.453125" style="582" customWidth="1"/>
    <col min="11017" max="11017" width="32.54296875" style="582" customWidth="1"/>
    <col min="11018" max="11018" width="30.453125" style="582" customWidth="1"/>
    <col min="11019" max="11019" width="24.453125" style="582" customWidth="1"/>
    <col min="11020" max="11020" width="28" style="582" customWidth="1"/>
    <col min="11021" max="11021" width="19.453125" style="582" customWidth="1"/>
    <col min="11022" max="11258" width="9.1796875" style="582"/>
    <col min="11259" max="11259" width="14.54296875" style="582" customWidth="1"/>
    <col min="11260" max="11260" width="14.453125" style="582" customWidth="1"/>
    <col min="11261" max="11261" width="58.1796875" style="582" customWidth="1"/>
    <col min="11262" max="11262" width="30.453125" style="582" customWidth="1"/>
    <col min="11263" max="11263" width="27.453125" style="582" customWidth="1"/>
    <col min="11264" max="11264" width="30.81640625" style="582" customWidth="1"/>
    <col min="11265" max="11265" width="24.81640625" style="582" customWidth="1"/>
    <col min="11266" max="11266" width="27.453125" style="582" customWidth="1"/>
    <col min="11267" max="11267" width="32" style="582" customWidth="1"/>
    <col min="11268" max="11268" width="25.54296875" style="582" customWidth="1"/>
    <col min="11269" max="11269" width="27.453125" style="582" customWidth="1"/>
    <col min="11270" max="11270" width="31.453125" style="582" customWidth="1"/>
    <col min="11271" max="11271" width="30.54296875" style="582" customWidth="1"/>
    <col min="11272" max="11272" width="27.453125" style="582" customWidth="1"/>
    <col min="11273" max="11273" width="32.54296875" style="582" customWidth="1"/>
    <col min="11274" max="11274" width="30.453125" style="582" customWidth="1"/>
    <col min="11275" max="11275" width="24.453125" style="582" customWidth="1"/>
    <col min="11276" max="11276" width="28" style="582" customWidth="1"/>
    <col min="11277" max="11277" width="19.453125" style="582" customWidth="1"/>
    <col min="11278" max="11514" width="9.1796875" style="582"/>
    <col min="11515" max="11515" width="14.54296875" style="582" customWidth="1"/>
    <col min="11516" max="11516" width="14.453125" style="582" customWidth="1"/>
    <col min="11517" max="11517" width="58.1796875" style="582" customWidth="1"/>
    <col min="11518" max="11518" width="30.453125" style="582" customWidth="1"/>
    <col min="11519" max="11519" width="27.453125" style="582" customWidth="1"/>
    <col min="11520" max="11520" width="30.81640625" style="582" customWidth="1"/>
    <col min="11521" max="11521" width="24.81640625" style="582" customWidth="1"/>
    <col min="11522" max="11522" width="27.453125" style="582" customWidth="1"/>
    <col min="11523" max="11523" width="32" style="582" customWidth="1"/>
    <col min="11524" max="11524" width="25.54296875" style="582" customWidth="1"/>
    <col min="11525" max="11525" width="27.453125" style="582" customWidth="1"/>
    <col min="11526" max="11526" width="31.453125" style="582" customWidth="1"/>
    <col min="11527" max="11527" width="30.54296875" style="582" customWidth="1"/>
    <col min="11528" max="11528" width="27.453125" style="582" customWidth="1"/>
    <col min="11529" max="11529" width="32.54296875" style="582" customWidth="1"/>
    <col min="11530" max="11530" width="30.453125" style="582" customWidth="1"/>
    <col min="11531" max="11531" width="24.453125" style="582" customWidth="1"/>
    <col min="11532" max="11532" width="28" style="582" customWidth="1"/>
    <col min="11533" max="11533" width="19.453125" style="582" customWidth="1"/>
    <col min="11534" max="11770" width="9.1796875" style="582"/>
    <col min="11771" max="11771" width="14.54296875" style="582" customWidth="1"/>
    <col min="11772" max="11772" width="14.453125" style="582" customWidth="1"/>
    <col min="11773" max="11773" width="58.1796875" style="582" customWidth="1"/>
    <col min="11774" max="11774" width="30.453125" style="582" customWidth="1"/>
    <col min="11775" max="11775" width="27.453125" style="582" customWidth="1"/>
    <col min="11776" max="11776" width="30.81640625" style="582" customWidth="1"/>
    <col min="11777" max="11777" width="24.81640625" style="582" customWidth="1"/>
    <col min="11778" max="11778" width="27.453125" style="582" customWidth="1"/>
    <col min="11779" max="11779" width="32" style="582" customWidth="1"/>
    <col min="11780" max="11780" width="25.54296875" style="582" customWidth="1"/>
    <col min="11781" max="11781" width="27.453125" style="582" customWidth="1"/>
    <col min="11782" max="11782" width="31.453125" style="582" customWidth="1"/>
    <col min="11783" max="11783" width="30.54296875" style="582" customWidth="1"/>
    <col min="11784" max="11784" width="27.453125" style="582" customWidth="1"/>
    <col min="11785" max="11785" width="32.54296875" style="582" customWidth="1"/>
    <col min="11786" max="11786" width="30.453125" style="582" customWidth="1"/>
    <col min="11787" max="11787" width="24.453125" style="582" customWidth="1"/>
    <col min="11788" max="11788" width="28" style="582" customWidth="1"/>
    <col min="11789" max="11789" width="19.453125" style="582" customWidth="1"/>
    <col min="11790" max="12026" width="9.1796875" style="582"/>
    <col min="12027" max="12027" width="14.54296875" style="582" customWidth="1"/>
    <col min="12028" max="12028" width="14.453125" style="582" customWidth="1"/>
    <col min="12029" max="12029" width="58.1796875" style="582" customWidth="1"/>
    <col min="12030" max="12030" width="30.453125" style="582" customWidth="1"/>
    <col min="12031" max="12031" width="27.453125" style="582" customWidth="1"/>
    <col min="12032" max="12032" width="30.81640625" style="582" customWidth="1"/>
    <col min="12033" max="12033" width="24.81640625" style="582" customWidth="1"/>
    <col min="12034" max="12034" width="27.453125" style="582" customWidth="1"/>
    <col min="12035" max="12035" width="32" style="582" customWidth="1"/>
    <col min="12036" max="12036" width="25.54296875" style="582" customWidth="1"/>
    <col min="12037" max="12037" width="27.453125" style="582" customWidth="1"/>
    <col min="12038" max="12038" width="31.453125" style="582" customWidth="1"/>
    <col min="12039" max="12039" width="30.54296875" style="582" customWidth="1"/>
    <col min="12040" max="12040" width="27.453125" style="582" customWidth="1"/>
    <col min="12041" max="12041" width="32.54296875" style="582" customWidth="1"/>
    <col min="12042" max="12042" width="30.453125" style="582" customWidth="1"/>
    <col min="12043" max="12043" width="24.453125" style="582" customWidth="1"/>
    <col min="12044" max="12044" width="28" style="582" customWidth="1"/>
    <col min="12045" max="12045" width="19.453125" style="582" customWidth="1"/>
    <col min="12046" max="12282" width="9.1796875" style="582"/>
    <col min="12283" max="12283" width="14.54296875" style="582" customWidth="1"/>
    <col min="12284" max="12284" width="14.453125" style="582" customWidth="1"/>
    <col min="12285" max="12285" width="58.1796875" style="582" customWidth="1"/>
    <col min="12286" max="12286" width="30.453125" style="582" customWidth="1"/>
    <col min="12287" max="12287" width="27.453125" style="582" customWidth="1"/>
    <col min="12288" max="12288" width="30.81640625" style="582" customWidth="1"/>
    <col min="12289" max="12289" width="24.81640625" style="582" customWidth="1"/>
    <col min="12290" max="12290" width="27.453125" style="582" customWidth="1"/>
    <col min="12291" max="12291" width="32" style="582" customWidth="1"/>
    <col min="12292" max="12292" width="25.54296875" style="582" customWidth="1"/>
    <col min="12293" max="12293" width="27.453125" style="582" customWidth="1"/>
    <col min="12294" max="12294" width="31.453125" style="582" customWidth="1"/>
    <col min="12295" max="12295" width="30.54296875" style="582" customWidth="1"/>
    <col min="12296" max="12296" width="27.453125" style="582" customWidth="1"/>
    <col min="12297" max="12297" width="32.54296875" style="582" customWidth="1"/>
    <col min="12298" max="12298" width="30.453125" style="582" customWidth="1"/>
    <col min="12299" max="12299" width="24.453125" style="582" customWidth="1"/>
    <col min="12300" max="12300" width="28" style="582" customWidth="1"/>
    <col min="12301" max="12301" width="19.453125" style="582" customWidth="1"/>
    <col min="12302" max="12538" width="9.1796875" style="582"/>
    <col min="12539" max="12539" width="14.54296875" style="582" customWidth="1"/>
    <col min="12540" max="12540" width="14.453125" style="582" customWidth="1"/>
    <col min="12541" max="12541" width="58.1796875" style="582" customWidth="1"/>
    <col min="12542" max="12542" width="30.453125" style="582" customWidth="1"/>
    <col min="12543" max="12543" width="27.453125" style="582" customWidth="1"/>
    <col min="12544" max="12544" width="30.81640625" style="582" customWidth="1"/>
    <col min="12545" max="12545" width="24.81640625" style="582" customWidth="1"/>
    <col min="12546" max="12546" width="27.453125" style="582" customWidth="1"/>
    <col min="12547" max="12547" width="32" style="582" customWidth="1"/>
    <col min="12548" max="12548" width="25.54296875" style="582" customWidth="1"/>
    <col min="12549" max="12549" width="27.453125" style="582" customWidth="1"/>
    <col min="12550" max="12550" width="31.453125" style="582" customWidth="1"/>
    <col min="12551" max="12551" width="30.54296875" style="582" customWidth="1"/>
    <col min="12552" max="12552" width="27.453125" style="582" customWidth="1"/>
    <col min="12553" max="12553" width="32.54296875" style="582" customWidth="1"/>
    <col min="12554" max="12554" width="30.453125" style="582" customWidth="1"/>
    <col min="12555" max="12555" width="24.453125" style="582" customWidth="1"/>
    <col min="12556" max="12556" width="28" style="582" customWidth="1"/>
    <col min="12557" max="12557" width="19.453125" style="582" customWidth="1"/>
    <col min="12558" max="12794" width="9.1796875" style="582"/>
    <col min="12795" max="12795" width="14.54296875" style="582" customWidth="1"/>
    <col min="12796" max="12796" width="14.453125" style="582" customWidth="1"/>
    <col min="12797" max="12797" width="58.1796875" style="582" customWidth="1"/>
    <col min="12798" max="12798" width="30.453125" style="582" customWidth="1"/>
    <col min="12799" max="12799" width="27.453125" style="582" customWidth="1"/>
    <col min="12800" max="12800" width="30.81640625" style="582" customWidth="1"/>
    <col min="12801" max="12801" width="24.81640625" style="582" customWidth="1"/>
    <col min="12802" max="12802" width="27.453125" style="582" customWidth="1"/>
    <col min="12803" max="12803" width="32" style="582" customWidth="1"/>
    <col min="12804" max="12804" width="25.54296875" style="582" customWidth="1"/>
    <col min="12805" max="12805" width="27.453125" style="582" customWidth="1"/>
    <col min="12806" max="12806" width="31.453125" style="582" customWidth="1"/>
    <col min="12807" max="12807" width="30.54296875" style="582" customWidth="1"/>
    <col min="12808" max="12808" width="27.453125" style="582" customWidth="1"/>
    <col min="12809" max="12809" width="32.54296875" style="582" customWidth="1"/>
    <col min="12810" max="12810" width="30.453125" style="582" customWidth="1"/>
    <col min="12811" max="12811" width="24.453125" style="582" customWidth="1"/>
    <col min="12812" max="12812" width="28" style="582" customWidth="1"/>
    <col min="12813" max="12813" width="19.453125" style="582" customWidth="1"/>
    <col min="12814" max="13050" width="9.1796875" style="582"/>
    <col min="13051" max="13051" width="14.54296875" style="582" customWidth="1"/>
    <col min="13052" max="13052" width="14.453125" style="582" customWidth="1"/>
    <col min="13053" max="13053" width="58.1796875" style="582" customWidth="1"/>
    <col min="13054" max="13054" width="30.453125" style="582" customWidth="1"/>
    <col min="13055" max="13055" width="27.453125" style="582" customWidth="1"/>
    <col min="13056" max="13056" width="30.81640625" style="582" customWidth="1"/>
    <col min="13057" max="13057" width="24.81640625" style="582" customWidth="1"/>
    <col min="13058" max="13058" width="27.453125" style="582" customWidth="1"/>
    <col min="13059" max="13059" width="32" style="582" customWidth="1"/>
    <col min="13060" max="13060" width="25.54296875" style="582" customWidth="1"/>
    <col min="13061" max="13061" width="27.453125" style="582" customWidth="1"/>
    <col min="13062" max="13062" width="31.453125" style="582" customWidth="1"/>
    <col min="13063" max="13063" width="30.54296875" style="582" customWidth="1"/>
    <col min="13064" max="13064" width="27.453125" style="582" customWidth="1"/>
    <col min="13065" max="13065" width="32.54296875" style="582" customWidth="1"/>
    <col min="13066" max="13066" width="30.453125" style="582" customWidth="1"/>
    <col min="13067" max="13067" width="24.453125" style="582" customWidth="1"/>
    <col min="13068" max="13068" width="28" style="582" customWidth="1"/>
    <col min="13069" max="13069" width="19.453125" style="582" customWidth="1"/>
    <col min="13070" max="13306" width="9.1796875" style="582"/>
    <col min="13307" max="13307" width="14.54296875" style="582" customWidth="1"/>
    <col min="13308" max="13308" width="14.453125" style="582" customWidth="1"/>
    <col min="13309" max="13309" width="58.1796875" style="582" customWidth="1"/>
    <col min="13310" max="13310" width="30.453125" style="582" customWidth="1"/>
    <col min="13311" max="13311" width="27.453125" style="582" customWidth="1"/>
    <col min="13312" max="13312" width="30.81640625" style="582" customWidth="1"/>
    <col min="13313" max="13313" width="24.81640625" style="582" customWidth="1"/>
    <col min="13314" max="13314" width="27.453125" style="582" customWidth="1"/>
    <col min="13315" max="13315" width="32" style="582" customWidth="1"/>
    <col min="13316" max="13316" width="25.54296875" style="582" customWidth="1"/>
    <col min="13317" max="13317" width="27.453125" style="582" customWidth="1"/>
    <col min="13318" max="13318" width="31.453125" style="582" customWidth="1"/>
    <col min="13319" max="13319" width="30.54296875" style="582" customWidth="1"/>
    <col min="13320" max="13320" width="27.453125" style="582" customWidth="1"/>
    <col min="13321" max="13321" width="32.54296875" style="582" customWidth="1"/>
    <col min="13322" max="13322" width="30.453125" style="582" customWidth="1"/>
    <col min="13323" max="13323" width="24.453125" style="582" customWidth="1"/>
    <col min="13324" max="13324" width="28" style="582" customWidth="1"/>
    <col min="13325" max="13325" width="19.453125" style="582" customWidth="1"/>
    <col min="13326" max="13562" width="9.1796875" style="582"/>
    <col min="13563" max="13563" width="14.54296875" style="582" customWidth="1"/>
    <col min="13564" max="13564" width="14.453125" style="582" customWidth="1"/>
    <col min="13565" max="13565" width="58.1796875" style="582" customWidth="1"/>
    <col min="13566" max="13566" width="30.453125" style="582" customWidth="1"/>
    <col min="13567" max="13567" width="27.453125" style="582" customWidth="1"/>
    <col min="13568" max="13568" width="30.81640625" style="582" customWidth="1"/>
    <col min="13569" max="13569" width="24.81640625" style="582" customWidth="1"/>
    <col min="13570" max="13570" width="27.453125" style="582" customWidth="1"/>
    <col min="13571" max="13571" width="32" style="582" customWidth="1"/>
    <col min="13572" max="13572" width="25.54296875" style="582" customWidth="1"/>
    <col min="13573" max="13573" width="27.453125" style="582" customWidth="1"/>
    <col min="13574" max="13574" width="31.453125" style="582" customWidth="1"/>
    <col min="13575" max="13575" width="30.54296875" style="582" customWidth="1"/>
    <col min="13576" max="13576" width="27.453125" style="582" customWidth="1"/>
    <col min="13577" max="13577" width="32.54296875" style="582" customWidth="1"/>
    <col min="13578" max="13578" width="30.453125" style="582" customWidth="1"/>
    <col min="13579" max="13579" width="24.453125" style="582" customWidth="1"/>
    <col min="13580" max="13580" width="28" style="582" customWidth="1"/>
    <col min="13581" max="13581" width="19.453125" style="582" customWidth="1"/>
    <col min="13582" max="13818" width="9.1796875" style="582"/>
    <col min="13819" max="13819" width="14.54296875" style="582" customWidth="1"/>
    <col min="13820" max="13820" width="14.453125" style="582" customWidth="1"/>
    <col min="13821" max="13821" width="58.1796875" style="582" customWidth="1"/>
    <col min="13822" max="13822" width="30.453125" style="582" customWidth="1"/>
    <col min="13823" max="13823" width="27.453125" style="582" customWidth="1"/>
    <col min="13824" max="13824" width="30.81640625" style="582" customWidth="1"/>
    <col min="13825" max="13825" width="24.81640625" style="582" customWidth="1"/>
    <col min="13826" max="13826" width="27.453125" style="582" customWidth="1"/>
    <col min="13827" max="13827" width="32" style="582" customWidth="1"/>
    <col min="13828" max="13828" width="25.54296875" style="582" customWidth="1"/>
    <col min="13829" max="13829" width="27.453125" style="582" customWidth="1"/>
    <col min="13830" max="13830" width="31.453125" style="582" customWidth="1"/>
    <col min="13831" max="13831" width="30.54296875" style="582" customWidth="1"/>
    <col min="13832" max="13832" width="27.453125" style="582" customWidth="1"/>
    <col min="13833" max="13833" width="32.54296875" style="582" customWidth="1"/>
    <col min="13834" max="13834" width="30.453125" style="582" customWidth="1"/>
    <col min="13835" max="13835" width="24.453125" style="582" customWidth="1"/>
    <col min="13836" max="13836" width="28" style="582" customWidth="1"/>
    <col min="13837" max="13837" width="19.453125" style="582" customWidth="1"/>
    <col min="13838" max="14074" width="9.1796875" style="582"/>
    <col min="14075" max="14075" width="14.54296875" style="582" customWidth="1"/>
    <col min="14076" max="14076" width="14.453125" style="582" customWidth="1"/>
    <col min="14077" max="14077" width="58.1796875" style="582" customWidth="1"/>
    <col min="14078" max="14078" width="30.453125" style="582" customWidth="1"/>
    <col min="14079" max="14079" width="27.453125" style="582" customWidth="1"/>
    <col min="14080" max="14080" width="30.81640625" style="582" customWidth="1"/>
    <col min="14081" max="14081" width="24.81640625" style="582" customWidth="1"/>
    <col min="14082" max="14082" width="27.453125" style="582" customWidth="1"/>
    <col min="14083" max="14083" width="32" style="582" customWidth="1"/>
    <col min="14084" max="14084" width="25.54296875" style="582" customWidth="1"/>
    <col min="14085" max="14085" width="27.453125" style="582" customWidth="1"/>
    <col min="14086" max="14086" width="31.453125" style="582" customWidth="1"/>
    <col min="14087" max="14087" width="30.54296875" style="582" customWidth="1"/>
    <col min="14088" max="14088" width="27.453125" style="582" customWidth="1"/>
    <col min="14089" max="14089" width="32.54296875" style="582" customWidth="1"/>
    <col min="14090" max="14090" width="30.453125" style="582" customWidth="1"/>
    <col min="14091" max="14091" width="24.453125" style="582" customWidth="1"/>
    <col min="14092" max="14092" width="28" style="582" customWidth="1"/>
    <col min="14093" max="14093" width="19.453125" style="582" customWidth="1"/>
    <col min="14094" max="14330" width="9.1796875" style="582"/>
    <col min="14331" max="14331" width="14.54296875" style="582" customWidth="1"/>
    <col min="14332" max="14332" width="14.453125" style="582" customWidth="1"/>
    <col min="14333" max="14333" width="58.1796875" style="582" customWidth="1"/>
    <col min="14334" max="14334" width="30.453125" style="582" customWidth="1"/>
    <col min="14335" max="14335" width="27.453125" style="582" customWidth="1"/>
    <col min="14336" max="14336" width="30.81640625" style="582" customWidth="1"/>
    <col min="14337" max="14337" width="24.81640625" style="582" customWidth="1"/>
    <col min="14338" max="14338" width="27.453125" style="582" customWidth="1"/>
    <col min="14339" max="14339" width="32" style="582" customWidth="1"/>
    <col min="14340" max="14340" width="25.54296875" style="582" customWidth="1"/>
    <col min="14341" max="14341" width="27.453125" style="582" customWidth="1"/>
    <col min="14342" max="14342" width="31.453125" style="582" customWidth="1"/>
    <col min="14343" max="14343" width="30.54296875" style="582" customWidth="1"/>
    <col min="14344" max="14344" width="27.453125" style="582" customWidth="1"/>
    <col min="14345" max="14345" width="32.54296875" style="582" customWidth="1"/>
    <col min="14346" max="14346" width="30.453125" style="582" customWidth="1"/>
    <col min="14347" max="14347" width="24.453125" style="582" customWidth="1"/>
    <col min="14348" max="14348" width="28" style="582" customWidth="1"/>
    <col min="14349" max="14349" width="19.453125" style="582" customWidth="1"/>
    <col min="14350" max="14586" width="9.1796875" style="582"/>
    <col min="14587" max="14587" width="14.54296875" style="582" customWidth="1"/>
    <col min="14588" max="14588" width="14.453125" style="582" customWidth="1"/>
    <col min="14589" max="14589" width="58.1796875" style="582" customWidth="1"/>
    <col min="14590" max="14590" width="30.453125" style="582" customWidth="1"/>
    <col min="14591" max="14591" width="27.453125" style="582" customWidth="1"/>
    <col min="14592" max="14592" width="30.81640625" style="582" customWidth="1"/>
    <col min="14593" max="14593" width="24.81640625" style="582" customWidth="1"/>
    <col min="14594" max="14594" width="27.453125" style="582" customWidth="1"/>
    <col min="14595" max="14595" width="32" style="582" customWidth="1"/>
    <col min="14596" max="14596" width="25.54296875" style="582" customWidth="1"/>
    <col min="14597" max="14597" width="27.453125" style="582" customWidth="1"/>
    <col min="14598" max="14598" width="31.453125" style="582" customWidth="1"/>
    <col min="14599" max="14599" width="30.54296875" style="582" customWidth="1"/>
    <col min="14600" max="14600" width="27.453125" style="582" customWidth="1"/>
    <col min="14601" max="14601" width="32.54296875" style="582" customWidth="1"/>
    <col min="14602" max="14602" width="30.453125" style="582" customWidth="1"/>
    <col min="14603" max="14603" width="24.453125" style="582" customWidth="1"/>
    <col min="14604" max="14604" width="28" style="582" customWidth="1"/>
    <col min="14605" max="14605" width="19.453125" style="582" customWidth="1"/>
    <col min="14606" max="14842" width="9.1796875" style="582"/>
    <col min="14843" max="14843" width="14.54296875" style="582" customWidth="1"/>
    <col min="14844" max="14844" width="14.453125" style="582" customWidth="1"/>
    <col min="14845" max="14845" width="58.1796875" style="582" customWidth="1"/>
    <col min="14846" max="14846" width="30.453125" style="582" customWidth="1"/>
    <col min="14847" max="14847" width="27.453125" style="582" customWidth="1"/>
    <col min="14848" max="14848" width="30.81640625" style="582" customWidth="1"/>
    <col min="14849" max="14849" width="24.81640625" style="582" customWidth="1"/>
    <col min="14850" max="14850" width="27.453125" style="582" customWidth="1"/>
    <col min="14851" max="14851" width="32" style="582" customWidth="1"/>
    <col min="14852" max="14852" width="25.54296875" style="582" customWidth="1"/>
    <col min="14853" max="14853" width="27.453125" style="582" customWidth="1"/>
    <col min="14854" max="14854" width="31.453125" style="582" customWidth="1"/>
    <col min="14855" max="14855" width="30.54296875" style="582" customWidth="1"/>
    <col min="14856" max="14856" width="27.453125" style="582" customWidth="1"/>
    <col min="14857" max="14857" width="32.54296875" style="582" customWidth="1"/>
    <col min="14858" max="14858" width="30.453125" style="582" customWidth="1"/>
    <col min="14859" max="14859" width="24.453125" style="582" customWidth="1"/>
    <col min="14860" max="14860" width="28" style="582" customWidth="1"/>
    <col min="14861" max="14861" width="19.453125" style="582" customWidth="1"/>
    <col min="14862" max="15098" width="9.1796875" style="582"/>
    <col min="15099" max="15099" width="14.54296875" style="582" customWidth="1"/>
    <col min="15100" max="15100" width="14.453125" style="582" customWidth="1"/>
    <col min="15101" max="15101" width="58.1796875" style="582" customWidth="1"/>
    <col min="15102" max="15102" width="30.453125" style="582" customWidth="1"/>
    <col min="15103" max="15103" width="27.453125" style="582" customWidth="1"/>
    <col min="15104" max="15104" width="30.81640625" style="582" customWidth="1"/>
    <col min="15105" max="15105" width="24.81640625" style="582" customWidth="1"/>
    <col min="15106" max="15106" width="27.453125" style="582" customWidth="1"/>
    <col min="15107" max="15107" width="32" style="582" customWidth="1"/>
    <col min="15108" max="15108" width="25.54296875" style="582" customWidth="1"/>
    <col min="15109" max="15109" width="27.453125" style="582" customWidth="1"/>
    <col min="15110" max="15110" width="31.453125" style="582" customWidth="1"/>
    <col min="15111" max="15111" width="30.54296875" style="582" customWidth="1"/>
    <col min="15112" max="15112" width="27.453125" style="582" customWidth="1"/>
    <col min="15113" max="15113" width="32.54296875" style="582" customWidth="1"/>
    <col min="15114" max="15114" width="30.453125" style="582" customWidth="1"/>
    <col min="15115" max="15115" width="24.453125" style="582" customWidth="1"/>
    <col min="15116" max="15116" width="28" style="582" customWidth="1"/>
    <col min="15117" max="15117" width="19.453125" style="582" customWidth="1"/>
    <col min="15118" max="15354" width="9.1796875" style="582"/>
    <col min="15355" max="15355" width="14.54296875" style="582" customWidth="1"/>
    <col min="15356" max="15356" width="14.453125" style="582" customWidth="1"/>
    <col min="15357" max="15357" width="58.1796875" style="582" customWidth="1"/>
    <col min="15358" max="15358" width="30.453125" style="582" customWidth="1"/>
    <col min="15359" max="15359" width="27.453125" style="582" customWidth="1"/>
    <col min="15360" max="15360" width="30.81640625" style="582" customWidth="1"/>
    <col min="15361" max="15361" width="24.81640625" style="582" customWidth="1"/>
    <col min="15362" max="15362" width="27.453125" style="582" customWidth="1"/>
    <col min="15363" max="15363" width="32" style="582" customWidth="1"/>
    <col min="15364" max="15364" width="25.54296875" style="582" customWidth="1"/>
    <col min="15365" max="15365" width="27.453125" style="582" customWidth="1"/>
    <col min="15366" max="15366" width="31.453125" style="582" customWidth="1"/>
    <col min="15367" max="15367" width="30.54296875" style="582" customWidth="1"/>
    <col min="15368" max="15368" width="27.453125" style="582" customWidth="1"/>
    <col min="15369" max="15369" width="32.54296875" style="582" customWidth="1"/>
    <col min="15370" max="15370" width="30.453125" style="582" customWidth="1"/>
    <col min="15371" max="15371" width="24.453125" style="582" customWidth="1"/>
    <col min="15372" max="15372" width="28" style="582" customWidth="1"/>
    <col min="15373" max="15373" width="19.453125" style="582" customWidth="1"/>
    <col min="15374" max="15610" width="9.1796875" style="582"/>
    <col min="15611" max="15611" width="14.54296875" style="582" customWidth="1"/>
    <col min="15612" max="15612" width="14.453125" style="582" customWidth="1"/>
    <col min="15613" max="15613" width="58.1796875" style="582" customWidth="1"/>
    <col min="15614" max="15614" width="30.453125" style="582" customWidth="1"/>
    <col min="15615" max="15615" width="27.453125" style="582" customWidth="1"/>
    <col min="15616" max="15616" width="30.81640625" style="582" customWidth="1"/>
    <col min="15617" max="15617" width="24.81640625" style="582" customWidth="1"/>
    <col min="15618" max="15618" width="27.453125" style="582" customWidth="1"/>
    <col min="15619" max="15619" width="32" style="582" customWidth="1"/>
    <col min="15620" max="15620" width="25.54296875" style="582" customWidth="1"/>
    <col min="15621" max="15621" width="27.453125" style="582" customWidth="1"/>
    <col min="15622" max="15622" width="31.453125" style="582" customWidth="1"/>
    <col min="15623" max="15623" width="30.54296875" style="582" customWidth="1"/>
    <col min="15624" max="15624" width="27.453125" style="582" customWidth="1"/>
    <col min="15625" max="15625" width="32.54296875" style="582" customWidth="1"/>
    <col min="15626" max="15626" width="30.453125" style="582" customWidth="1"/>
    <col min="15627" max="15627" width="24.453125" style="582" customWidth="1"/>
    <col min="15628" max="15628" width="28" style="582" customWidth="1"/>
    <col min="15629" max="15629" width="19.453125" style="582" customWidth="1"/>
    <col min="15630" max="15866" width="9.1796875" style="582"/>
    <col min="15867" max="15867" width="14.54296875" style="582" customWidth="1"/>
    <col min="15868" max="15868" width="14.453125" style="582" customWidth="1"/>
    <col min="15869" max="15869" width="58.1796875" style="582" customWidth="1"/>
    <col min="15870" max="15870" width="30.453125" style="582" customWidth="1"/>
    <col min="15871" max="15871" width="27.453125" style="582" customWidth="1"/>
    <col min="15872" max="15872" width="30.81640625" style="582" customWidth="1"/>
    <col min="15873" max="15873" width="24.81640625" style="582" customWidth="1"/>
    <col min="15874" max="15874" width="27.453125" style="582" customWidth="1"/>
    <col min="15875" max="15875" width="32" style="582" customWidth="1"/>
    <col min="15876" max="15876" width="25.54296875" style="582" customWidth="1"/>
    <col min="15877" max="15877" width="27.453125" style="582" customWidth="1"/>
    <col min="15878" max="15878" width="31.453125" style="582" customWidth="1"/>
    <col min="15879" max="15879" width="30.54296875" style="582" customWidth="1"/>
    <col min="15880" max="15880" width="27.453125" style="582" customWidth="1"/>
    <col min="15881" max="15881" width="32.54296875" style="582" customWidth="1"/>
    <col min="15882" max="15882" width="30.453125" style="582" customWidth="1"/>
    <col min="15883" max="15883" width="24.453125" style="582" customWidth="1"/>
    <col min="15884" max="15884" width="28" style="582" customWidth="1"/>
    <col min="15885" max="15885" width="19.453125" style="582" customWidth="1"/>
    <col min="15886" max="16122" width="9.1796875" style="582"/>
    <col min="16123" max="16123" width="14.54296875" style="582" customWidth="1"/>
    <col min="16124" max="16124" width="14.453125" style="582" customWidth="1"/>
    <col min="16125" max="16125" width="58.1796875" style="582" customWidth="1"/>
    <col min="16126" max="16126" width="30.453125" style="582" customWidth="1"/>
    <col min="16127" max="16127" width="27.453125" style="582" customWidth="1"/>
    <col min="16128" max="16128" width="30.81640625" style="582" customWidth="1"/>
    <col min="16129" max="16129" width="24.81640625" style="582" customWidth="1"/>
    <col min="16130" max="16130" width="27.453125" style="582" customWidth="1"/>
    <col min="16131" max="16131" width="32" style="582" customWidth="1"/>
    <col min="16132" max="16132" width="25.54296875" style="582" customWidth="1"/>
    <col min="16133" max="16133" width="27.453125" style="582" customWidth="1"/>
    <col min="16134" max="16134" width="31.453125" style="582" customWidth="1"/>
    <col min="16135" max="16135" width="30.54296875" style="582" customWidth="1"/>
    <col min="16136" max="16136" width="27.453125" style="582" customWidth="1"/>
    <col min="16137" max="16137" width="32.54296875" style="582" customWidth="1"/>
    <col min="16138" max="16138" width="30.453125" style="582" customWidth="1"/>
    <col min="16139" max="16139" width="24.453125" style="582" customWidth="1"/>
    <col min="16140" max="16140" width="28" style="582" customWidth="1"/>
    <col min="16141" max="16141" width="19.453125" style="582" customWidth="1"/>
    <col min="16142" max="16384" width="9.1796875" style="582"/>
  </cols>
  <sheetData>
    <row r="1" spans="2:12" x14ac:dyDescent="0.3">
      <c r="C1" s="580"/>
      <c r="D1" s="581"/>
      <c r="E1" s="581"/>
      <c r="F1" s="581"/>
      <c r="G1" s="581"/>
    </row>
    <row r="2" spans="2:12" s="546" customFormat="1" x14ac:dyDescent="0.3">
      <c r="B2" s="17"/>
      <c r="C2" s="585"/>
      <c r="D2" s="17"/>
      <c r="E2" s="17"/>
      <c r="F2" s="17"/>
      <c r="G2" s="17"/>
      <c r="H2" s="62" t="str">
        <f>Index!B2</f>
        <v xml:space="preserve">      Maharashtra State Power Generation Company Ltd.</v>
      </c>
    </row>
    <row r="3" spans="2:12" s="546" customFormat="1" x14ac:dyDescent="0.3">
      <c r="B3" s="586"/>
      <c r="C3" s="585"/>
      <c r="D3" s="572"/>
      <c r="E3" s="572"/>
      <c r="F3" s="572"/>
      <c r="G3" s="572"/>
      <c r="H3" s="63" t="s">
        <v>3039</v>
      </c>
    </row>
    <row r="4" spans="2:12" s="546" customFormat="1" ht="15" customHeight="1" x14ac:dyDescent="0.3">
      <c r="B4" s="586"/>
      <c r="C4" s="585"/>
      <c r="D4" s="572"/>
      <c r="E4" s="572"/>
      <c r="F4" s="572"/>
      <c r="G4" s="572"/>
      <c r="H4" s="63" t="s">
        <v>970</v>
      </c>
    </row>
    <row r="5" spans="2:12" ht="15" customHeight="1" x14ac:dyDescent="0.3">
      <c r="L5" s="588" t="s">
        <v>10</v>
      </c>
    </row>
    <row r="6" spans="2:12" s="589" customFormat="1" x14ac:dyDescent="0.3">
      <c r="B6" s="1594" t="s">
        <v>327</v>
      </c>
      <c r="C6" s="1594" t="s">
        <v>971</v>
      </c>
      <c r="D6" s="1599" t="s">
        <v>972</v>
      </c>
      <c r="E6" s="1600"/>
      <c r="F6" s="1600"/>
      <c r="G6" s="1600"/>
      <c r="H6" s="1600"/>
      <c r="I6" s="1600"/>
      <c r="J6" s="1600"/>
      <c r="K6" s="1601" t="s">
        <v>973</v>
      </c>
      <c r="L6" s="1568" t="s">
        <v>974</v>
      </c>
    </row>
    <row r="7" spans="2:12" s="590" customFormat="1" x14ac:dyDescent="0.25">
      <c r="B7" s="1595"/>
      <c r="C7" s="1595"/>
      <c r="D7" s="1605" t="s">
        <v>975</v>
      </c>
      <c r="E7" s="1605"/>
      <c r="F7" s="1605"/>
      <c r="G7" s="1605"/>
      <c r="H7" s="1605" t="s">
        <v>1463</v>
      </c>
      <c r="I7" s="1605"/>
      <c r="J7" s="1605"/>
      <c r="K7" s="1602"/>
      <c r="L7" s="1604"/>
    </row>
    <row r="8" spans="2:12" s="592" customFormat="1" ht="70" x14ac:dyDescent="0.25">
      <c r="B8" s="1596"/>
      <c r="C8" s="1595"/>
      <c r="D8" s="591" t="s">
        <v>976</v>
      </c>
      <c r="E8" s="591" t="s">
        <v>977</v>
      </c>
      <c r="F8" s="591" t="s">
        <v>978</v>
      </c>
      <c r="G8" s="591" t="s">
        <v>979</v>
      </c>
      <c r="H8" s="591" t="s">
        <v>977</v>
      </c>
      <c r="I8" s="591" t="s">
        <v>978</v>
      </c>
      <c r="J8" s="591" t="s">
        <v>979</v>
      </c>
      <c r="K8" s="1603"/>
      <c r="L8" s="1604"/>
    </row>
    <row r="9" spans="2:12" s="592" customFormat="1" x14ac:dyDescent="0.25">
      <c r="B9" s="1597"/>
      <c r="C9" s="1598"/>
      <c r="D9" s="591"/>
      <c r="E9" s="591" t="s">
        <v>78</v>
      </c>
      <c r="F9" s="591" t="s">
        <v>79</v>
      </c>
      <c r="G9" s="591" t="s">
        <v>980</v>
      </c>
      <c r="H9" s="591" t="s">
        <v>378</v>
      </c>
      <c r="I9" s="591" t="s">
        <v>394</v>
      </c>
      <c r="J9" s="591" t="s">
        <v>981</v>
      </c>
      <c r="K9" s="593" t="s">
        <v>1464</v>
      </c>
      <c r="L9" s="1569"/>
    </row>
    <row r="10" spans="2:12" s="595" customFormat="1" x14ac:dyDescent="0.3">
      <c r="B10" s="970">
        <v>1</v>
      </c>
      <c r="C10" s="965" t="s">
        <v>982</v>
      </c>
      <c r="D10" s="964" t="s">
        <v>1456</v>
      </c>
      <c r="E10" s="594"/>
      <c r="F10" s="594"/>
      <c r="G10" s="594"/>
      <c r="H10" s="594"/>
      <c r="I10" s="967">
        <v>31.725778200000001</v>
      </c>
      <c r="J10" s="967">
        <f>SUM(H10:I10)</f>
        <v>31.725778200000001</v>
      </c>
      <c r="K10" s="594"/>
      <c r="L10" s="594"/>
    </row>
    <row r="11" spans="2:12" s="595" customFormat="1" x14ac:dyDescent="0.3">
      <c r="B11" s="971">
        <f>B10+1</f>
        <v>2</v>
      </c>
      <c r="C11" s="966" t="s">
        <v>983</v>
      </c>
      <c r="D11" s="964" t="s">
        <v>1457</v>
      </c>
      <c r="E11" s="594"/>
      <c r="F11" s="967">
        <v>3040.9178379999998</v>
      </c>
      <c r="G11" s="967">
        <f>SUM(E11:F11)</f>
        <v>3040.9178379999998</v>
      </c>
      <c r="H11" s="594"/>
      <c r="I11" s="967">
        <v>3325.6217558080002</v>
      </c>
      <c r="J11" s="1038">
        <f>SUM(H11:I11)</f>
        <v>3325.6217558080002</v>
      </c>
      <c r="K11" s="972">
        <f>J11-G11</f>
        <v>284.70391780800037</v>
      </c>
      <c r="L11" s="594"/>
    </row>
    <row r="12" spans="2:12" s="595" customFormat="1" x14ac:dyDescent="0.3">
      <c r="B12" s="971">
        <f t="shared" ref="B12:B24" si="0">B11+1</f>
        <v>3</v>
      </c>
      <c r="C12" s="596" t="s">
        <v>720</v>
      </c>
      <c r="D12" s="964"/>
      <c r="E12" s="594"/>
      <c r="F12" s="967">
        <v>573.28338067200002</v>
      </c>
      <c r="G12" s="967">
        <f t="shared" ref="G12:J22" si="1">SUM(E12:F12)</f>
        <v>573.28338067200002</v>
      </c>
      <c r="H12" s="594"/>
      <c r="I12" s="967"/>
      <c r="J12" s="1038">
        <f t="shared" ref="J12:J20" si="2">SUM(H12:I12)</f>
        <v>0</v>
      </c>
      <c r="K12" s="972">
        <f t="shared" ref="K12:K22" si="3">J12-G12</f>
        <v>-573.28338067200002</v>
      </c>
      <c r="L12" s="594"/>
    </row>
    <row r="13" spans="2:12" x14ac:dyDescent="0.3">
      <c r="B13" s="971">
        <f t="shared" si="0"/>
        <v>4</v>
      </c>
      <c r="C13" s="596" t="s">
        <v>987</v>
      </c>
      <c r="D13" s="964" t="s">
        <v>1457</v>
      </c>
      <c r="E13" s="594"/>
      <c r="F13" s="967">
        <v>143.98983240000001</v>
      </c>
      <c r="G13" s="967">
        <f t="shared" si="1"/>
        <v>143.98983240000001</v>
      </c>
      <c r="H13" s="594"/>
      <c r="I13" s="967">
        <v>96.113545958999779</v>
      </c>
      <c r="J13" s="1038">
        <f t="shared" si="2"/>
        <v>96.113545958999779</v>
      </c>
      <c r="K13" s="972">
        <f t="shared" si="3"/>
        <v>-47.876286441000232</v>
      </c>
      <c r="L13" s="594"/>
    </row>
    <row r="14" spans="2:12" x14ac:dyDescent="0.3">
      <c r="B14" s="971">
        <f t="shared" si="0"/>
        <v>5</v>
      </c>
      <c r="C14" s="598" t="s">
        <v>988</v>
      </c>
      <c r="D14" s="964" t="s">
        <v>1457</v>
      </c>
      <c r="E14" s="594"/>
      <c r="F14" s="967">
        <v>234.25</v>
      </c>
      <c r="G14" s="967">
        <f t="shared" si="1"/>
        <v>234.25</v>
      </c>
      <c r="H14" s="594"/>
      <c r="I14" s="967">
        <v>89.973300862230928</v>
      </c>
      <c r="J14" s="1038">
        <f t="shared" si="2"/>
        <v>89.973300862230928</v>
      </c>
      <c r="K14" s="972">
        <f t="shared" si="3"/>
        <v>-144.27669913776907</v>
      </c>
      <c r="L14" s="594"/>
    </row>
    <row r="15" spans="2:12" x14ac:dyDescent="0.3">
      <c r="B15" s="971">
        <f t="shared" si="0"/>
        <v>6</v>
      </c>
      <c r="C15" s="598" t="s">
        <v>3026</v>
      </c>
      <c r="D15" s="964"/>
      <c r="E15" s="594"/>
      <c r="F15" s="967"/>
      <c r="G15" s="967"/>
      <c r="H15" s="594"/>
      <c r="I15" s="967">
        <v>203.128590127</v>
      </c>
      <c r="J15" s="1038">
        <f t="shared" ref="J15:J16" si="4">SUM(H15:I15)</f>
        <v>203.128590127</v>
      </c>
      <c r="K15" s="972">
        <f t="shared" ref="K15:K16" si="5">J15-G15</f>
        <v>203.128590127</v>
      </c>
      <c r="L15" s="594"/>
    </row>
    <row r="16" spans="2:12" x14ac:dyDescent="0.3">
      <c r="B16" s="971">
        <f t="shared" si="0"/>
        <v>7</v>
      </c>
      <c r="C16" s="596" t="s">
        <v>1458</v>
      </c>
      <c r="D16" s="964" t="s">
        <v>1457</v>
      </c>
      <c r="E16" s="594"/>
      <c r="F16" s="967">
        <v>514.82000000000005</v>
      </c>
      <c r="G16" s="967">
        <f t="shared" si="1"/>
        <v>514.82000000000005</v>
      </c>
      <c r="H16" s="594"/>
      <c r="I16" s="967">
        <v>63.846257041765114</v>
      </c>
      <c r="J16" s="1038">
        <f t="shared" si="4"/>
        <v>63.846257041765114</v>
      </c>
      <c r="K16" s="972">
        <f t="shared" si="5"/>
        <v>-450.97374295823494</v>
      </c>
      <c r="L16" s="594"/>
    </row>
    <row r="17" spans="2:14" x14ac:dyDescent="0.3">
      <c r="B17" s="971">
        <f t="shared" si="0"/>
        <v>8</v>
      </c>
      <c r="C17" s="596" t="s">
        <v>1459</v>
      </c>
      <c r="D17" s="964" t="s">
        <v>1457</v>
      </c>
      <c r="E17" s="594"/>
      <c r="F17" s="967">
        <v>751.64</v>
      </c>
      <c r="G17" s="967">
        <f t="shared" si="1"/>
        <v>751.64</v>
      </c>
      <c r="H17" s="594"/>
      <c r="I17" s="967">
        <v>527.89328954600001</v>
      </c>
      <c r="J17" s="1038">
        <f t="shared" si="2"/>
        <v>527.89328954600001</v>
      </c>
      <c r="K17" s="972">
        <f t="shared" si="3"/>
        <v>-223.74671045399998</v>
      </c>
      <c r="L17" s="594"/>
    </row>
    <row r="18" spans="2:14" s="595" customFormat="1" x14ac:dyDescent="0.3">
      <c r="B18" s="971">
        <f t="shared" si="0"/>
        <v>9</v>
      </c>
      <c r="C18" s="596" t="s">
        <v>1460</v>
      </c>
      <c r="D18" s="964"/>
      <c r="E18" s="594"/>
      <c r="F18" s="967">
        <v>25</v>
      </c>
      <c r="G18" s="967">
        <f t="shared" si="1"/>
        <v>25</v>
      </c>
      <c r="H18" s="594"/>
      <c r="I18" s="967">
        <v>4.5811842816069914</v>
      </c>
      <c r="J18" s="1038">
        <f t="shared" si="2"/>
        <v>4.5811842816069914</v>
      </c>
      <c r="K18" s="972">
        <f t="shared" si="3"/>
        <v>-20.418815718393009</v>
      </c>
      <c r="L18" s="594"/>
    </row>
    <row r="19" spans="2:14" s="595" customFormat="1" x14ac:dyDescent="0.3">
      <c r="B19" s="971">
        <f t="shared" si="0"/>
        <v>10</v>
      </c>
      <c r="C19" s="596" t="s">
        <v>3011</v>
      </c>
      <c r="D19" s="964"/>
      <c r="E19" s="594"/>
      <c r="F19" s="1606">
        <v>321.57</v>
      </c>
      <c r="G19" s="1608">
        <f t="shared" si="1"/>
        <v>321.57</v>
      </c>
      <c r="H19" s="594"/>
      <c r="I19" s="967">
        <v>338.23634472643897</v>
      </c>
      <c r="J19" s="1038">
        <f t="shared" si="2"/>
        <v>338.23634472643897</v>
      </c>
      <c r="K19" s="972">
        <f t="shared" si="3"/>
        <v>16.666344726438979</v>
      </c>
      <c r="L19" s="594"/>
    </row>
    <row r="20" spans="2:14" s="595" customFormat="1" x14ac:dyDescent="0.3">
      <c r="B20" s="971">
        <f t="shared" si="0"/>
        <v>11</v>
      </c>
      <c r="C20" s="596" t="s">
        <v>3012</v>
      </c>
      <c r="D20" s="964"/>
      <c r="E20" s="594"/>
      <c r="F20" s="1607"/>
      <c r="G20" s="1609"/>
      <c r="H20" s="594"/>
      <c r="I20" s="967">
        <v>9.2318313826143807</v>
      </c>
      <c r="J20" s="1038">
        <f t="shared" si="2"/>
        <v>9.2318313826143807</v>
      </c>
      <c r="K20" s="972">
        <f t="shared" si="3"/>
        <v>9.2318313826143807</v>
      </c>
      <c r="L20" s="594"/>
    </row>
    <row r="21" spans="2:14" s="595" customFormat="1" ht="18" customHeight="1" x14ac:dyDescent="0.3">
      <c r="B21" s="971">
        <f t="shared" si="0"/>
        <v>12</v>
      </c>
      <c r="C21" s="597" t="s">
        <v>989</v>
      </c>
      <c r="D21" s="594"/>
      <c r="E21" s="594"/>
      <c r="F21" s="968">
        <f t="shared" ref="F21:H21" si="6">SUM(F10:F20)</f>
        <v>5605.4710510719997</v>
      </c>
      <c r="G21" s="968">
        <f t="shared" si="6"/>
        <v>5605.4710510719997</v>
      </c>
      <c r="H21" s="968">
        <f t="shared" si="6"/>
        <v>0</v>
      </c>
      <c r="I21" s="1246">
        <f>SUM(I10:I20)</f>
        <v>4690.3518779346568</v>
      </c>
      <c r="J21" s="968">
        <f t="shared" ref="J21:K21" si="7">SUM(J10:J20)</f>
        <v>4690.3518779346568</v>
      </c>
      <c r="K21" s="968">
        <f t="shared" si="7"/>
        <v>-946.84495133734356</v>
      </c>
      <c r="L21" s="594"/>
    </row>
    <row r="22" spans="2:14" s="595" customFormat="1" ht="18" customHeight="1" x14ac:dyDescent="0.3">
      <c r="B22" s="971">
        <f t="shared" si="0"/>
        <v>13</v>
      </c>
      <c r="C22" s="596" t="s">
        <v>1462</v>
      </c>
      <c r="D22" s="594"/>
      <c r="E22" s="594"/>
      <c r="F22" s="969">
        <v>745.52</v>
      </c>
      <c r="G22" s="967">
        <f t="shared" si="1"/>
        <v>745.52</v>
      </c>
      <c r="H22" s="594"/>
      <c r="I22" s="967">
        <v>1122.0283103034301</v>
      </c>
      <c r="J22" s="1038">
        <f t="shared" si="1"/>
        <v>1122.0283103034301</v>
      </c>
      <c r="K22" s="972">
        <f t="shared" si="3"/>
        <v>376.50831030343011</v>
      </c>
      <c r="L22" s="594"/>
      <c r="M22" s="996"/>
      <c r="N22" s="1234"/>
    </row>
    <row r="23" spans="2:14" x14ac:dyDescent="0.3">
      <c r="B23" s="971">
        <f t="shared" si="0"/>
        <v>14</v>
      </c>
      <c r="C23" s="630"/>
      <c r="D23" s="630"/>
      <c r="E23" s="630"/>
      <c r="F23" s="630"/>
      <c r="G23" s="630"/>
      <c r="H23" s="630"/>
      <c r="I23" s="235"/>
      <c r="J23" s="630"/>
      <c r="K23" s="630"/>
      <c r="L23" s="630"/>
    </row>
    <row r="24" spans="2:14" x14ac:dyDescent="0.3">
      <c r="B24" s="971">
        <f t="shared" si="0"/>
        <v>15</v>
      </c>
      <c r="C24" s="599" t="s">
        <v>990</v>
      </c>
      <c r="D24" s="594"/>
      <c r="E24" s="594"/>
      <c r="F24" s="968">
        <f t="shared" ref="F24:G24" si="8">SUM(F21:F23)</f>
        <v>6350.9910510720001</v>
      </c>
      <c r="G24" s="968">
        <f t="shared" si="8"/>
        <v>6350.9910510720001</v>
      </c>
      <c r="H24" s="594"/>
      <c r="I24" s="1246">
        <f>SUM(I21:I23)</f>
        <v>5812.3801882380867</v>
      </c>
      <c r="J24" s="968">
        <f>SUM(J21:J23)</f>
        <v>5812.3801882380867</v>
      </c>
      <c r="K24" s="968">
        <f>SUM(K21:K22)</f>
        <v>-570.33664103391345</v>
      </c>
      <c r="L24" s="594"/>
    </row>
    <row r="25" spans="2:14" s="595" customFormat="1" x14ac:dyDescent="0.3">
      <c r="B25" s="971"/>
      <c r="C25" s="598"/>
      <c r="D25" s="594"/>
      <c r="E25" s="594"/>
      <c r="F25" s="594"/>
      <c r="G25" s="594"/>
      <c r="H25" s="594"/>
      <c r="I25" s="963"/>
      <c r="J25" s="1236"/>
      <c r="K25" s="594"/>
      <c r="L25" s="594"/>
    </row>
    <row r="26" spans="2:14" x14ac:dyDescent="0.3">
      <c r="B26" s="971"/>
      <c r="C26" s="596"/>
      <c r="D26" s="594"/>
      <c r="E26" s="594"/>
      <c r="F26" s="594"/>
      <c r="G26" s="594"/>
      <c r="H26" s="594"/>
      <c r="I26" s="963"/>
      <c r="J26" s="594"/>
      <c r="K26" s="594"/>
      <c r="L26" s="594"/>
    </row>
  </sheetData>
  <mergeCells count="9">
    <mergeCell ref="F19:F20"/>
    <mergeCell ref="G19:G20"/>
    <mergeCell ref="B6:B9"/>
    <mergeCell ref="C6:C9"/>
    <mergeCell ref="D6:J6"/>
    <mergeCell ref="K6:K8"/>
    <mergeCell ref="L6:L9"/>
    <mergeCell ref="D7:G7"/>
    <mergeCell ref="H7:J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B1:N1036"/>
  <sheetViews>
    <sheetView showGridLines="0" zoomScale="51" workbookViewId="0">
      <pane xSplit="4" ySplit="7" topLeftCell="E318" activePane="bottomRight" state="frozen"/>
      <selection pane="topRight" activeCell="E1" sqref="E1"/>
      <selection pane="bottomLeft" activeCell="A8" sqref="A8"/>
      <selection pane="bottomRight" activeCell="D323" sqref="D323"/>
    </sheetView>
  </sheetViews>
  <sheetFormatPr defaultColWidth="9.1796875" defaultRowHeight="14" x14ac:dyDescent="0.3"/>
  <cols>
    <col min="1" max="1" width="4.54296875" style="600" customWidth="1"/>
    <col min="2" max="2" width="9.1796875" style="600" customWidth="1"/>
    <col min="3" max="3" width="36.1796875" style="980" customWidth="1"/>
    <col min="4" max="4" width="117.54296875" style="980" customWidth="1"/>
    <col min="5" max="5" width="32.453125" style="980" customWidth="1"/>
    <col min="6" max="12" width="16.54296875" style="600" customWidth="1"/>
    <col min="13" max="13" width="16.54296875" style="601" customWidth="1"/>
    <col min="14" max="14" width="23.1796875" style="600" customWidth="1"/>
    <col min="15" max="256" width="9.1796875" style="600"/>
    <col min="257" max="257" width="4.54296875" style="600" customWidth="1"/>
    <col min="258" max="258" width="10.54296875" style="600" customWidth="1"/>
    <col min="259" max="259" width="49.1796875" style="600" customWidth="1"/>
    <col min="260" max="260" width="68.54296875" style="600" customWidth="1"/>
    <col min="261" max="261" width="35.453125" style="600" customWidth="1"/>
    <col min="262" max="262" width="21" style="600" customWidth="1"/>
    <col min="263" max="263" width="28.453125" style="600" customWidth="1"/>
    <col min="264" max="264" width="30.54296875" style="600" customWidth="1"/>
    <col min="265" max="265" width="29.54296875" style="600" customWidth="1"/>
    <col min="266" max="266" width="33.54296875" style="600" customWidth="1"/>
    <col min="267" max="267" width="26.54296875" style="600" customWidth="1"/>
    <col min="268" max="268" width="31.54296875" style="600" customWidth="1"/>
    <col min="269" max="269" width="34.453125" style="600" customWidth="1"/>
    <col min="270" max="270" width="45.1796875" style="600" customWidth="1"/>
    <col min="271" max="512" width="9.1796875" style="600"/>
    <col min="513" max="513" width="4.54296875" style="600" customWidth="1"/>
    <col min="514" max="514" width="10.54296875" style="600" customWidth="1"/>
    <col min="515" max="515" width="49.1796875" style="600" customWidth="1"/>
    <col min="516" max="516" width="68.54296875" style="600" customWidth="1"/>
    <col min="517" max="517" width="35.453125" style="600" customWidth="1"/>
    <col min="518" max="518" width="21" style="600" customWidth="1"/>
    <col min="519" max="519" width="28.453125" style="600" customWidth="1"/>
    <col min="520" max="520" width="30.54296875" style="600" customWidth="1"/>
    <col min="521" max="521" width="29.54296875" style="600" customWidth="1"/>
    <col min="522" max="522" width="33.54296875" style="600" customWidth="1"/>
    <col min="523" max="523" width="26.54296875" style="600" customWidth="1"/>
    <col min="524" max="524" width="31.54296875" style="600" customWidth="1"/>
    <col min="525" max="525" width="34.453125" style="600" customWidth="1"/>
    <col min="526" max="526" width="45.1796875" style="600" customWidth="1"/>
    <col min="527" max="768" width="9.1796875" style="600"/>
    <col min="769" max="769" width="4.54296875" style="600" customWidth="1"/>
    <col min="770" max="770" width="10.54296875" style="600" customWidth="1"/>
    <col min="771" max="771" width="49.1796875" style="600" customWidth="1"/>
    <col min="772" max="772" width="68.54296875" style="600" customWidth="1"/>
    <col min="773" max="773" width="35.453125" style="600" customWidth="1"/>
    <col min="774" max="774" width="21" style="600" customWidth="1"/>
    <col min="775" max="775" width="28.453125" style="600" customWidth="1"/>
    <col min="776" max="776" width="30.54296875" style="600" customWidth="1"/>
    <col min="777" max="777" width="29.54296875" style="600" customWidth="1"/>
    <col min="778" max="778" width="33.54296875" style="600" customWidth="1"/>
    <col min="779" max="779" width="26.54296875" style="600" customWidth="1"/>
    <col min="780" max="780" width="31.54296875" style="600" customWidth="1"/>
    <col min="781" max="781" width="34.453125" style="600" customWidth="1"/>
    <col min="782" max="782" width="45.1796875" style="600" customWidth="1"/>
    <col min="783" max="1024" width="9.1796875" style="600"/>
    <col min="1025" max="1025" width="4.54296875" style="600" customWidth="1"/>
    <col min="1026" max="1026" width="10.54296875" style="600" customWidth="1"/>
    <col min="1027" max="1027" width="49.1796875" style="600" customWidth="1"/>
    <col min="1028" max="1028" width="68.54296875" style="600" customWidth="1"/>
    <col min="1029" max="1029" width="35.453125" style="600" customWidth="1"/>
    <col min="1030" max="1030" width="21" style="600" customWidth="1"/>
    <col min="1031" max="1031" width="28.453125" style="600" customWidth="1"/>
    <col min="1032" max="1032" width="30.54296875" style="600" customWidth="1"/>
    <col min="1033" max="1033" width="29.54296875" style="600" customWidth="1"/>
    <col min="1034" max="1034" width="33.54296875" style="600" customWidth="1"/>
    <col min="1035" max="1035" width="26.54296875" style="600" customWidth="1"/>
    <col min="1036" max="1036" width="31.54296875" style="600" customWidth="1"/>
    <col min="1037" max="1037" width="34.453125" style="600" customWidth="1"/>
    <col min="1038" max="1038" width="45.1796875" style="600" customWidth="1"/>
    <col min="1039" max="1280" width="9.1796875" style="600"/>
    <col min="1281" max="1281" width="4.54296875" style="600" customWidth="1"/>
    <col min="1282" max="1282" width="10.54296875" style="600" customWidth="1"/>
    <col min="1283" max="1283" width="49.1796875" style="600" customWidth="1"/>
    <col min="1284" max="1284" width="68.54296875" style="600" customWidth="1"/>
    <col min="1285" max="1285" width="35.453125" style="600" customWidth="1"/>
    <col min="1286" max="1286" width="21" style="600" customWidth="1"/>
    <col min="1287" max="1287" width="28.453125" style="600" customWidth="1"/>
    <col min="1288" max="1288" width="30.54296875" style="600" customWidth="1"/>
    <col min="1289" max="1289" width="29.54296875" style="600" customWidth="1"/>
    <col min="1290" max="1290" width="33.54296875" style="600" customWidth="1"/>
    <col min="1291" max="1291" width="26.54296875" style="600" customWidth="1"/>
    <col min="1292" max="1292" width="31.54296875" style="600" customWidth="1"/>
    <col min="1293" max="1293" width="34.453125" style="600" customWidth="1"/>
    <col min="1294" max="1294" width="45.1796875" style="600" customWidth="1"/>
    <col min="1295" max="1536" width="9.1796875" style="600"/>
    <col min="1537" max="1537" width="4.54296875" style="600" customWidth="1"/>
    <col min="1538" max="1538" width="10.54296875" style="600" customWidth="1"/>
    <col min="1539" max="1539" width="49.1796875" style="600" customWidth="1"/>
    <col min="1540" max="1540" width="68.54296875" style="600" customWidth="1"/>
    <col min="1541" max="1541" width="35.453125" style="600" customWidth="1"/>
    <col min="1542" max="1542" width="21" style="600" customWidth="1"/>
    <col min="1543" max="1543" width="28.453125" style="600" customWidth="1"/>
    <col min="1544" max="1544" width="30.54296875" style="600" customWidth="1"/>
    <col min="1545" max="1545" width="29.54296875" style="600" customWidth="1"/>
    <col min="1546" max="1546" width="33.54296875" style="600" customWidth="1"/>
    <col min="1547" max="1547" width="26.54296875" style="600" customWidth="1"/>
    <col min="1548" max="1548" width="31.54296875" style="600" customWidth="1"/>
    <col min="1549" max="1549" width="34.453125" style="600" customWidth="1"/>
    <col min="1550" max="1550" width="45.1796875" style="600" customWidth="1"/>
    <col min="1551" max="1792" width="9.1796875" style="600"/>
    <col min="1793" max="1793" width="4.54296875" style="600" customWidth="1"/>
    <col min="1794" max="1794" width="10.54296875" style="600" customWidth="1"/>
    <col min="1795" max="1795" width="49.1796875" style="600" customWidth="1"/>
    <col min="1796" max="1796" width="68.54296875" style="600" customWidth="1"/>
    <col min="1797" max="1797" width="35.453125" style="600" customWidth="1"/>
    <col min="1798" max="1798" width="21" style="600" customWidth="1"/>
    <col min="1799" max="1799" width="28.453125" style="600" customWidth="1"/>
    <col min="1800" max="1800" width="30.54296875" style="600" customWidth="1"/>
    <col min="1801" max="1801" width="29.54296875" style="600" customWidth="1"/>
    <col min="1802" max="1802" width="33.54296875" style="600" customWidth="1"/>
    <col min="1803" max="1803" width="26.54296875" style="600" customWidth="1"/>
    <col min="1804" max="1804" width="31.54296875" style="600" customWidth="1"/>
    <col min="1805" max="1805" width="34.453125" style="600" customWidth="1"/>
    <col min="1806" max="1806" width="45.1796875" style="600" customWidth="1"/>
    <col min="1807" max="2048" width="9.1796875" style="600"/>
    <col min="2049" max="2049" width="4.54296875" style="600" customWidth="1"/>
    <col min="2050" max="2050" width="10.54296875" style="600" customWidth="1"/>
    <col min="2051" max="2051" width="49.1796875" style="600" customWidth="1"/>
    <col min="2052" max="2052" width="68.54296875" style="600" customWidth="1"/>
    <col min="2053" max="2053" width="35.453125" style="600" customWidth="1"/>
    <col min="2054" max="2054" width="21" style="600" customWidth="1"/>
    <col min="2055" max="2055" width="28.453125" style="600" customWidth="1"/>
    <col min="2056" max="2056" width="30.54296875" style="600" customWidth="1"/>
    <col min="2057" max="2057" width="29.54296875" style="600" customWidth="1"/>
    <col min="2058" max="2058" width="33.54296875" style="600" customWidth="1"/>
    <col min="2059" max="2059" width="26.54296875" style="600" customWidth="1"/>
    <col min="2060" max="2060" width="31.54296875" style="600" customWidth="1"/>
    <col min="2061" max="2061" width="34.453125" style="600" customWidth="1"/>
    <col min="2062" max="2062" width="45.1796875" style="600" customWidth="1"/>
    <col min="2063" max="2304" width="9.1796875" style="600"/>
    <col min="2305" max="2305" width="4.54296875" style="600" customWidth="1"/>
    <col min="2306" max="2306" width="10.54296875" style="600" customWidth="1"/>
    <col min="2307" max="2307" width="49.1796875" style="600" customWidth="1"/>
    <col min="2308" max="2308" width="68.54296875" style="600" customWidth="1"/>
    <col min="2309" max="2309" width="35.453125" style="600" customWidth="1"/>
    <col min="2310" max="2310" width="21" style="600" customWidth="1"/>
    <col min="2311" max="2311" width="28.453125" style="600" customWidth="1"/>
    <col min="2312" max="2312" width="30.54296875" style="600" customWidth="1"/>
    <col min="2313" max="2313" width="29.54296875" style="600" customWidth="1"/>
    <col min="2314" max="2314" width="33.54296875" style="600" customWidth="1"/>
    <col min="2315" max="2315" width="26.54296875" style="600" customWidth="1"/>
    <col min="2316" max="2316" width="31.54296875" style="600" customWidth="1"/>
    <col min="2317" max="2317" width="34.453125" style="600" customWidth="1"/>
    <col min="2318" max="2318" width="45.1796875" style="600" customWidth="1"/>
    <col min="2319" max="2560" width="9.1796875" style="600"/>
    <col min="2561" max="2561" width="4.54296875" style="600" customWidth="1"/>
    <col min="2562" max="2562" width="10.54296875" style="600" customWidth="1"/>
    <col min="2563" max="2563" width="49.1796875" style="600" customWidth="1"/>
    <col min="2564" max="2564" width="68.54296875" style="600" customWidth="1"/>
    <col min="2565" max="2565" width="35.453125" style="600" customWidth="1"/>
    <col min="2566" max="2566" width="21" style="600" customWidth="1"/>
    <col min="2567" max="2567" width="28.453125" style="600" customWidth="1"/>
    <col min="2568" max="2568" width="30.54296875" style="600" customWidth="1"/>
    <col min="2569" max="2569" width="29.54296875" style="600" customWidth="1"/>
    <col min="2570" max="2570" width="33.54296875" style="600" customWidth="1"/>
    <col min="2571" max="2571" width="26.54296875" style="600" customWidth="1"/>
    <col min="2572" max="2572" width="31.54296875" style="600" customWidth="1"/>
    <col min="2573" max="2573" width="34.453125" style="600" customWidth="1"/>
    <col min="2574" max="2574" width="45.1796875" style="600" customWidth="1"/>
    <col min="2575" max="2816" width="9.1796875" style="600"/>
    <col min="2817" max="2817" width="4.54296875" style="600" customWidth="1"/>
    <col min="2818" max="2818" width="10.54296875" style="600" customWidth="1"/>
    <col min="2819" max="2819" width="49.1796875" style="600" customWidth="1"/>
    <col min="2820" max="2820" width="68.54296875" style="600" customWidth="1"/>
    <col min="2821" max="2821" width="35.453125" style="600" customWidth="1"/>
    <col min="2822" max="2822" width="21" style="600" customWidth="1"/>
    <col min="2823" max="2823" width="28.453125" style="600" customWidth="1"/>
    <col min="2824" max="2824" width="30.54296875" style="600" customWidth="1"/>
    <col min="2825" max="2825" width="29.54296875" style="600" customWidth="1"/>
    <col min="2826" max="2826" width="33.54296875" style="600" customWidth="1"/>
    <col min="2827" max="2827" width="26.54296875" style="600" customWidth="1"/>
    <col min="2828" max="2828" width="31.54296875" style="600" customWidth="1"/>
    <col min="2829" max="2829" width="34.453125" style="600" customWidth="1"/>
    <col min="2830" max="2830" width="45.1796875" style="600" customWidth="1"/>
    <col min="2831" max="3072" width="9.1796875" style="600"/>
    <col min="3073" max="3073" width="4.54296875" style="600" customWidth="1"/>
    <col min="3074" max="3074" width="10.54296875" style="600" customWidth="1"/>
    <col min="3075" max="3075" width="49.1796875" style="600" customWidth="1"/>
    <col min="3076" max="3076" width="68.54296875" style="600" customWidth="1"/>
    <col min="3077" max="3077" width="35.453125" style="600" customWidth="1"/>
    <col min="3078" max="3078" width="21" style="600" customWidth="1"/>
    <col min="3079" max="3079" width="28.453125" style="600" customWidth="1"/>
    <col min="3080" max="3080" width="30.54296875" style="600" customWidth="1"/>
    <col min="3081" max="3081" width="29.54296875" style="600" customWidth="1"/>
    <col min="3082" max="3082" width="33.54296875" style="600" customWidth="1"/>
    <col min="3083" max="3083" width="26.54296875" style="600" customWidth="1"/>
    <col min="3084" max="3084" width="31.54296875" style="600" customWidth="1"/>
    <col min="3085" max="3085" width="34.453125" style="600" customWidth="1"/>
    <col min="3086" max="3086" width="45.1796875" style="600" customWidth="1"/>
    <col min="3087" max="3328" width="9.1796875" style="600"/>
    <col min="3329" max="3329" width="4.54296875" style="600" customWidth="1"/>
    <col min="3330" max="3330" width="10.54296875" style="600" customWidth="1"/>
    <col min="3331" max="3331" width="49.1796875" style="600" customWidth="1"/>
    <col min="3332" max="3332" width="68.54296875" style="600" customWidth="1"/>
    <col min="3333" max="3333" width="35.453125" style="600" customWidth="1"/>
    <col min="3334" max="3334" width="21" style="600" customWidth="1"/>
    <col min="3335" max="3335" width="28.453125" style="600" customWidth="1"/>
    <col min="3336" max="3336" width="30.54296875" style="600" customWidth="1"/>
    <col min="3337" max="3337" width="29.54296875" style="600" customWidth="1"/>
    <col min="3338" max="3338" width="33.54296875" style="600" customWidth="1"/>
    <col min="3339" max="3339" width="26.54296875" style="600" customWidth="1"/>
    <col min="3340" max="3340" width="31.54296875" style="600" customWidth="1"/>
    <col min="3341" max="3341" width="34.453125" style="600" customWidth="1"/>
    <col min="3342" max="3342" width="45.1796875" style="600" customWidth="1"/>
    <col min="3343" max="3584" width="9.1796875" style="600"/>
    <col min="3585" max="3585" width="4.54296875" style="600" customWidth="1"/>
    <col min="3586" max="3586" width="10.54296875" style="600" customWidth="1"/>
    <col min="3587" max="3587" width="49.1796875" style="600" customWidth="1"/>
    <col min="3588" max="3588" width="68.54296875" style="600" customWidth="1"/>
    <col min="3589" max="3589" width="35.453125" style="600" customWidth="1"/>
    <col min="3590" max="3590" width="21" style="600" customWidth="1"/>
    <col min="3591" max="3591" width="28.453125" style="600" customWidth="1"/>
    <col min="3592" max="3592" width="30.54296875" style="600" customWidth="1"/>
    <col min="3593" max="3593" width="29.54296875" style="600" customWidth="1"/>
    <col min="3594" max="3594" width="33.54296875" style="600" customWidth="1"/>
    <col min="3595" max="3595" width="26.54296875" style="600" customWidth="1"/>
    <col min="3596" max="3596" width="31.54296875" style="600" customWidth="1"/>
    <col min="3597" max="3597" width="34.453125" style="600" customWidth="1"/>
    <col min="3598" max="3598" width="45.1796875" style="600" customWidth="1"/>
    <col min="3599" max="3840" width="9.1796875" style="600"/>
    <col min="3841" max="3841" width="4.54296875" style="600" customWidth="1"/>
    <col min="3842" max="3842" width="10.54296875" style="600" customWidth="1"/>
    <col min="3843" max="3843" width="49.1796875" style="600" customWidth="1"/>
    <col min="3844" max="3844" width="68.54296875" style="600" customWidth="1"/>
    <col min="3845" max="3845" width="35.453125" style="600" customWidth="1"/>
    <col min="3846" max="3846" width="21" style="600" customWidth="1"/>
    <col min="3847" max="3847" width="28.453125" style="600" customWidth="1"/>
    <col min="3848" max="3848" width="30.54296875" style="600" customWidth="1"/>
    <col min="3849" max="3849" width="29.54296875" style="600" customWidth="1"/>
    <col min="3850" max="3850" width="33.54296875" style="600" customWidth="1"/>
    <col min="3851" max="3851" width="26.54296875" style="600" customWidth="1"/>
    <col min="3852" max="3852" width="31.54296875" style="600" customWidth="1"/>
    <col min="3853" max="3853" width="34.453125" style="600" customWidth="1"/>
    <col min="3854" max="3854" width="45.1796875" style="600" customWidth="1"/>
    <col min="3855" max="4096" width="9.1796875" style="600"/>
    <col min="4097" max="4097" width="4.54296875" style="600" customWidth="1"/>
    <col min="4098" max="4098" width="10.54296875" style="600" customWidth="1"/>
    <col min="4099" max="4099" width="49.1796875" style="600" customWidth="1"/>
    <col min="4100" max="4100" width="68.54296875" style="600" customWidth="1"/>
    <col min="4101" max="4101" width="35.453125" style="600" customWidth="1"/>
    <col min="4102" max="4102" width="21" style="600" customWidth="1"/>
    <col min="4103" max="4103" width="28.453125" style="600" customWidth="1"/>
    <col min="4104" max="4104" width="30.54296875" style="600" customWidth="1"/>
    <col min="4105" max="4105" width="29.54296875" style="600" customWidth="1"/>
    <col min="4106" max="4106" width="33.54296875" style="600" customWidth="1"/>
    <col min="4107" max="4107" width="26.54296875" style="600" customWidth="1"/>
    <col min="4108" max="4108" width="31.54296875" style="600" customWidth="1"/>
    <col min="4109" max="4109" width="34.453125" style="600" customWidth="1"/>
    <col min="4110" max="4110" width="45.1796875" style="600" customWidth="1"/>
    <col min="4111" max="4352" width="9.1796875" style="600"/>
    <col min="4353" max="4353" width="4.54296875" style="600" customWidth="1"/>
    <col min="4354" max="4354" width="10.54296875" style="600" customWidth="1"/>
    <col min="4355" max="4355" width="49.1796875" style="600" customWidth="1"/>
    <col min="4356" max="4356" width="68.54296875" style="600" customWidth="1"/>
    <col min="4357" max="4357" width="35.453125" style="600" customWidth="1"/>
    <col min="4358" max="4358" width="21" style="600" customWidth="1"/>
    <col min="4359" max="4359" width="28.453125" style="600" customWidth="1"/>
    <col min="4360" max="4360" width="30.54296875" style="600" customWidth="1"/>
    <col min="4361" max="4361" width="29.54296875" style="600" customWidth="1"/>
    <col min="4362" max="4362" width="33.54296875" style="600" customWidth="1"/>
    <col min="4363" max="4363" width="26.54296875" style="600" customWidth="1"/>
    <col min="4364" max="4364" width="31.54296875" style="600" customWidth="1"/>
    <col min="4365" max="4365" width="34.453125" style="600" customWidth="1"/>
    <col min="4366" max="4366" width="45.1796875" style="600" customWidth="1"/>
    <col min="4367" max="4608" width="9.1796875" style="600"/>
    <col min="4609" max="4609" width="4.54296875" style="600" customWidth="1"/>
    <col min="4610" max="4610" width="10.54296875" style="600" customWidth="1"/>
    <col min="4611" max="4611" width="49.1796875" style="600" customWidth="1"/>
    <col min="4612" max="4612" width="68.54296875" style="600" customWidth="1"/>
    <col min="4613" max="4613" width="35.453125" style="600" customWidth="1"/>
    <col min="4614" max="4614" width="21" style="600" customWidth="1"/>
    <col min="4615" max="4615" width="28.453125" style="600" customWidth="1"/>
    <col min="4616" max="4616" width="30.54296875" style="600" customWidth="1"/>
    <col min="4617" max="4617" width="29.54296875" style="600" customWidth="1"/>
    <col min="4618" max="4618" width="33.54296875" style="600" customWidth="1"/>
    <col min="4619" max="4619" width="26.54296875" style="600" customWidth="1"/>
    <col min="4620" max="4620" width="31.54296875" style="600" customWidth="1"/>
    <col min="4621" max="4621" width="34.453125" style="600" customWidth="1"/>
    <col min="4622" max="4622" width="45.1796875" style="600" customWidth="1"/>
    <col min="4623" max="4864" width="9.1796875" style="600"/>
    <col min="4865" max="4865" width="4.54296875" style="600" customWidth="1"/>
    <col min="4866" max="4866" width="10.54296875" style="600" customWidth="1"/>
    <col min="4867" max="4867" width="49.1796875" style="600" customWidth="1"/>
    <col min="4868" max="4868" width="68.54296875" style="600" customWidth="1"/>
    <col min="4869" max="4869" width="35.453125" style="600" customWidth="1"/>
    <col min="4870" max="4870" width="21" style="600" customWidth="1"/>
    <col min="4871" max="4871" width="28.453125" style="600" customWidth="1"/>
    <col min="4872" max="4872" width="30.54296875" style="600" customWidth="1"/>
    <col min="4873" max="4873" width="29.54296875" style="600" customWidth="1"/>
    <col min="4874" max="4874" width="33.54296875" style="600" customWidth="1"/>
    <col min="4875" max="4875" width="26.54296875" style="600" customWidth="1"/>
    <col min="4876" max="4876" width="31.54296875" style="600" customWidth="1"/>
    <col min="4877" max="4877" width="34.453125" style="600" customWidth="1"/>
    <col min="4878" max="4878" width="45.1796875" style="600" customWidth="1"/>
    <col min="4879" max="5120" width="9.1796875" style="600"/>
    <col min="5121" max="5121" width="4.54296875" style="600" customWidth="1"/>
    <col min="5122" max="5122" width="10.54296875" style="600" customWidth="1"/>
    <col min="5123" max="5123" width="49.1796875" style="600" customWidth="1"/>
    <col min="5124" max="5124" width="68.54296875" style="600" customWidth="1"/>
    <col min="5125" max="5125" width="35.453125" style="600" customWidth="1"/>
    <col min="5126" max="5126" width="21" style="600" customWidth="1"/>
    <col min="5127" max="5127" width="28.453125" style="600" customWidth="1"/>
    <col min="5128" max="5128" width="30.54296875" style="600" customWidth="1"/>
    <col min="5129" max="5129" width="29.54296875" style="600" customWidth="1"/>
    <col min="5130" max="5130" width="33.54296875" style="600" customWidth="1"/>
    <col min="5131" max="5131" width="26.54296875" style="600" customWidth="1"/>
    <col min="5132" max="5132" width="31.54296875" style="600" customWidth="1"/>
    <col min="5133" max="5133" width="34.453125" style="600" customWidth="1"/>
    <col min="5134" max="5134" width="45.1796875" style="600" customWidth="1"/>
    <col min="5135" max="5376" width="9.1796875" style="600"/>
    <col min="5377" max="5377" width="4.54296875" style="600" customWidth="1"/>
    <col min="5378" max="5378" width="10.54296875" style="600" customWidth="1"/>
    <col min="5379" max="5379" width="49.1796875" style="600" customWidth="1"/>
    <col min="5380" max="5380" width="68.54296875" style="600" customWidth="1"/>
    <col min="5381" max="5381" width="35.453125" style="600" customWidth="1"/>
    <col min="5382" max="5382" width="21" style="600" customWidth="1"/>
    <col min="5383" max="5383" width="28.453125" style="600" customWidth="1"/>
    <col min="5384" max="5384" width="30.54296875" style="600" customWidth="1"/>
    <col min="5385" max="5385" width="29.54296875" style="600" customWidth="1"/>
    <col min="5386" max="5386" width="33.54296875" style="600" customWidth="1"/>
    <col min="5387" max="5387" width="26.54296875" style="600" customWidth="1"/>
    <col min="5388" max="5388" width="31.54296875" style="600" customWidth="1"/>
    <col min="5389" max="5389" width="34.453125" style="600" customWidth="1"/>
    <col min="5390" max="5390" width="45.1796875" style="600" customWidth="1"/>
    <col min="5391" max="5632" width="9.1796875" style="600"/>
    <col min="5633" max="5633" width="4.54296875" style="600" customWidth="1"/>
    <col min="5634" max="5634" width="10.54296875" style="600" customWidth="1"/>
    <col min="5635" max="5635" width="49.1796875" style="600" customWidth="1"/>
    <col min="5636" max="5636" width="68.54296875" style="600" customWidth="1"/>
    <col min="5637" max="5637" width="35.453125" style="600" customWidth="1"/>
    <col min="5638" max="5638" width="21" style="600" customWidth="1"/>
    <col min="5639" max="5639" width="28.453125" style="600" customWidth="1"/>
    <col min="5640" max="5640" width="30.54296875" style="600" customWidth="1"/>
    <col min="5641" max="5641" width="29.54296875" style="600" customWidth="1"/>
    <col min="5642" max="5642" width="33.54296875" style="600" customWidth="1"/>
    <col min="5643" max="5643" width="26.54296875" style="600" customWidth="1"/>
    <col min="5644" max="5644" width="31.54296875" style="600" customWidth="1"/>
    <col min="5645" max="5645" width="34.453125" style="600" customWidth="1"/>
    <col min="5646" max="5646" width="45.1796875" style="600" customWidth="1"/>
    <col min="5647" max="5888" width="9.1796875" style="600"/>
    <col min="5889" max="5889" width="4.54296875" style="600" customWidth="1"/>
    <col min="5890" max="5890" width="10.54296875" style="600" customWidth="1"/>
    <col min="5891" max="5891" width="49.1796875" style="600" customWidth="1"/>
    <col min="5892" max="5892" width="68.54296875" style="600" customWidth="1"/>
    <col min="5893" max="5893" width="35.453125" style="600" customWidth="1"/>
    <col min="5894" max="5894" width="21" style="600" customWidth="1"/>
    <col min="5895" max="5895" width="28.453125" style="600" customWidth="1"/>
    <col min="5896" max="5896" width="30.54296875" style="600" customWidth="1"/>
    <col min="5897" max="5897" width="29.54296875" style="600" customWidth="1"/>
    <col min="5898" max="5898" width="33.54296875" style="600" customWidth="1"/>
    <col min="5899" max="5899" width="26.54296875" style="600" customWidth="1"/>
    <col min="5900" max="5900" width="31.54296875" style="600" customWidth="1"/>
    <col min="5901" max="5901" width="34.453125" style="600" customWidth="1"/>
    <col min="5902" max="5902" width="45.1796875" style="600" customWidth="1"/>
    <col min="5903" max="6144" width="9.1796875" style="600"/>
    <col min="6145" max="6145" width="4.54296875" style="600" customWidth="1"/>
    <col min="6146" max="6146" width="10.54296875" style="600" customWidth="1"/>
    <col min="6147" max="6147" width="49.1796875" style="600" customWidth="1"/>
    <col min="6148" max="6148" width="68.54296875" style="600" customWidth="1"/>
    <col min="6149" max="6149" width="35.453125" style="600" customWidth="1"/>
    <col min="6150" max="6150" width="21" style="600" customWidth="1"/>
    <col min="6151" max="6151" width="28.453125" style="600" customWidth="1"/>
    <col min="6152" max="6152" width="30.54296875" style="600" customWidth="1"/>
    <col min="6153" max="6153" width="29.54296875" style="600" customWidth="1"/>
    <col min="6154" max="6154" width="33.54296875" style="600" customWidth="1"/>
    <col min="6155" max="6155" width="26.54296875" style="600" customWidth="1"/>
    <col min="6156" max="6156" width="31.54296875" style="600" customWidth="1"/>
    <col min="6157" max="6157" width="34.453125" style="600" customWidth="1"/>
    <col min="6158" max="6158" width="45.1796875" style="600" customWidth="1"/>
    <col min="6159" max="6400" width="9.1796875" style="600"/>
    <col min="6401" max="6401" width="4.54296875" style="600" customWidth="1"/>
    <col min="6402" max="6402" width="10.54296875" style="600" customWidth="1"/>
    <col min="6403" max="6403" width="49.1796875" style="600" customWidth="1"/>
    <col min="6404" max="6404" width="68.54296875" style="600" customWidth="1"/>
    <col min="6405" max="6405" width="35.453125" style="600" customWidth="1"/>
    <col min="6406" max="6406" width="21" style="600" customWidth="1"/>
    <col min="6407" max="6407" width="28.453125" style="600" customWidth="1"/>
    <col min="6408" max="6408" width="30.54296875" style="600" customWidth="1"/>
    <col min="6409" max="6409" width="29.54296875" style="600" customWidth="1"/>
    <col min="6410" max="6410" width="33.54296875" style="600" customWidth="1"/>
    <col min="6411" max="6411" width="26.54296875" style="600" customWidth="1"/>
    <col min="6412" max="6412" width="31.54296875" style="600" customWidth="1"/>
    <col min="6413" max="6413" width="34.453125" style="600" customWidth="1"/>
    <col min="6414" max="6414" width="45.1796875" style="600" customWidth="1"/>
    <col min="6415" max="6656" width="9.1796875" style="600"/>
    <col min="6657" max="6657" width="4.54296875" style="600" customWidth="1"/>
    <col min="6658" max="6658" width="10.54296875" style="600" customWidth="1"/>
    <col min="6659" max="6659" width="49.1796875" style="600" customWidth="1"/>
    <col min="6660" max="6660" width="68.54296875" style="600" customWidth="1"/>
    <col min="6661" max="6661" width="35.453125" style="600" customWidth="1"/>
    <col min="6662" max="6662" width="21" style="600" customWidth="1"/>
    <col min="6663" max="6663" width="28.453125" style="600" customWidth="1"/>
    <col min="6664" max="6664" width="30.54296875" style="600" customWidth="1"/>
    <col min="6665" max="6665" width="29.54296875" style="600" customWidth="1"/>
    <col min="6666" max="6666" width="33.54296875" style="600" customWidth="1"/>
    <col min="6667" max="6667" width="26.54296875" style="600" customWidth="1"/>
    <col min="6668" max="6668" width="31.54296875" style="600" customWidth="1"/>
    <col min="6669" max="6669" width="34.453125" style="600" customWidth="1"/>
    <col min="6670" max="6670" width="45.1796875" style="600" customWidth="1"/>
    <col min="6671" max="6912" width="9.1796875" style="600"/>
    <col min="6913" max="6913" width="4.54296875" style="600" customWidth="1"/>
    <col min="6914" max="6914" width="10.54296875" style="600" customWidth="1"/>
    <col min="6915" max="6915" width="49.1796875" style="600" customWidth="1"/>
    <col min="6916" max="6916" width="68.54296875" style="600" customWidth="1"/>
    <col min="6917" max="6917" width="35.453125" style="600" customWidth="1"/>
    <col min="6918" max="6918" width="21" style="600" customWidth="1"/>
    <col min="6919" max="6919" width="28.453125" style="600" customWidth="1"/>
    <col min="6920" max="6920" width="30.54296875" style="600" customWidth="1"/>
    <col min="6921" max="6921" width="29.54296875" style="600" customWidth="1"/>
    <col min="6922" max="6922" width="33.54296875" style="600" customWidth="1"/>
    <col min="6923" max="6923" width="26.54296875" style="600" customWidth="1"/>
    <col min="6924" max="6924" width="31.54296875" style="600" customWidth="1"/>
    <col min="6925" max="6925" width="34.453125" style="600" customWidth="1"/>
    <col min="6926" max="6926" width="45.1796875" style="600" customWidth="1"/>
    <col min="6927" max="7168" width="9.1796875" style="600"/>
    <col min="7169" max="7169" width="4.54296875" style="600" customWidth="1"/>
    <col min="7170" max="7170" width="10.54296875" style="600" customWidth="1"/>
    <col min="7171" max="7171" width="49.1796875" style="600" customWidth="1"/>
    <col min="7172" max="7172" width="68.54296875" style="600" customWidth="1"/>
    <col min="7173" max="7173" width="35.453125" style="600" customWidth="1"/>
    <col min="7174" max="7174" width="21" style="600" customWidth="1"/>
    <col min="7175" max="7175" width="28.453125" style="600" customWidth="1"/>
    <col min="7176" max="7176" width="30.54296875" style="600" customWidth="1"/>
    <col min="7177" max="7177" width="29.54296875" style="600" customWidth="1"/>
    <col min="7178" max="7178" width="33.54296875" style="600" customWidth="1"/>
    <col min="7179" max="7179" width="26.54296875" style="600" customWidth="1"/>
    <col min="7180" max="7180" width="31.54296875" style="600" customWidth="1"/>
    <col min="7181" max="7181" width="34.453125" style="600" customWidth="1"/>
    <col min="7182" max="7182" width="45.1796875" style="600" customWidth="1"/>
    <col min="7183" max="7424" width="9.1796875" style="600"/>
    <col min="7425" max="7425" width="4.54296875" style="600" customWidth="1"/>
    <col min="7426" max="7426" width="10.54296875" style="600" customWidth="1"/>
    <col min="7427" max="7427" width="49.1796875" style="600" customWidth="1"/>
    <col min="7428" max="7428" width="68.54296875" style="600" customWidth="1"/>
    <col min="7429" max="7429" width="35.453125" style="600" customWidth="1"/>
    <col min="7430" max="7430" width="21" style="600" customWidth="1"/>
    <col min="7431" max="7431" width="28.453125" style="600" customWidth="1"/>
    <col min="7432" max="7432" width="30.54296875" style="600" customWidth="1"/>
    <col min="7433" max="7433" width="29.54296875" style="600" customWidth="1"/>
    <col min="7434" max="7434" width="33.54296875" style="600" customWidth="1"/>
    <col min="7435" max="7435" width="26.54296875" style="600" customWidth="1"/>
    <col min="7436" max="7436" width="31.54296875" style="600" customWidth="1"/>
    <col min="7437" max="7437" width="34.453125" style="600" customWidth="1"/>
    <col min="7438" max="7438" width="45.1796875" style="600" customWidth="1"/>
    <col min="7439" max="7680" width="9.1796875" style="600"/>
    <col min="7681" max="7681" width="4.54296875" style="600" customWidth="1"/>
    <col min="7682" max="7682" width="10.54296875" style="600" customWidth="1"/>
    <col min="7683" max="7683" width="49.1796875" style="600" customWidth="1"/>
    <col min="7684" max="7684" width="68.54296875" style="600" customWidth="1"/>
    <col min="7685" max="7685" width="35.453125" style="600" customWidth="1"/>
    <col min="7686" max="7686" width="21" style="600" customWidth="1"/>
    <col min="7687" max="7687" width="28.453125" style="600" customWidth="1"/>
    <col min="7688" max="7688" width="30.54296875" style="600" customWidth="1"/>
    <col min="7689" max="7689" width="29.54296875" style="600" customWidth="1"/>
    <col min="7690" max="7690" width="33.54296875" style="600" customWidth="1"/>
    <col min="7691" max="7691" width="26.54296875" style="600" customWidth="1"/>
    <col min="7692" max="7692" width="31.54296875" style="600" customWidth="1"/>
    <col min="7693" max="7693" width="34.453125" style="600" customWidth="1"/>
    <col min="7694" max="7694" width="45.1796875" style="600" customWidth="1"/>
    <col min="7695" max="7936" width="9.1796875" style="600"/>
    <col min="7937" max="7937" width="4.54296875" style="600" customWidth="1"/>
    <col min="7938" max="7938" width="10.54296875" style="600" customWidth="1"/>
    <col min="7939" max="7939" width="49.1796875" style="600" customWidth="1"/>
    <col min="7940" max="7940" width="68.54296875" style="600" customWidth="1"/>
    <col min="7941" max="7941" width="35.453125" style="600" customWidth="1"/>
    <col min="7942" max="7942" width="21" style="600" customWidth="1"/>
    <col min="7943" max="7943" width="28.453125" style="600" customWidth="1"/>
    <col min="7944" max="7944" width="30.54296875" style="600" customWidth="1"/>
    <col min="7945" max="7945" width="29.54296875" style="600" customWidth="1"/>
    <col min="7946" max="7946" width="33.54296875" style="600" customWidth="1"/>
    <col min="7947" max="7947" width="26.54296875" style="600" customWidth="1"/>
    <col min="7948" max="7948" width="31.54296875" style="600" customWidth="1"/>
    <col min="7949" max="7949" width="34.453125" style="600" customWidth="1"/>
    <col min="7950" max="7950" width="45.1796875" style="600" customWidth="1"/>
    <col min="7951" max="8192" width="9.1796875" style="600"/>
    <col min="8193" max="8193" width="4.54296875" style="600" customWidth="1"/>
    <col min="8194" max="8194" width="10.54296875" style="600" customWidth="1"/>
    <col min="8195" max="8195" width="49.1796875" style="600" customWidth="1"/>
    <col min="8196" max="8196" width="68.54296875" style="600" customWidth="1"/>
    <col min="8197" max="8197" width="35.453125" style="600" customWidth="1"/>
    <col min="8198" max="8198" width="21" style="600" customWidth="1"/>
    <col min="8199" max="8199" width="28.453125" style="600" customWidth="1"/>
    <col min="8200" max="8200" width="30.54296875" style="600" customWidth="1"/>
    <col min="8201" max="8201" width="29.54296875" style="600" customWidth="1"/>
    <col min="8202" max="8202" width="33.54296875" style="600" customWidth="1"/>
    <col min="8203" max="8203" width="26.54296875" style="600" customWidth="1"/>
    <col min="8204" max="8204" width="31.54296875" style="600" customWidth="1"/>
    <col min="8205" max="8205" width="34.453125" style="600" customWidth="1"/>
    <col min="8206" max="8206" width="45.1796875" style="600" customWidth="1"/>
    <col min="8207" max="8448" width="9.1796875" style="600"/>
    <col min="8449" max="8449" width="4.54296875" style="600" customWidth="1"/>
    <col min="8450" max="8450" width="10.54296875" style="600" customWidth="1"/>
    <col min="8451" max="8451" width="49.1796875" style="600" customWidth="1"/>
    <col min="8452" max="8452" width="68.54296875" style="600" customWidth="1"/>
    <col min="8453" max="8453" width="35.453125" style="600" customWidth="1"/>
    <col min="8454" max="8454" width="21" style="600" customWidth="1"/>
    <col min="8455" max="8455" width="28.453125" style="600" customWidth="1"/>
    <col min="8456" max="8456" width="30.54296875" style="600" customWidth="1"/>
    <col min="8457" max="8457" width="29.54296875" style="600" customWidth="1"/>
    <col min="8458" max="8458" width="33.54296875" style="600" customWidth="1"/>
    <col min="8459" max="8459" width="26.54296875" style="600" customWidth="1"/>
    <col min="8460" max="8460" width="31.54296875" style="600" customWidth="1"/>
    <col min="8461" max="8461" width="34.453125" style="600" customWidth="1"/>
    <col min="8462" max="8462" width="45.1796875" style="600" customWidth="1"/>
    <col min="8463" max="8704" width="9.1796875" style="600"/>
    <col min="8705" max="8705" width="4.54296875" style="600" customWidth="1"/>
    <col min="8706" max="8706" width="10.54296875" style="600" customWidth="1"/>
    <col min="8707" max="8707" width="49.1796875" style="600" customWidth="1"/>
    <col min="8708" max="8708" width="68.54296875" style="600" customWidth="1"/>
    <col min="8709" max="8709" width="35.453125" style="600" customWidth="1"/>
    <col min="8710" max="8710" width="21" style="600" customWidth="1"/>
    <col min="8711" max="8711" width="28.453125" style="600" customWidth="1"/>
    <col min="8712" max="8712" width="30.54296875" style="600" customWidth="1"/>
    <col min="8713" max="8713" width="29.54296875" style="600" customWidth="1"/>
    <col min="8714" max="8714" width="33.54296875" style="600" customWidth="1"/>
    <col min="8715" max="8715" width="26.54296875" style="600" customWidth="1"/>
    <col min="8716" max="8716" width="31.54296875" style="600" customWidth="1"/>
    <col min="8717" max="8717" width="34.453125" style="600" customWidth="1"/>
    <col min="8718" max="8718" width="45.1796875" style="600" customWidth="1"/>
    <col min="8719" max="8960" width="9.1796875" style="600"/>
    <col min="8961" max="8961" width="4.54296875" style="600" customWidth="1"/>
    <col min="8962" max="8962" width="10.54296875" style="600" customWidth="1"/>
    <col min="8963" max="8963" width="49.1796875" style="600" customWidth="1"/>
    <col min="8964" max="8964" width="68.54296875" style="600" customWidth="1"/>
    <col min="8965" max="8965" width="35.453125" style="600" customWidth="1"/>
    <col min="8966" max="8966" width="21" style="600" customWidth="1"/>
    <col min="8967" max="8967" width="28.453125" style="600" customWidth="1"/>
    <col min="8968" max="8968" width="30.54296875" style="600" customWidth="1"/>
    <col min="8969" max="8969" width="29.54296875" style="600" customWidth="1"/>
    <col min="8970" max="8970" width="33.54296875" style="600" customWidth="1"/>
    <col min="8971" max="8971" width="26.54296875" style="600" customWidth="1"/>
    <col min="8972" max="8972" width="31.54296875" style="600" customWidth="1"/>
    <col min="8973" max="8973" width="34.453125" style="600" customWidth="1"/>
    <col min="8974" max="8974" width="45.1796875" style="600" customWidth="1"/>
    <col min="8975" max="9216" width="9.1796875" style="600"/>
    <col min="9217" max="9217" width="4.54296875" style="600" customWidth="1"/>
    <col min="9218" max="9218" width="10.54296875" style="600" customWidth="1"/>
    <col min="9219" max="9219" width="49.1796875" style="600" customWidth="1"/>
    <col min="9220" max="9220" width="68.54296875" style="600" customWidth="1"/>
    <col min="9221" max="9221" width="35.453125" style="600" customWidth="1"/>
    <col min="9222" max="9222" width="21" style="600" customWidth="1"/>
    <col min="9223" max="9223" width="28.453125" style="600" customWidth="1"/>
    <col min="9224" max="9224" width="30.54296875" style="600" customWidth="1"/>
    <col min="9225" max="9225" width="29.54296875" style="600" customWidth="1"/>
    <col min="9226" max="9226" width="33.54296875" style="600" customWidth="1"/>
    <col min="9227" max="9227" width="26.54296875" style="600" customWidth="1"/>
    <col min="9228" max="9228" width="31.54296875" style="600" customWidth="1"/>
    <col min="9229" max="9229" width="34.453125" style="600" customWidth="1"/>
    <col min="9230" max="9230" width="45.1796875" style="600" customWidth="1"/>
    <col min="9231" max="9472" width="9.1796875" style="600"/>
    <col min="9473" max="9473" width="4.54296875" style="600" customWidth="1"/>
    <col min="9474" max="9474" width="10.54296875" style="600" customWidth="1"/>
    <col min="9475" max="9475" width="49.1796875" style="600" customWidth="1"/>
    <col min="9476" max="9476" width="68.54296875" style="600" customWidth="1"/>
    <col min="9477" max="9477" width="35.453125" style="600" customWidth="1"/>
    <col min="9478" max="9478" width="21" style="600" customWidth="1"/>
    <col min="9479" max="9479" width="28.453125" style="600" customWidth="1"/>
    <col min="9480" max="9480" width="30.54296875" style="600" customWidth="1"/>
    <col min="9481" max="9481" width="29.54296875" style="600" customWidth="1"/>
    <col min="9482" max="9482" width="33.54296875" style="600" customWidth="1"/>
    <col min="9483" max="9483" width="26.54296875" style="600" customWidth="1"/>
    <col min="9484" max="9484" width="31.54296875" style="600" customWidth="1"/>
    <col min="9485" max="9485" width="34.453125" style="600" customWidth="1"/>
    <col min="9486" max="9486" width="45.1796875" style="600" customWidth="1"/>
    <col min="9487" max="9728" width="9.1796875" style="600"/>
    <col min="9729" max="9729" width="4.54296875" style="600" customWidth="1"/>
    <col min="9730" max="9730" width="10.54296875" style="600" customWidth="1"/>
    <col min="9731" max="9731" width="49.1796875" style="600" customWidth="1"/>
    <col min="9732" max="9732" width="68.54296875" style="600" customWidth="1"/>
    <col min="9733" max="9733" width="35.453125" style="600" customWidth="1"/>
    <col min="9734" max="9734" width="21" style="600" customWidth="1"/>
    <col min="9735" max="9735" width="28.453125" style="600" customWidth="1"/>
    <col min="9736" max="9736" width="30.54296875" style="600" customWidth="1"/>
    <col min="9737" max="9737" width="29.54296875" style="600" customWidth="1"/>
    <col min="9738" max="9738" width="33.54296875" style="600" customWidth="1"/>
    <col min="9739" max="9739" width="26.54296875" style="600" customWidth="1"/>
    <col min="9740" max="9740" width="31.54296875" style="600" customWidth="1"/>
    <col min="9741" max="9741" width="34.453125" style="600" customWidth="1"/>
    <col min="9742" max="9742" width="45.1796875" style="600" customWidth="1"/>
    <col min="9743" max="9984" width="9.1796875" style="600"/>
    <col min="9985" max="9985" width="4.54296875" style="600" customWidth="1"/>
    <col min="9986" max="9986" width="10.54296875" style="600" customWidth="1"/>
    <col min="9987" max="9987" width="49.1796875" style="600" customWidth="1"/>
    <col min="9988" max="9988" width="68.54296875" style="600" customWidth="1"/>
    <col min="9989" max="9989" width="35.453125" style="600" customWidth="1"/>
    <col min="9990" max="9990" width="21" style="600" customWidth="1"/>
    <col min="9991" max="9991" width="28.453125" style="600" customWidth="1"/>
    <col min="9992" max="9992" width="30.54296875" style="600" customWidth="1"/>
    <col min="9993" max="9993" width="29.54296875" style="600" customWidth="1"/>
    <col min="9994" max="9994" width="33.54296875" style="600" customWidth="1"/>
    <col min="9995" max="9995" width="26.54296875" style="600" customWidth="1"/>
    <col min="9996" max="9996" width="31.54296875" style="600" customWidth="1"/>
    <col min="9997" max="9997" width="34.453125" style="600" customWidth="1"/>
    <col min="9998" max="9998" width="45.1796875" style="600" customWidth="1"/>
    <col min="9999" max="10240" width="9.1796875" style="600"/>
    <col min="10241" max="10241" width="4.54296875" style="600" customWidth="1"/>
    <col min="10242" max="10242" width="10.54296875" style="600" customWidth="1"/>
    <col min="10243" max="10243" width="49.1796875" style="600" customWidth="1"/>
    <col min="10244" max="10244" width="68.54296875" style="600" customWidth="1"/>
    <col min="10245" max="10245" width="35.453125" style="600" customWidth="1"/>
    <col min="10246" max="10246" width="21" style="600" customWidth="1"/>
    <col min="10247" max="10247" width="28.453125" style="600" customWidth="1"/>
    <col min="10248" max="10248" width="30.54296875" style="600" customWidth="1"/>
    <col min="10249" max="10249" width="29.54296875" style="600" customWidth="1"/>
    <col min="10250" max="10250" width="33.54296875" style="600" customWidth="1"/>
    <col min="10251" max="10251" width="26.54296875" style="600" customWidth="1"/>
    <col min="10252" max="10252" width="31.54296875" style="600" customWidth="1"/>
    <col min="10253" max="10253" width="34.453125" style="600" customWidth="1"/>
    <col min="10254" max="10254" width="45.1796875" style="600" customWidth="1"/>
    <col min="10255" max="10496" width="9.1796875" style="600"/>
    <col min="10497" max="10497" width="4.54296875" style="600" customWidth="1"/>
    <col min="10498" max="10498" width="10.54296875" style="600" customWidth="1"/>
    <col min="10499" max="10499" width="49.1796875" style="600" customWidth="1"/>
    <col min="10500" max="10500" width="68.54296875" style="600" customWidth="1"/>
    <col min="10501" max="10501" width="35.453125" style="600" customWidth="1"/>
    <col min="10502" max="10502" width="21" style="600" customWidth="1"/>
    <col min="10503" max="10503" width="28.453125" style="600" customWidth="1"/>
    <col min="10504" max="10504" width="30.54296875" style="600" customWidth="1"/>
    <col min="10505" max="10505" width="29.54296875" style="600" customWidth="1"/>
    <col min="10506" max="10506" width="33.54296875" style="600" customWidth="1"/>
    <col min="10507" max="10507" width="26.54296875" style="600" customWidth="1"/>
    <col min="10508" max="10508" width="31.54296875" style="600" customWidth="1"/>
    <col min="10509" max="10509" width="34.453125" style="600" customWidth="1"/>
    <col min="10510" max="10510" width="45.1796875" style="600" customWidth="1"/>
    <col min="10511" max="10752" width="9.1796875" style="600"/>
    <col min="10753" max="10753" width="4.54296875" style="600" customWidth="1"/>
    <col min="10754" max="10754" width="10.54296875" style="600" customWidth="1"/>
    <col min="10755" max="10755" width="49.1796875" style="600" customWidth="1"/>
    <col min="10756" max="10756" width="68.54296875" style="600" customWidth="1"/>
    <col min="10757" max="10757" width="35.453125" style="600" customWidth="1"/>
    <col min="10758" max="10758" width="21" style="600" customWidth="1"/>
    <col min="10759" max="10759" width="28.453125" style="600" customWidth="1"/>
    <col min="10760" max="10760" width="30.54296875" style="600" customWidth="1"/>
    <col min="10761" max="10761" width="29.54296875" style="600" customWidth="1"/>
    <col min="10762" max="10762" width="33.54296875" style="600" customWidth="1"/>
    <col min="10763" max="10763" width="26.54296875" style="600" customWidth="1"/>
    <col min="10764" max="10764" width="31.54296875" style="600" customWidth="1"/>
    <col min="10765" max="10765" width="34.453125" style="600" customWidth="1"/>
    <col min="10766" max="10766" width="45.1796875" style="600" customWidth="1"/>
    <col min="10767" max="11008" width="9.1796875" style="600"/>
    <col min="11009" max="11009" width="4.54296875" style="600" customWidth="1"/>
    <col min="11010" max="11010" width="10.54296875" style="600" customWidth="1"/>
    <col min="11011" max="11011" width="49.1796875" style="600" customWidth="1"/>
    <col min="11012" max="11012" width="68.54296875" style="600" customWidth="1"/>
    <col min="11013" max="11013" width="35.453125" style="600" customWidth="1"/>
    <col min="11014" max="11014" width="21" style="600" customWidth="1"/>
    <col min="11015" max="11015" width="28.453125" style="600" customWidth="1"/>
    <col min="11016" max="11016" width="30.54296875" style="600" customWidth="1"/>
    <col min="11017" max="11017" width="29.54296875" style="600" customWidth="1"/>
    <col min="11018" max="11018" width="33.54296875" style="600" customWidth="1"/>
    <col min="11019" max="11019" width="26.54296875" style="600" customWidth="1"/>
    <col min="11020" max="11020" width="31.54296875" style="600" customWidth="1"/>
    <col min="11021" max="11021" width="34.453125" style="600" customWidth="1"/>
    <col min="11022" max="11022" width="45.1796875" style="600" customWidth="1"/>
    <col min="11023" max="11264" width="9.1796875" style="600"/>
    <col min="11265" max="11265" width="4.54296875" style="600" customWidth="1"/>
    <col min="11266" max="11266" width="10.54296875" style="600" customWidth="1"/>
    <col min="11267" max="11267" width="49.1796875" style="600" customWidth="1"/>
    <col min="11268" max="11268" width="68.54296875" style="600" customWidth="1"/>
    <col min="11269" max="11269" width="35.453125" style="600" customWidth="1"/>
    <col min="11270" max="11270" width="21" style="600" customWidth="1"/>
    <col min="11271" max="11271" width="28.453125" style="600" customWidth="1"/>
    <col min="11272" max="11272" width="30.54296875" style="600" customWidth="1"/>
    <col min="11273" max="11273" width="29.54296875" style="600" customWidth="1"/>
    <col min="11274" max="11274" width="33.54296875" style="600" customWidth="1"/>
    <col min="11275" max="11275" width="26.54296875" style="600" customWidth="1"/>
    <col min="11276" max="11276" width="31.54296875" style="600" customWidth="1"/>
    <col min="11277" max="11277" width="34.453125" style="600" customWidth="1"/>
    <col min="11278" max="11278" width="45.1796875" style="600" customWidth="1"/>
    <col min="11279" max="11520" width="9.1796875" style="600"/>
    <col min="11521" max="11521" width="4.54296875" style="600" customWidth="1"/>
    <col min="11522" max="11522" width="10.54296875" style="600" customWidth="1"/>
    <col min="11523" max="11523" width="49.1796875" style="600" customWidth="1"/>
    <col min="11524" max="11524" width="68.54296875" style="600" customWidth="1"/>
    <col min="11525" max="11525" width="35.453125" style="600" customWidth="1"/>
    <col min="11526" max="11526" width="21" style="600" customWidth="1"/>
    <col min="11527" max="11527" width="28.453125" style="600" customWidth="1"/>
    <col min="11528" max="11528" width="30.54296875" style="600" customWidth="1"/>
    <col min="11529" max="11529" width="29.54296875" style="600" customWidth="1"/>
    <col min="11530" max="11530" width="33.54296875" style="600" customWidth="1"/>
    <col min="11531" max="11531" width="26.54296875" style="600" customWidth="1"/>
    <col min="11532" max="11532" width="31.54296875" style="600" customWidth="1"/>
    <col min="11533" max="11533" width="34.453125" style="600" customWidth="1"/>
    <col min="11534" max="11534" width="45.1796875" style="600" customWidth="1"/>
    <col min="11535" max="11776" width="9.1796875" style="600"/>
    <col min="11777" max="11777" width="4.54296875" style="600" customWidth="1"/>
    <col min="11778" max="11778" width="10.54296875" style="600" customWidth="1"/>
    <col min="11779" max="11779" width="49.1796875" style="600" customWidth="1"/>
    <col min="11780" max="11780" width="68.54296875" style="600" customWidth="1"/>
    <col min="11781" max="11781" width="35.453125" style="600" customWidth="1"/>
    <col min="11782" max="11782" width="21" style="600" customWidth="1"/>
    <col min="11783" max="11783" width="28.453125" style="600" customWidth="1"/>
    <col min="11784" max="11784" width="30.54296875" style="600" customWidth="1"/>
    <col min="11785" max="11785" width="29.54296875" style="600" customWidth="1"/>
    <col min="11786" max="11786" width="33.54296875" style="600" customWidth="1"/>
    <col min="11787" max="11787" width="26.54296875" style="600" customWidth="1"/>
    <col min="11788" max="11788" width="31.54296875" style="600" customWidth="1"/>
    <col min="11789" max="11789" width="34.453125" style="600" customWidth="1"/>
    <col min="11790" max="11790" width="45.1796875" style="600" customWidth="1"/>
    <col min="11791" max="12032" width="9.1796875" style="600"/>
    <col min="12033" max="12033" width="4.54296875" style="600" customWidth="1"/>
    <col min="12034" max="12034" width="10.54296875" style="600" customWidth="1"/>
    <col min="12035" max="12035" width="49.1796875" style="600" customWidth="1"/>
    <col min="12036" max="12036" width="68.54296875" style="600" customWidth="1"/>
    <col min="12037" max="12037" width="35.453125" style="600" customWidth="1"/>
    <col min="12038" max="12038" width="21" style="600" customWidth="1"/>
    <col min="12039" max="12039" width="28.453125" style="600" customWidth="1"/>
    <col min="12040" max="12040" width="30.54296875" style="600" customWidth="1"/>
    <col min="12041" max="12041" width="29.54296875" style="600" customWidth="1"/>
    <col min="12042" max="12042" width="33.54296875" style="600" customWidth="1"/>
    <col min="12043" max="12043" width="26.54296875" style="600" customWidth="1"/>
    <col min="12044" max="12044" width="31.54296875" style="600" customWidth="1"/>
    <col min="12045" max="12045" width="34.453125" style="600" customWidth="1"/>
    <col min="12046" max="12046" width="45.1796875" style="600" customWidth="1"/>
    <col min="12047" max="12288" width="9.1796875" style="600"/>
    <col min="12289" max="12289" width="4.54296875" style="600" customWidth="1"/>
    <col min="12290" max="12290" width="10.54296875" style="600" customWidth="1"/>
    <col min="12291" max="12291" width="49.1796875" style="600" customWidth="1"/>
    <col min="12292" max="12292" width="68.54296875" style="600" customWidth="1"/>
    <col min="12293" max="12293" width="35.453125" style="600" customWidth="1"/>
    <col min="12294" max="12294" width="21" style="600" customWidth="1"/>
    <col min="12295" max="12295" width="28.453125" style="600" customWidth="1"/>
    <col min="12296" max="12296" width="30.54296875" style="600" customWidth="1"/>
    <col min="12297" max="12297" width="29.54296875" style="600" customWidth="1"/>
    <col min="12298" max="12298" width="33.54296875" style="600" customWidth="1"/>
    <col min="12299" max="12299" width="26.54296875" style="600" customWidth="1"/>
    <col min="12300" max="12300" width="31.54296875" style="600" customWidth="1"/>
    <col min="12301" max="12301" width="34.453125" style="600" customWidth="1"/>
    <col min="12302" max="12302" width="45.1796875" style="600" customWidth="1"/>
    <col min="12303" max="12544" width="9.1796875" style="600"/>
    <col min="12545" max="12545" width="4.54296875" style="600" customWidth="1"/>
    <col min="12546" max="12546" width="10.54296875" style="600" customWidth="1"/>
    <col min="12547" max="12547" width="49.1796875" style="600" customWidth="1"/>
    <col min="12548" max="12548" width="68.54296875" style="600" customWidth="1"/>
    <col min="12549" max="12549" width="35.453125" style="600" customWidth="1"/>
    <col min="12550" max="12550" width="21" style="600" customWidth="1"/>
    <col min="12551" max="12551" width="28.453125" style="600" customWidth="1"/>
    <col min="12552" max="12552" width="30.54296875" style="600" customWidth="1"/>
    <col min="12553" max="12553" width="29.54296875" style="600" customWidth="1"/>
    <col min="12554" max="12554" width="33.54296875" style="600" customWidth="1"/>
    <col min="12555" max="12555" width="26.54296875" style="600" customWidth="1"/>
    <col min="12556" max="12556" width="31.54296875" style="600" customWidth="1"/>
    <col min="12557" max="12557" width="34.453125" style="600" customWidth="1"/>
    <col min="12558" max="12558" width="45.1796875" style="600" customWidth="1"/>
    <col min="12559" max="12800" width="9.1796875" style="600"/>
    <col min="12801" max="12801" width="4.54296875" style="600" customWidth="1"/>
    <col min="12802" max="12802" width="10.54296875" style="600" customWidth="1"/>
    <col min="12803" max="12803" width="49.1796875" style="600" customWidth="1"/>
    <col min="12804" max="12804" width="68.54296875" style="600" customWidth="1"/>
    <col min="12805" max="12805" width="35.453125" style="600" customWidth="1"/>
    <col min="12806" max="12806" width="21" style="600" customWidth="1"/>
    <col min="12807" max="12807" width="28.453125" style="600" customWidth="1"/>
    <col min="12808" max="12808" width="30.54296875" style="600" customWidth="1"/>
    <col min="12809" max="12809" width="29.54296875" style="600" customWidth="1"/>
    <col min="12810" max="12810" width="33.54296875" style="600" customWidth="1"/>
    <col min="12811" max="12811" width="26.54296875" style="600" customWidth="1"/>
    <col min="12812" max="12812" width="31.54296875" style="600" customWidth="1"/>
    <col min="12813" max="12813" width="34.453125" style="600" customWidth="1"/>
    <col min="12814" max="12814" width="45.1796875" style="600" customWidth="1"/>
    <col min="12815" max="13056" width="9.1796875" style="600"/>
    <col min="13057" max="13057" width="4.54296875" style="600" customWidth="1"/>
    <col min="13058" max="13058" width="10.54296875" style="600" customWidth="1"/>
    <col min="13059" max="13059" width="49.1796875" style="600" customWidth="1"/>
    <col min="13060" max="13060" width="68.54296875" style="600" customWidth="1"/>
    <col min="13061" max="13061" width="35.453125" style="600" customWidth="1"/>
    <col min="13062" max="13062" width="21" style="600" customWidth="1"/>
    <col min="13063" max="13063" width="28.453125" style="600" customWidth="1"/>
    <col min="13064" max="13064" width="30.54296875" style="600" customWidth="1"/>
    <col min="13065" max="13065" width="29.54296875" style="600" customWidth="1"/>
    <col min="13066" max="13066" width="33.54296875" style="600" customWidth="1"/>
    <col min="13067" max="13067" width="26.54296875" style="600" customWidth="1"/>
    <col min="13068" max="13068" width="31.54296875" style="600" customWidth="1"/>
    <col min="13069" max="13069" width="34.453125" style="600" customWidth="1"/>
    <col min="13070" max="13070" width="45.1796875" style="600" customWidth="1"/>
    <col min="13071" max="13312" width="9.1796875" style="600"/>
    <col min="13313" max="13313" width="4.54296875" style="600" customWidth="1"/>
    <col min="13314" max="13314" width="10.54296875" style="600" customWidth="1"/>
    <col min="13315" max="13315" width="49.1796875" style="600" customWidth="1"/>
    <col min="13316" max="13316" width="68.54296875" style="600" customWidth="1"/>
    <col min="13317" max="13317" width="35.453125" style="600" customWidth="1"/>
    <col min="13318" max="13318" width="21" style="600" customWidth="1"/>
    <col min="13319" max="13319" width="28.453125" style="600" customWidth="1"/>
    <col min="13320" max="13320" width="30.54296875" style="600" customWidth="1"/>
    <col min="13321" max="13321" width="29.54296875" style="600" customWidth="1"/>
    <col min="13322" max="13322" width="33.54296875" style="600" customWidth="1"/>
    <col min="13323" max="13323" width="26.54296875" style="600" customWidth="1"/>
    <col min="13324" max="13324" width="31.54296875" style="600" customWidth="1"/>
    <col min="13325" max="13325" width="34.453125" style="600" customWidth="1"/>
    <col min="13326" max="13326" width="45.1796875" style="600" customWidth="1"/>
    <col min="13327" max="13568" width="9.1796875" style="600"/>
    <col min="13569" max="13569" width="4.54296875" style="600" customWidth="1"/>
    <col min="13570" max="13570" width="10.54296875" style="600" customWidth="1"/>
    <col min="13571" max="13571" width="49.1796875" style="600" customWidth="1"/>
    <col min="13572" max="13572" width="68.54296875" style="600" customWidth="1"/>
    <col min="13573" max="13573" width="35.453125" style="600" customWidth="1"/>
    <col min="13574" max="13574" width="21" style="600" customWidth="1"/>
    <col min="13575" max="13575" width="28.453125" style="600" customWidth="1"/>
    <col min="13576" max="13576" width="30.54296875" style="600" customWidth="1"/>
    <col min="13577" max="13577" width="29.54296875" style="600" customWidth="1"/>
    <col min="13578" max="13578" width="33.54296875" style="600" customWidth="1"/>
    <col min="13579" max="13579" width="26.54296875" style="600" customWidth="1"/>
    <col min="13580" max="13580" width="31.54296875" style="600" customWidth="1"/>
    <col min="13581" max="13581" width="34.453125" style="600" customWidth="1"/>
    <col min="13582" max="13582" width="45.1796875" style="600" customWidth="1"/>
    <col min="13583" max="13824" width="9.1796875" style="600"/>
    <col min="13825" max="13825" width="4.54296875" style="600" customWidth="1"/>
    <col min="13826" max="13826" width="10.54296875" style="600" customWidth="1"/>
    <col min="13827" max="13827" width="49.1796875" style="600" customWidth="1"/>
    <col min="13828" max="13828" width="68.54296875" style="600" customWidth="1"/>
    <col min="13829" max="13829" width="35.453125" style="600" customWidth="1"/>
    <col min="13830" max="13830" width="21" style="600" customWidth="1"/>
    <col min="13831" max="13831" width="28.453125" style="600" customWidth="1"/>
    <col min="13832" max="13832" width="30.54296875" style="600" customWidth="1"/>
    <col min="13833" max="13833" width="29.54296875" style="600" customWidth="1"/>
    <col min="13834" max="13834" width="33.54296875" style="600" customWidth="1"/>
    <col min="13835" max="13835" width="26.54296875" style="600" customWidth="1"/>
    <col min="13836" max="13836" width="31.54296875" style="600" customWidth="1"/>
    <col min="13837" max="13837" width="34.453125" style="600" customWidth="1"/>
    <col min="13838" max="13838" width="45.1796875" style="600" customWidth="1"/>
    <col min="13839" max="14080" width="9.1796875" style="600"/>
    <col min="14081" max="14081" width="4.54296875" style="600" customWidth="1"/>
    <col min="14082" max="14082" width="10.54296875" style="600" customWidth="1"/>
    <col min="14083" max="14083" width="49.1796875" style="600" customWidth="1"/>
    <col min="14084" max="14084" width="68.54296875" style="600" customWidth="1"/>
    <col min="14085" max="14085" width="35.453125" style="600" customWidth="1"/>
    <col min="14086" max="14086" width="21" style="600" customWidth="1"/>
    <col min="14087" max="14087" width="28.453125" style="600" customWidth="1"/>
    <col min="14088" max="14088" width="30.54296875" style="600" customWidth="1"/>
    <col min="14089" max="14089" width="29.54296875" style="600" customWidth="1"/>
    <col min="14090" max="14090" width="33.54296875" style="600" customWidth="1"/>
    <col min="14091" max="14091" width="26.54296875" style="600" customWidth="1"/>
    <col min="14092" max="14092" width="31.54296875" style="600" customWidth="1"/>
    <col min="14093" max="14093" width="34.453125" style="600" customWidth="1"/>
    <col min="14094" max="14094" width="45.1796875" style="600" customWidth="1"/>
    <col min="14095" max="14336" width="9.1796875" style="600"/>
    <col min="14337" max="14337" width="4.54296875" style="600" customWidth="1"/>
    <col min="14338" max="14338" width="10.54296875" style="600" customWidth="1"/>
    <col min="14339" max="14339" width="49.1796875" style="600" customWidth="1"/>
    <col min="14340" max="14340" width="68.54296875" style="600" customWidth="1"/>
    <col min="14341" max="14341" width="35.453125" style="600" customWidth="1"/>
    <col min="14342" max="14342" width="21" style="600" customWidth="1"/>
    <col min="14343" max="14343" width="28.453125" style="600" customWidth="1"/>
    <col min="14344" max="14344" width="30.54296875" style="600" customWidth="1"/>
    <col min="14345" max="14345" width="29.54296875" style="600" customWidth="1"/>
    <col min="14346" max="14346" width="33.54296875" style="600" customWidth="1"/>
    <col min="14347" max="14347" width="26.54296875" style="600" customWidth="1"/>
    <col min="14348" max="14348" width="31.54296875" style="600" customWidth="1"/>
    <col min="14349" max="14349" width="34.453125" style="600" customWidth="1"/>
    <col min="14350" max="14350" width="45.1796875" style="600" customWidth="1"/>
    <col min="14351" max="14592" width="9.1796875" style="600"/>
    <col min="14593" max="14593" width="4.54296875" style="600" customWidth="1"/>
    <col min="14594" max="14594" width="10.54296875" style="600" customWidth="1"/>
    <col min="14595" max="14595" width="49.1796875" style="600" customWidth="1"/>
    <col min="14596" max="14596" width="68.54296875" style="600" customWidth="1"/>
    <col min="14597" max="14597" width="35.453125" style="600" customWidth="1"/>
    <col min="14598" max="14598" width="21" style="600" customWidth="1"/>
    <col min="14599" max="14599" width="28.453125" style="600" customWidth="1"/>
    <col min="14600" max="14600" width="30.54296875" style="600" customWidth="1"/>
    <col min="14601" max="14601" width="29.54296875" style="600" customWidth="1"/>
    <col min="14602" max="14602" width="33.54296875" style="600" customWidth="1"/>
    <col min="14603" max="14603" width="26.54296875" style="600" customWidth="1"/>
    <col min="14604" max="14604" width="31.54296875" style="600" customWidth="1"/>
    <col min="14605" max="14605" width="34.453125" style="600" customWidth="1"/>
    <col min="14606" max="14606" width="45.1796875" style="600" customWidth="1"/>
    <col min="14607" max="14848" width="9.1796875" style="600"/>
    <col min="14849" max="14849" width="4.54296875" style="600" customWidth="1"/>
    <col min="14850" max="14850" width="10.54296875" style="600" customWidth="1"/>
    <col min="14851" max="14851" width="49.1796875" style="600" customWidth="1"/>
    <col min="14852" max="14852" width="68.54296875" style="600" customWidth="1"/>
    <col min="14853" max="14853" width="35.453125" style="600" customWidth="1"/>
    <col min="14854" max="14854" width="21" style="600" customWidth="1"/>
    <col min="14855" max="14855" width="28.453125" style="600" customWidth="1"/>
    <col min="14856" max="14856" width="30.54296875" style="600" customWidth="1"/>
    <col min="14857" max="14857" width="29.54296875" style="600" customWidth="1"/>
    <col min="14858" max="14858" width="33.54296875" style="600" customWidth="1"/>
    <col min="14859" max="14859" width="26.54296875" style="600" customWidth="1"/>
    <col min="14860" max="14860" width="31.54296875" style="600" customWidth="1"/>
    <col min="14861" max="14861" width="34.453125" style="600" customWidth="1"/>
    <col min="14862" max="14862" width="45.1796875" style="600" customWidth="1"/>
    <col min="14863" max="15104" width="9.1796875" style="600"/>
    <col min="15105" max="15105" width="4.54296875" style="600" customWidth="1"/>
    <col min="15106" max="15106" width="10.54296875" style="600" customWidth="1"/>
    <col min="15107" max="15107" width="49.1796875" style="600" customWidth="1"/>
    <col min="15108" max="15108" width="68.54296875" style="600" customWidth="1"/>
    <col min="15109" max="15109" width="35.453125" style="600" customWidth="1"/>
    <col min="15110" max="15110" width="21" style="600" customWidth="1"/>
    <col min="15111" max="15111" width="28.453125" style="600" customWidth="1"/>
    <col min="15112" max="15112" width="30.54296875" style="600" customWidth="1"/>
    <col min="15113" max="15113" width="29.54296875" style="600" customWidth="1"/>
    <col min="15114" max="15114" width="33.54296875" style="600" customWidth="1"/>
    <col min="15115" max="15115" width="26.54296875" style="600" customWidth="1"/>
    <col min="15116" max="15116" width="31.54296875" style="600" customWidth="1"/>
    <col min="15117" max="15117" width="34.453125" style="600" customWidth="1"/>
    <col min="15118" max="15118" width="45.1796875" style="600" customWidth="1"/>
    <col min="15119" max="15360" width="9.1796875" style="600"/>
    <col min="15361" max="15361" width="4.54296875" style="600" customWidth="1"/>
    <col min="15362" max="15362" width="10.54296875" style="600" customWidth="1"/>
    <col min="15363" max="15363" width="49.1796875" style="600" customWidth="1"/>
    <col min="15364" max="15364" width="68.54296875" style="600" customWidth="1"/>
    <col min="15365" max="15365" width="35.453125" style="600" customWidth="1"/>
    <col min="15366" max="15366" width="21" style="600" customWidth="1"/>
    <col min="15367" max="15367" width="28.453125" style="600" customWidth="1"/>
    <col min="15368" max="15368" width="30.54296875" style="600" customWidth="1"/>
    <col min="15369" max="15369" width="29.54296875" style="600" customWidth="1"/>
    <col min="15370" max="15370" width="33.54296875" style="600" customWidth="1"/>
    <col min="15371" max="15371" width="26.54296875" style="600" customWidth="1"/>
    <col min="15372" max="15372" width="31.54296875" style="600" customWidth="1"/>
    <col min="15373" max="15373" width="34.453125" style="600" customWidth="1"/>
    <col min="15374" max="15374" width="45.1796875" style="600" customWidth="1"/>
    <col min="15375" max="15616" width="9.1796875" style="600"/>
    <col min="15617" max="15617" width="4.54296875" style="600" customWidth="1"/>
    <col min="15618" max="15618" width="10.54296875" style="600" customWidth="1"/>
    <col min="15619" max="15619" width="49.1796875" style="600" customWidth="1"/>
    <col min="15620" max="15620" width="68.54296875" style="600" customWidth="1"/>
    <col min="15621" max="15621" width="35.453125" style="600" customWidth="1"/>
    <col min="15622" max="15622" width="21" style="600" customWidth="1"/>
    <col min="15623" max="15623" width="28.453125" style="600" customWidth="1"/>
    <col min="15624" max="15624" width="30.54296875" style="600" customWidth="1"/>
    <col min="15625" max="15625" width="29.54296875" style="600" customWidth="1"/>
    <col min="15626" max="15626" width="33.54296875" style="600" customWidth="1"/>
    <col min="15627" max="15627" width="26.54296875" style="600" customWidth="1"/>
    <col min="15628" max="15628" width="31.54296875" style="600" customWidth="1"/>
    <col min="15629" max="15629" width="34.453125" style="600" customWidth="1"/>
    <col min="15630" max="15630" width="45.1796875" style="600" customWidth="1"/>
    <col min="15631" max="15872" width="9.1796875" style="600"/>
    <col min="15873" max="15873" width="4.54296875" style="600" customWidth="1"/>
    <col min="15874" max="15874" width="10.54296875" style="600" customWidth="1"/>
    <col min="15875" max="15875" width="49.1796875" style="600" customWidth="1"/>
    <col min="15876" max="15876" width="68.54296875" style="600" customWidth="1"/>
    <col min="15877" max="15877" width="35.453125" style="600" customWidth="1"/>
    <col min="15878" max="15878" width="21" style="600" customWidth="1"/>
    <col min="15879" max="15879" width="28.453125" style="600" customWidth="1"/>
    <col min="15880" max="15880" width="30.54296875" style="600" customWidth="1"/>
    <col min="15881" max="15881" width="29.54296875" style="600" customWidth="1"/>
    <col min="15882" max="15882" width="33.54296875" style="600" customWidth="1"/>
    <col min="15883" max="15883" width="26.54296875" style="600" customWidth="1"/>
    <col min="15884" max="15884" width="31.54296875" style="600" customWidth="1"/>
    <col min="15885" max="15885" width="34.453125" style="600" customWidth="1"/>
    <col min="15886" max="15886" width="45.1796875" style="600" customWidth="1"/>
    <col min="15887" max="16128" width="9.1796875" style="600"/>
    <col min="16129" max="16129" width="4.54296875" style="600" customWidth="1"/>
    <col min="16130" max="16130" width="10.54296875" style="600" customWidth="1"/>
    <col min="16131" max="16131" width="49.1796875" style="600" customWidth="1"/>
    <col min="16132" max="16132" width="68.54296875" style="600" customWidth="1"/>
    <col min="16133" max="16133" width="35.453125" style="600" customWidth="1"/>
    <col min="16134" max="16134" width="21" style="600" customWidth="1"/>
    <col min="16135" max="16135" width="28.453125" style="600" customWidth="1"/>
    <col min="16136" max="16136" width="30.54296875" style="600" customWidth="1"/>
    <col min="16137" max="16137" width="29.54296875" style="600" customWidth="1"/>
    <col min="16138" max="16138" width="33.54296875" style="600" customWidth="1"/>
    <col min="16139" max="16139" width="26.54296875" style="600" customWidth="1"/>
    <col min="16140" max="16140" width="31.54296875" style="600" customWidth="1"/>
    <col min="16141" max="16141" width="34.453125" style="600" customWidth="1"/>
    <col min="16142" max="16142" width="45.1796875" style="600" customWidth="1"/>
    <col min="16143" max="16384" width="9.1796875" style="600"/>
  </cols>
  <sheetData>
    <row r="1" spans="2:14" x14ac:dyDescent="0.3">
      <c r="C1" s="984"/>
      <c r="D1" s="984"/>
    </row>
    <row r="2" spans="2:14" ht="31.5" customHeight="1" x14ac:dyDescent="0.3">
      <c r="C2" s="981"/>
      <c r="D2" s="981"/>
      <c r="E2" s="981"/>
      <c r="F2" s="586"/>
      <c r="G2" s="586"/>
      <c r="H2" s="586"/>
      <c r="I2" s="586"/>
      <c r="J2" s="586"/>
      <c r="K2" s="586"/>
      <c r="L2" s="586"/>
      <c r="M2" s="586"/>
      <c r="N2" s="586"/>
    </row>
    <row r="3" spans="2:14" s="546" customFormat="1" x14ac:dyDescent="0.3">
      <c r="B3" s="17"/>
      <c r="C3" s="985"/>
      <c r="D3" s="60"/>
      <c r="E3" s="60"/>
      <c r="F3" s="17"/>
      <c r="G3" s="17"/>
      <c r="H3" s="62" t="str">
        <f>Index!B2</f>
        <v xml:space="preserve">      Maharashtra State Power Generation Company Ltd.</v>
      </c>
    </row>
    <row r="4" spans="2:14" s="546" customFormat="1" x14ac:dyDescent="0.3">
      <c r="B4" s="586"/>
      <c r="C4" s="985"/>
      <c r="D4" s="982"/>
      <c r="E4" s="982"/>
      <c r="F4" s="572"/>
      <c r="G4" s="572"/>
      <c r="H4" s="63" t="s">
        <v>3039</v>
      </c>
    </row>
    <row r="5" spans="2:14" s="546" customFormat="1" x14ac:dyDescent="0.3">
      <c r="B5" s="586"/>
      <c r="C5" s="985"/>
      <c r="D5" s="982"/>
      <c r="E5" s="982"/>
      <c r="F5" s="572"/>
      <c r="G5" s="572"/>
      <c r="H5" s="602" t="s">
        <v>991</v>
      </c>
    </row>
    <row r="6" spans="2:14" s="546" customFormat="1" x14ac:dyDescent="0.3">
      <c r="B6" s="586"/>
      <c r="C6" s="985"/>
      <c r="D6" s="982"/>
      <c r="E6" s="982"/>
      <c r="F6" s="572"/>
      <c r="G6" s="572"/>
      <c r="H6" s="602"/>
    </row>
    <row r="7" spans="2:14" ht="81" customHeight="1" x14ac:dyDescent="0.3">
      <c r="B7" s="603" t="s">
        <v>327</v>
      </c>
      <c r="C7" s="983" t="s">
        <v>992</v>
      </c>
      <c r="D7" s="983" t="s">
        <v>993</v>
      </c>
      <c r="E7" s="983" t="s">
        <v>994</v>
      </c>
      <c r="F7" s="603" t="s">
        <v>995</v>
      </c>
      <c r="G7" s="603" t="s">
        <v>996</v>
      </c>
      <c r="H7" s="603" t="s">
        <v>997</v>
      </c>
      <c r="I7" s="603" t="s">
        <v>998</v>
      </c>
      <c r="J7" s="603" t="s">
        <v>999</v>
      </c>
      <c r="K7" s="603" t="s">
        <v>1000</v>
      </c>
      <c r="L7" s="603" t="s">
        <v>1001</v>
      </c>
      <c r="M7" s="604" t="s">
        <v>1002</v>
      </c>
      <c r="N7" s="603" t="s">
        <v>1003</v>
      </c>
    </row>
    <row r="8" spans="2:14" ht="28" x14ac:dyDescent="0.3">
      <c r="B8" s="973">
        <v>1</v>
      </c>
      <c r="C8" s="386" t="s">
        <v>1465</v>
      </c>
      <c r="D8" s="386" t="s">
        <v>1466</v>
      </c>
      <c r="E8" s="121" t="s">
        <v>1467</v>
      </c>
      <c r="F8" s="121">
        <v>4</v>
      </c>
      <c r="G8" s="974" t="s">
        <v>1468</v>
      </c>
      <c r="H8" s="121" t="s">
        <v>1469</v>
      </c>
      <c r="I8" s="121" t="s">
        <v>1470</v>
      </c>
      <c r="J8" s="121" t="s">
        <v>1471</v>
      </c>
      <c r="K8" s="975">
        <v>3758.19</v>
      </c>
      <c r="L8" s="801" t="s">
        <v>1472</v>
      </c>
      <c r="M8" s="976">
        <f>120%*K8</f>
        <v>4509.8279999999995</v>
      </c>
      <c r="N8" s="979"/>
    </row>
    <row r="9" spans="2:14" s="605" customFormat="1" x14ac:dyDescent="0.3">
      <c r="B9" s="973">
        <v>2</v>
      </c>
      <c r="C9" s="386" t="s">
        <v>1473</v>
      </c>
      <c r="D9" s="386"/>
      <c r="E9" s="121" t="s">
        <v>1474</v>
      </c>
      <c r="F9" s="121"/>
      <c r="G9" s="974"/>
      <c r="H9" s="121"/>
      <c r="I9" s="121"/>
      <c r="J9" s="121"/>
      <c r="K9" s="975">
        <f>SUM(K1036)</f>
        <v>67.70874104943276</v>
      </c>
      <c r="L9" s="801"/>
      <c r="M9" s="976"/>
      <c r="N9" s="1307"/>
    </row>
    <row r="10" spans="2:14" x14ac:dyDescent="0.3">
      <c r="B10" s="973">
        <v>3</v>
      </c>
      <c r="C10" s="386" t="s">
        <v>1475</v>
      </c>
      <c r="D10" s="386"/>
      <c r="E10" s="121"/>
      <c r="F10" s="121"/>
      <c r="G10" s="974"/>
      <c r="H10" s="121"/>
      <c r="I10" s="121"/>
      <c r="J10" s="121"/>
      <c r="K10" s="975"/>
      <c r="L10" s="801"/>
      <c r="M10" s="976"/>
      <c r="N10" s="1307"/>
    </row>
    <row r="11" spans="2:14" x14ac:dyDescent="0.3">
      <c r="B11" s="973">
        <v>4</v>
      </c>
      <c r="C11" s="386"/>
      <c r="D11" s="386"/>
      <c r="E11" s="121"/>
      <c r="F11" s="121"/>
      <c r="G11" s="974"/>
      <c r="H11" s="121"/>
      <c r="I11" s="121"/>
      <c r="J11" s="121"/>
      <c r="K11" s="975"/>
      <c r="L11" s="801"/>
      <c r="M11" s="976"/>
      <c r="N11" s="1307"/>
    </row>
    <row r="12" spans="2:14" x14ac:dyDescent="0.3">
      <c r="B12" s="973">
        <v>5</v>
      </c>
      <c r="C12" s="386"/>
      <c r="D12" s="386"/>
      <c r="E12" s="121"/>
      <c r="F12" s="121"/>
      <c r="G12" s="974"/>
      <c r="H12" s="121"/>
      <c r="I12" s="121"/>
      <c r="J12" s="121"/>
      <c r="K12" s="975"/>
      <c r="L12" s="801"/>
      <c r="M12" s="976"/>
      <c r="N12" s="1307"/>
    </row>
    <row r="13" spans="2:14" x14ac:dyDescent="0.3">
      <c r="B13" s="973"/>
      <c r="C13" s="386"/>
      <c r="D13" s="386"/>
      <c r="E13" s="121"/>
      <c r="F13" s="121"/>
      <c r="G13" s="974"/>
      <c r="H13" s="121"/>
      <c r="I13" s="121"/>
      <c r="J13" s="121"/>
      <c r="K13" s="975"/>
      <c r="L13" s="801"/>
      <c r="M13" s="976"/>
      <c r="N13" s="1307"/>
    </row>
    <row r="14" spans="2:14" x14ac:dyDescent="0.3">
      <c r="B14" s="973"/>
      <c r="C14" s="386"/>
      <c r="D14" s="386"/>
      <c r="E14" s="121"/>
      <c r="F14" s="121"/>
      <c r="G14" s="974"/>
      <c r="H14" s="121"/>
      <c r="I14" s="121"/>
      <c r="J14" s="121"/>
      <c r="K14" s="975"/>
      <c r="L14" s="801"/>
      <c r="M14" s="976"/>
      <c r="N14" s="1307"/>
    </row>
    <row r="15" spans="2:14" x14ac:dyDescent="0.3">
      <c r="B15" s="973"/>
      <c r="C15" s="386"/>
      <c r="D15" s="386"/>
      <c r="E15" s="121"/>
      <c r="F15" s="121"/>
      <c r="G15" s="974"/>
      <c r="H15" s="121"/>
      <c r="I15" s="121"/>
      <c r="J15" s="121"/>
      <c r="K15" s="975"/>
      <c r="L15" s="801"/>
      <c r="M15" s="976"/>
      <c r="N15" s="1307"/>
    </row>
    <row r="16" spans="2:14" ht="28" x14ac:dyDescent="0.3">
      <c r="B16" s="973">
        <v>2</v>
      </c>
      <c r="C16" s="386" t="s">
        <v>1476</v>
      </c>
      <c r="D16" s="386" t="s">
        <v>1477</v>
      </c>
      <c r="E16" s="121" t="s">
        <v>1478</v>
      </c>
      <c r="F16" s="121"/>
      <c r="G16" s="974">
        <v>45679</v>
      </c>
      <c r="H16" s="974">
        <v>45679</v>
      </c>
      <c r="I16" s="974">
        <f>H16+30</f>
        <v>45709</v>
      </c>
      <c r="J16" s="974">
        <v>45684</v>
      </c>
      <c r="K16" s="977">
        <v>2.03196E-2</v>
      </c>
      <c r="L16" s="801"/>
      <c r="M16" s="977">
        <v>2.03196E-2</v>
      </c>
      <c r="N16" s="977">
        <v>2.03196E-2</v>
      </c>
    </row>
    <row r="17" spans="2:14" ht="42" x14ac:dyDescent="0.3">
      <c r="B17" s="973">
        <v>3</v>
      </c>
      <c r="C17" s="386" t="s">
        <v>1476</v>
      </c>
      <c r="D17" s="386" t="s">
        <v>1479</v>
      </c>
      <c r="E17" s="121" t="s">
        <v>1478</v>
      </c>
      <c r="F17" s="121"/>
      <c r="G17" s="974">
        <v>45601</v>
      </c>
      <c r="H17" s="974">
        <v>45597</v>
      </c>
      <c r="I17" s="974">
        <f>H17+365</f>
        <v>45962</v>
      </c>
      <c r="J17" s="974">
        <v>45961</v>
      </c>
      <c r="K17" s="977">
        <v>0.16775422800000001</v>
      </c>
      <c r="L17" s="801" t="s">
        <v>1480</v>
      </c>
      <c r="M17" s="977">
        <v>0.16775422800000001</v>
      </c>
      <c r="N17" s="977">
        <v>2.8662672000000004E-2</v>
      </c>
    </row>
    <row r="18" spans="2:14" ht="28" x14ac:dyDescent="0.3">
      <c r="B18" s="973">
        <v>4</v>
      </c>
      <c r="C18" s="386" t="s">
        <v>1481</v>
      </c>
      <c r="D18" s="386" t="s">
        <v>1482</v>
      </c>
      <c r="E18" s="121" t="s">
        <v>1483</v>
      </c>
      <c r="F18" s="121"/>
      <c r="G18" s="974">
        <v>45565</v>
      </c>
      <c r="H18" s="974">
        <v>45565</v>
      </c>
      <c r="I18" s="974"/>
      <c r="J18" s="974">
        <v>45647</v>
      </c>
      <c r="K18" s="977">
        <v>0.22705482799999999</v>
      </c>
      <c r="L18" s="801"/>
      <c r="M18" s="977">
        <v>0.22705482799999999</v>
      </c>
      <c r="N18" s="977">
        <v>0.221139694</v>
      </c>
    </row>
    <row r="19" spans="2:14" ht="28" x14ac:dyDescent="0.3">
      <c r="B19" s="973">
        <v>5</v>
      </c>
      <c r="C19" s="386" t="s">
        <v>1481</v>
      </c>
      <c r="D19" s="386" t="s">
        <v>1484</v>
      </c>
      <c r="E19" s="121" t="s">
        <v>1483</v>
      </c>
      <c r="F19" s="121"/>
      <c r="G19" s="974">
        <v>45565</v>
      </c>
      <c r="H19" s="974">
        <v>45565</v>
      </c>
      <c r="I19" s="974"/>
      <c r="J19" s="974">
        <v>45628</v>
      </c>
      <c r="K19" s="977">
        <v>6.1979740000000002E-3</v>
      </c>
      <c r="L19" s="801"/>
      <c r="M19" s="977">
        <v>6.1979740000000002E-3</v>
      </c>
      <c r="N19" s="977">
        <v>6.1979740000000002E-3</v>
      </c>
    </row>
    <row r="20" spans="2:14" ht="28" x14ac:dyDescent="0.3">
      <c r="B20" s="973">
        <v>6</v>
      </c>
      <c r="C20" s="386" t="s">
        <v>1485</v>
      </c>
      <c r="D20" s="386" t="s">
        <v>1486</v>
      </c>
      <c r="E20" s="121" t="s">
        <v>1478</v>
      </c>
      <c r="F20" s="121"/>
      <c r="G20" s="974">
        <v>45559</v>
      </c>
      <c r="H20" s="974">
        <v>45559</v>
      </c>
      <c r="I20" s="974">
        <f>H20+45</f>
        <v>45604</v>
      </c>
      <c r="J20" s="974">
        <v>45590</v>
      </c>
      <c r="K20" s="977">
        <v>3.8196599999999997E-2</v>
      </c>
      <c r="L20" s="801"/>
      <c r="M20" s="977">
        <v>3.8196599999999997E-2</v>
      </c>
      <c r="N20" s="977">
        <v>4.0106429999999998E-2</v>
      </c>
    </row>
    <row r="21" spans="2:14" ht="42" x14ac:dyDescent="0.3">
      <c r="B21" s="973">
        <v>7</v>
      </c>
      <c r="C21" s="386" t="s">
        <v>1476</v>
      </c>
      <c r="D21" s="386" t="s">
        <v>1487</v>
      </c>
      <c r="E21" s="121" t="s">
        <v>1478</v>
      </c>
      <c r="F21" s="121"/>
      <c r="G21" s="974">
        <v>45559</v>
      </c>
      <c r="H21" s="974">
        <v>45566</v>
      </c>
      <c r="I21" s="974">
        <f>H21+180</f>
        <v>45746</v>
      </c>
      <c r="J21" s="974">
        <v>45726</v>
      </c>
      <c r="K21" s="977">
        <v>0.24376677200000002</v>
      </c>
      <c r="L21" s="801" t="s">
        <v>1480</v>
      </c>
      <c r="M21" s="977">
        <v>0.24376677200000002</v>
      </c>
      <c r="N21" s="977">
        <v>0.18568480000000001</v>
      </c>
    </row>
    <row r="22" spans="2:14" ht="28" x14ac:dyDescent="0.3">
      <c r="B22" s="973">
        <v>8</v>
      </c>
      <c r="C22" s="386" t="s">
        <v>1485</v>
      </c>
      <c r="D22" s="386" t="s">
        <v>1488</v>
      </c>
      <c r="E22" s="121" t="s">
        <v>1478</v>
      </c>
      <c r="F22" s="121"/>
      <c r="G22" s="974">
        <v>45544</v>
      </c>
      <c r="H22" s="974">
        <v>45544</v>
      </c>
      <c r="I22" s="974">
        <f>H22+60</f>
        <v>45604</v>
      </c>
      <c r="J22" s="974">
        <v>45601</v>
      </c>
      <c r="K22" s="977">
        <v>0.368927</v>
      </c>
      <c r="L22" s="801"/>
      <c r="M22" s="977">
        <v>0.368927</v>
      </c>
      <c r="N22" s="977">
        <v>0.23452500000000001</v>
      </c>
    </row>
    <row r="23" spans="2:14" ht="27.75" customHeight="1" x14ac:dyDescent="0.3">
      <c r="B23" s="973">
        <v>9</v>
      </c>
      <c r="C23" s="386" t="s">
        <v>1476</v>
      </c>
      <c r="D23" s="386" t="s">
        <v>1489</v>
      </c>
      <c r="E23" s="121" t="s">
        <v>1478</v>
      </c>
      <c r="F23" s="121"/>
      <c r="G23" s="974">
        <v>45540</v>
      </c>
      <c r="H23" s="974">
        <v>45544</v>
      </c>
      <c r="I23" s="974">
        <f>H23+180</f>
        <v>45724</v>
      </c>
      <c r="J23" s="974">
        <v>46015</v>
      </c>
      <c r="K23" s="977">
        <v>3.5177215999999997E-2</v>
      </c>
      <c r="L23" s="801"/>
      <c r="M23" s="977">
        <v>3.5177215999999997E-2</v>
      </c>
      <c r="N23" s="977">
        <v>2.1926288000000002E-2</v>
      </c>
    </row>
    <row r="24" spans="2:14" ht="27.75" customHeight="1" x14ac:dyDescent="0.3">
      <c r="B24" s="973">
        <v>10</v>
      </c>
      <c r="C24" s="386" t="s">
        <v>1481</v>
      </c>
      <c r="D24" s="386" t="s">
        <v>1490</v>
      </c>
      <c r="E24" s="121" t="s">
        <v>1478</v>
      </c>
      <c r="F24" s="121"/>
      <c r="G24" s="974">
        <v>45528</v>
      </c>
      <c r="H24" s="974">
        <v>45534</v>
      </c>
      <c r="I24" s="974">
        <f>H24+45</f>
        <v>45579</v>
      </c>
      <c r="J24" s="974">
        <v>45562</v>
      </c>
      <c r="K24" s="977">
        <v>3.8822000000000002E-2</v>
      </c>
      <c r="L24" s="801"/>
      <c r="M24" s="977">
        <v>3.8822000000000002E-2</v>
      </c>
      <c r="N24" s="977">
        <v>3.8822000000000002E-2</v>
      </c>
    </row>
    <row r="25" spans="2:14" ht="28" x14ac:dyDescent="0.3">
      <c r="B25" s="973">
        <v>11</v>
      </c>
      <c r="C25" s="386" t="s">
        <v>1476</v>
      </c>
      <c r="D25" s="386" t="s">
        <v>1491</v>
      </c>
      <c r="E25" s="121" t="s">
        <v>1483</v>
      </c>
      <c r="F25" s="121"/>
      <c r="G25" s="974">
        <v>45502</v>
      </c>
      <c r="H25" s="974">
        <v>45505</v>
      </c>
      <c r="I25" s="974">
        <f>H25+90</f>
        <v>45595</v>
      </c>
      <c r="J25" s="974">
        <v>45688</v>
      </c>
      <c r="K25" s="977">
        <v>1.2659039999999999</v>
      </c>
      <c r="L25" s="801"/>
      <c r="M25" s="977">
        <v>1.2659039999999999</v>
      </c>
      <c r="N25" s="977">
        <v>1.2362950860000002</v>
      </c>
    </row>
    <row r="26" spans="2:14" ht="28" x14ac:dyDescent="0.3">
      <c r="B26" s="973">
        <v>12</v>
      </c>
      <c r="C26" s="386" t="s">
        <v>1476</v>
      </c>
      <c r="D26" s="386" t="s">
        <v>1492</v>
      </c>
      <c r="E26" s="121" t="s">
        <v>1478</v>
      </c>
      <c r="F26" s="121"/>
      <c r="G26" s="974">
        <v>45485</v>
      </c>
      <c r="H26" s="974">
        <v>45505</v>
      </c>
      <c r="I26" s="974">
        <f>H26+180</f>
        <v>45685</v>
      </c>
      <c r="J26" s="974">
        <v>45596</v>
      </c>
      <c r="K26" s="977">
        <v>3.5010600000000003E-2</v>
      </c>
      <c r="L26" s="801"/>
      <c r="M26" s="977">
        <v>3.5010600000000003E-2</v>
      </c>
      <c r="N26" s="977">
        <v>2.3527124E-2</v>
      </c>
    </row>
    <row r="27" spans="2:14" ht="28" x14ac:dyDescent="0.3">
      <c r="B27" s="973">
        <v>13</v>
      </c>
      <c r="C27" s="386" t="s">
        <v>1476</v>
      </c>
      <c r="D27" s="386" t="s">
        <v>1493</v>
      </c>
      <c r="E27" s="121" t="s">
        <v>1478</v>
      </c>
      <c r="F27" s="121"/>
      <c r="G27" s="974">
        <v>45485</v>
      </c>
      <c r="H27" s="974">
        <v>45504</v>
      </c>
      <c r="I27" s="974">
        <f>H27+240</f>
        <v>45744</v>
      </c>
      <c r="J27" s="974">
        <v>45743</v>
      </c>
      <c r="K27" s="977">
        <v>6.8279999999999993E-2</v>
      </c>
      <c r="L27" s="801"/>
      <c r="M27" s="977">
        <v>6.8279999999999993E-2</v>
      </c>
      <c r="N27" s="977">
        <v>5.5264128000000003E-2</v>
      </c>
    </row>
    <row r="28" spans="2:14" ht="28" x14ac:dyDescent="0.3">
      <c r="B28" s="973">
        <v>14</v>
      </c>
      <c r="C28" s="386" t="s">
        <v>1476</v>
      </c>
      <c r="D28" s="386" t="s">
        <v>1494</v>
      </c>
      <c r="E28" s="121" t="s">
        <v>1478</v>
      </c>
      <c r="F28" s="121"/>
      <c r="G28" s="974">
        <v>45485</v>
      </c>
      <c r="H28" s="974">
        <v>45492</v>
      </c>
      <c r="I28" s="974">
        <f>H28+365</f>
        <v>45857</v>
      </c>
      <c r="J28" s="974">
        <v>45690</v>
      </c>
      <c r="K28" s="977">
        <v>2.3500502E-2</v>
      </c>
      <c r="L28" s="801"/>
      <c r="M28" s="977">
        <v>2.3500502E-2</v>
      </c>
      <c r="N28" s="977">
        <v>6.7383119999999998E-3</v>
      </c>
    </row>
    <row r="29" spans="2:14" ht="29.5" customHeight="1" x14ac:dyDescent="0.3">
      <c r="B29" s="973">
        <v>15</v>
      </c>
      <c r="C29" s="386" t="s">
        <v>1476</v>
      </c>
      <c r="D29" s="386" t="s">
        <v>1495</v>
      </c>
      <c r="E29" s="121" t="s">
        <v>1478</v>
      </c>
      <c r="F29" s="121"/>
      <c r="G29" s="974">
        <v>45478</v>
      </c>
      <c r="H29" s="974">
        <v>45478</v>
      </c>
      <c r="I29" s="974">
        <v>45472</v>
      </c>
      <c r="J29" s="974">
        <v>45460</v>
      </c>
      <c r="K29" s="977">
        <v>1.2249989999999999E-2</v>
      </c>
      <c r="L29" s="801"/>
      <c r="M29" s="977">
        <v>1.2249989999999999E-2</v>
      </c>
      <c r="N29" s="977">
        <v>1.2249989999999999E-2</v>
      </c>
    </row>
    <row r="30" spans="2:14" ht="28" x14ac:dyDescent="0.3">
      <c r="B30" s="973">
        <v>16</v>
      </c>
      <c r="C30" s="386" t="s">
        <v>1476</v>
      </c>
      <c r="D30" s="386" t="s">
        <v>1496</v>
      </c>
      <c r="E30" s="121" t="s">
        <v>1478</v>
      </c>
      <c r="F30" s="121"/>
      <c r="G30" s="974">
        <v>45478</v>
      </c>
      <c r="H30" s="974">
        <v>45478</v>
      </c>
      <c r="I30" s="974"/>
      <c r="J30" s="974"/>
      <c r="K30" s="977">
        <v>1.7559933999999999E-2</v>
      </c>
      <c r="L30" s="801"/>
      <c r="M30" s="977">
        <v>1.7559933999999999E-2</v>
      </c>
      <c r="N30" s="977">
        <v>8.2424179999999996E-3</v>
      </c>
    </row>
    <row r="31" spans="2:14" ht="28" x14ac:dyDescent="0.3">
      <c r="B31" s="973">
        <v>17</v>
      </c>
      <c r="C31" s="386" t="s">
        <v>1485</v>
      </c>
      <c r="D31" s="386" t="s">
        <v>1497</v>
      </c>
      <c r="E31" s="121" t="s">
        <v>1483</v>
      </c>
      <c r="F31" s="121"/>
      <c r="G31" s="974">
        <v>45475</v>
      </c>
      <c r="H31" s="974">
        <v>45475</v>
      </c>
      <c r="I31" s="974"/>
      <c r="J31" s="974"/>
      <c r="K31" s="977">
        <v>3.3099000000000003E-2</v>
      </c>
      <c r="L31" s="801"/>
      <c r="M31" s="977">
        <v>3.3099000000000003E-2</v>
      </c>
      <c r="N31" s="977">
        <v>3.3099000000000003E-2</v>
      </c>
    </row>
    <row r="32" spans="2:14" ht="28" x14ac:dyDescent="0.3">
      <c r="B32" s="973">
        <v>18</v>
      </c>
      <c r="C32" s="386" t="s">
        <v>1476</v>
      </c>
      <c r="D32" s="386" t="s">
        <v>1498</v>
      </c>
      <c r="E32" s="121" t="s">
        <v>1478</v>
      </c>
      <c r="F32" s="121"/>
      <c r="G32" s="974">
        <v>45467</v>
      </c>
      <c r="H32" s="974">
        <v>45467</v>
      </c>
      <c r="I32" s="974">
        <f>H32+30</f>
        <v>45497</v>
      </c>
      <c r="J32" s="974">
        <v>45651</v>
      </c>
      <c r="K32" s="977">
        <v>2.4337500000000001E-2</v>
      </c>
      <c r="L32" s="801"/>
      <c r="M32" s="977">
        <v>2.4337500000000001E-2</v>
      </c>
      <c r="N32" s="977">
        <v>2.3099999999999999E-2</v>
      </c>
    </row>
    <row r="33" spans="2:14" ht="28" x14ac:dyDescent="0.3">
      <c r="B33" s="973">
        <v>19</v>
      </c>
      <c r="C33" s="386" t="s">
        <v>1485</v>
      </c>
      <c r="D33" s="386" t="s">
        <v>1499</v>
      </c>
      <c r="E33" s="121" t="s">
        <v>1478</v>
      </c>
      <c r="F33" s="121"/>
      <c r="G33" s="974">
        <v>45453</v>
      </c>
      <c r="H33" s="974">
        <v>45453</v>
      </c>
      <c r="I33" s="974">
        <f>H33+60</f>
        <v>45513</v>
      </c>
      <c r="J33" s="974">
        <v>45614</v>
      </c>
      <c r="K33" s="977">
        <v>6.5379079999999992E-2</v>
      </c>
      <c r="L33" s="801"/>
      <c r="M33" s="977">
        <v>6.5379079999999992E-2</v>
      </c>
      <c r="N33" s="977">
        <v>6.5379079999999992E-2</v>
      </c>
    </row>
    <row r="34" spans="2:14" ht="42" x14ac:dyDescent="0.3">
      <c r="B34" s="973">
        <v>20</v>
      </c>
      <c r="C34" s="386" t="s">
        <v>1476</v>
      </c>
      <c r="D34" s="386" t="s">
        <v>1500</v>
      </c>
      <c r="E34" s="121" t="s">
        <v>1483</v>
      </c>
      <c r="F34" s="121"/>
      <c r="G34" s="974">
        <v>45409</v>
      </c>
      <c r="H34" s="974">
        <v>45409</v>
      </c>
      <c r="I34" s="974"/>
      <c r="J34" s="974"/>
      <c r="K34" s="977">
        <v>3.3099000000000003E-2</v>
      </c>
      <c r="L34" s="801"/>
      <c r="M34" s="977">
        <v>3.3099000000000003E-2</v>
      </c>
      <c r="N34" s="977">
        <v>3.3099000000000003E-2</v>
      </c>
    </row>
    <row r="35" spans="2:14" ht="28" x14ac:dyDescent="0.3">
      <c r="B35" s="973">
        <v>21</v>
      </c>
      <c r="C35" s="386" t="s">
        <v>1476</v>
      </c>
      <c r="D35" s="386" t="s">
        <v>1501</v>
      </c>
      <c r="E35" s="121" t="s">
        <v>1478</v>
      </c>
      <c r="F35" s="121"/>
      <c r="G35" s="974">
        <v>45442</v>
      </c>
      <c r="H35" s="974">
        <v>45442</v>
      </c>
      <c r="I35" s="974"/>
      <c r="J35" s="974">
        <v>45492</v>
      </c>
      <c r="K35" s="977">
        <v>8.3798399999999995E-3</v>
      </c>
      <c r="L35" s="801"/>
      <c r="M35" s="977">
        <v>8.3798399999999995E-3</v>
      </c>
      <c r="N35" s="977">
        <v>8.3798879999999985E-3</v>
      </c>
    </row>
    <row r="36" spans="2:14" ht="28" x14ac:dyDescent="0.3">
      <c r="B36" s="973">
        <v>22</v>
      </c>
      <c r="C36" s="386" t="s">
        <v>1476</v>
      </c>
      <c r="D36" s="386" t="s">
        <v>1502</v>
      </c>
      <c r="E36" s="121" t="s">
        <v>1478</v>
      </c>
      <c r="F36" s="121"/>
      <c r="G36" s="974">
        <v>45433</v>
      </c>
      <c r="H36" s="974">
        <v>45439</v>
      </c>
      <c r="I36" s="974">
        <f>H36+180</f>
        <v>45619</v>
      </c>
      <c r="J36" s="974">
        <v>45535</v>
      </c>
      <c r="K36" s="977">
        <v>3.5348105999999997E-2</v>
      </c>
      <c r="L36" s="801"/>
      <c r="M36" s="977">
        <v>3.5348105999999997E-2</v>
      </c>
      <c r="N36" s="977">
        <v>3.5348103999999998E-2</v>
      </c>
    </row>
    <row r="37" spans="2:14" ht="28" x14ac:dyDescent="0.3">
      <c r="B37" s="973">
        <v>23</v>
      </c>
      <c r="C37" s="386" t="s">
        <v>1476</v>
      </c>
      <c r="D37" s="386" t="s">
        <v>1503</v>
      </c>
      <c r="E37" s="121" t="s">
        <v>1478</v>
      </c>
      <c r="F37" s="121"/>
      <c r="G37" s="974">
        <v>45423</v>
      </c>
      <c r="H37" s="974">
        <v>45423</v>
      </c>
      <c r="I37" s="974"/>
      <c r="J37" s="974">
        <v>45426</v>
      </c>
      <c r="K37" s="977">
        <v>9.6219492000000004E-2</v>
      </c>
      <c r="L37" s="801"/>
      <c r="M37" s="977">
        <v>9.6219492000000004E-2</v>
      </c>
      <c r="N37" s="977">
        <v>9.6219492000000004E-2</v>
      </c>
    </row>
    <row r="38" spans="2:14" ht="28" x14ac:dyDescent="0.3">
      <c r="B38" s="973">
        <v>24</v>
      </c>
      <c r="C38" s="386" t="s">
        <v>1476</v>
      </c>
      <c r="D38" s="386" t="s">
        <v>1504</v>
      </c>
      <c r="E38" s="121" t="s">
        <v>1478</v>
      </c>
      <c r="F38" s="121"/>
      <c r="G38" s="974">
        <v>45416</v>
      </c>
      <c r="H38" s="974">
        <v>45414</v>
      </c>
      <c r="I38" s="974">
        <f>H38+240</f>
        <v>45654</v>
      </c>
      <c r="J38" s="974">
        <v>45653</v>
      </c>
      <c r="K38" s="977">
        <v>5.9400000000000001E-2</v>
      </c>
      <c r="L38" s="801"/>
      <c r="M38" s="977">
        <v>5.9400000000000001E-2</v>
      </c>
      <c r="N38" s="977">
        <v>6.2370004000000007E-2</v>
      </c>
    </row>
    <row r="39" spans="2:14" ht="42" x14ac:dyDescent="0.3">
      <c r="B39" s="973">
        <v>25</v>
      </c>
      <c r="C39" s="386" t="s">
        <v>1476</v>
      </c>
      <c r="D39" s="386" t="s">
        <v>1505</v>
      </c>
      <c r="E39" s="121" t="s">
        <v>1478</v>
      </c>
      <c r="F39" s="121"/>
      <c r="G39" s="974">
        <v>45411</v>
      </c>
      <c r="H39" s="974">
        <v>45383</v>
      </c>
      <c r="I39" s="974">
        <f>H39+180</f>
        <v>45563</v>
      </c>
      <c r="J39" s="974">
        <v>45565</v>
      </c>
      <c r="K39" s="977">
        <v>0.36480644000000001</v>
      </c>
      <c r="L39" s="801" t="s">
        <v>1480</v>
      </c>
      <c r="M39" s="977">
        <v>0.36480644000000001</v>
      </c>
      <c r="N39" s="977">
        <v>0.36224772799999994</v>
      </c>
    </row>
    <row r="40" spans="2:14" ht="28" x14ac:dyDescent="0.3">
      <c r="B40" s="973">
        <v>26</v>
      </c>
      <c r="C40" s="386" t="s">
        <v>1476</v>
      </c>
      <c r="D40" s="386" t="s">
        <v>1506</v>
      </c>
      <c r="E40" s="121" t="s">
        <v>1483</v>
      </c>
      <c r="F40" s="121"/>
      <c r="G40" s="974">
        <v>45411</v>
      </c>
      <c r="H40" s="974">
        <v>45383</v>
      </c>
      <c r="I40" s="974"/>
      <c r="J40" s="974">
        <v>45411</v>
      </c>
      <c r="K40" s="977">
        <v>3.161692E-2</v>
      </c>
      <c r="L40" s="801"/>
      <c r="M40" s="977">
        <v>3.161692E-2</v>
      </c>
      <c r="N40" s="977">
        <v>3.161692E-2</v>
      </c>
    </row>
    <row r="41" spans="2:14" ht="28" x14ac:dyDescent="0.3">
      <c r="B41" s="973">
        <v>27</v>
      </c>
      <c r="C41" s="386" t="s">
        <v>1476</v>
      </c>
      <c r="D41" s="386" t="s">
        <v>1507</v>
      </c>
      <c r="E41" s="121" t="s">
        <v>1478</v>
      </c>
      <c r="F41" s="121"/>
      <c r="G41" s="974">
        <v>45411</v>
      </c>
      <c r="H41" s="974">
        <v>45427</v>
      </c>
      <c r="I41" s="974">
        <f>H41+180</f>
        <v>45607</v>
      </c>
      <c r="J41" s="974">
        <v>45635</v>
      </c>
      <c r="K41" s="977">
        <v>2.8601999999999999E-2</v>
      </c>
      <c r="L41" s="801"/>
      <c r="M41" s="977">
        <v>2.8601999999999999E-2</v>
      </c>
      <c r="N41" s="977">
        <v>3.0032099999999999E-2</v>
      </c>
    </row>
    <row r="42" spans="2:14" ht="28" x14ac:dyDescent="0.3">
      <c r="B42" s="973">
        <v>28</v>
      </c>
      <c r="C42" s="386" t="s">
        <v>1476</v>
      </c>
      <c r="D42" s="386" t="s">
        <v>1508</v>
      </c>
      <c r="E42" s="121" t="s">
        <v>1478</v>
      </c>
      <c r="F42" s="121"/>
      <c r="G42" s="974">
        <v>45411</v>
      </c>
      <c r="H42" s="974">
        <v>45422</v>
      </c>
      <c r="I42" s="974">
        <f>H42+365</f>
        <v>45787</v>
      </c>
      <c r="J42" s="974">
        <v>45808</v>
      </c>
      <c r="K42" s="977">
        <v>0.16789947799999999</v>
      </c>
      <c r="L42" s="801"/>
      <c r="M42" s="977">
        <v>0.16789947799999999</v>
      </c>
      <c r="N42" s="977">
        <v>7.9792175000000035E-2</v>
      </c>
    </row>
    <row r="43" spans="2:14" ht="28" x14ac:dyDescent="0.3">
      <c r="B43" s="973">
        <v>29</v>
      </c>
      <c r="C43" s="386" t="s">
        <v>1476</v>
      </c>
      <c r="D43" s="386" t="s">
        <v>1509</v>
      </c>
      <c r="E43" s="121" t="s">
        <v>1478</v>
      </c>
      <c r="F43" s="121"/>
      <c r="G43" s="974">
        <v>45405</v>
      </c>
      <c r="H43" s="974">
        <v>45405</v>
      </c>
      <c r="I43" s="974"/>
      <c r="J43" s="974">
        <v>45426</v>
      </c>
      <c r="K43" s="977">
        <v>1.61333E-2</v>
      </c>
      <c r="L43" s="801"/>
      <c r="M43" s="977">
        <v>1.61333E-2</v>
      </c>
      <c r="N43" s="977">
        <v>1.6133300999999999E-2</v>
      </c>
    </row>
    <row r="44" spans="2:14" ht="28" x14ac:dyDescent="0.3">
      <c r="B44" s="973">
        <v>30</v>
      </c>
      <c r="C44" s="386" t="s">
        <v>1476</v>
      </c>
      <c r="D44" s="386" t="s">
        <v>1510</v>
      </c>
      <c r="E44" s="121" t="s">
        <v>1483</v>
      </c>
      <c r="F44" s="121"/>
      <c r="G44" s="974">
        <v>45392</v>
      </c>
      <c r="H44" s="974">
        <v>43926</v>
      </c>
      <c r="I44" s="974"/>
      <c r="J44" s="974">
        <v>43926</v>
      </c>
      <c r="K44" s="977">
        <v>3.5400000000000001E-2</v>
      </c>
      <c r="L44" s="801"/>
      <c r="M44" s="977">
        <v>3.5400000000000001E-2</v>
      </c>
      <c r="N44" s="977">
        <v>3.5400000000000002E-3</v>
      </c>
    </row>
    <row r="45" spans="2:14" ht="28" x14ac:dyDescent="0.3">
      <c r="B45" s="973">
        <v>31</v>
      </c>
      <c r="C45" s="386" t="s">
        <v>1485</v>
      </c>
      <c r="D45" s="386" t="s">
        <v>1511</v>
      </c>
      <c r="E45" s="121" t="s">
        <v>1478</v>
      </c>
      <c r="F45" s="121"/>
      <c r="G45" s="974">
        <v>45384</v>
      </c>
      <c r="H45" s="974">
        <v>45384</v>
      </c>
      <c r="I45" s="974"/>
      <c r="J45" s="974">
        <v>45399</v>
      </c>
      <c r="K45" s="977">
        <v>7.8469999999999998E-2</v>
      </c>
      <c r="L45" s="801"/>
      <c r="M45" s="977">
        <v>7.8469999999999998E-2</v>
      </c>
      <c r="N45" s="977">
        <v>7.8469999999999998E-2</v>
      </c>
    </row>
    <row r="46" spans="2:14" ht="28" x14ac:dyDescent="0.3">
      <c r="B46" s="973">
        <v>32</v>
      </c>
      <c r="C46" s="386" t="s">
        <v>1476</v>
      </c>
      <c r="D46" s="386" t="s">
        <v>1512</v>
      </c>
      <c r="E46" s="121" t="s">
        <v>1478</v>
      </c>
      <c r="F46" s="121"/>
      <c r="G46" s="974">
        <v>45384</v>
      </c>
      <c r="H46" s="974">
        <v>45386</v>
      </c>
      <c r="I46" s="974">
        <f>H46+120</f>
        <v>45506</v>
      </c>
      <c r="J46" s="974">
        <v>45507</v>
      </c>
      <c r="K46" s="977">
        <v>2.9735999999999999E-2</v>
      </c>
      <c r="L46" s="801"/>
      <c r="M46" s="977">
        <v>2.9735999999999999E-2</v>
      </c>
      <c r="N46" s="977">
        <v>2.9735999999999999E-2</v>
      </c>
    </row>
    <row r="47" spans="2:14" ht="28" x14ac:dyDescent="0.3">
      <c r="B47" s="973">
        <v>33</v>
      </c>
      <c r="C47" s="386" t="s">
        <v>1476</v>
      </c>
      <c r="D47" s="386" t="s">
        <v>1513</v>
      </c>
      <c r="E47" s="121" t="s">
        <v>1478</v>
      </c>
      <c r="F47" s="121"/>
      <c r="G47" s="974">
        <v>45384</v>
      </c>
      <c r="H47" s="974">
        <v>45384</v>
      </c>
      <c r="I47" s="974">
        <f>H47+180</f>
        <v>45564</v>
      </c>
      <c r="J47" s="974">
        <v>45593</v>
      </c>
      <c r="K47" s="977">
        <v>4.2331319999999999E-2</v>
      </c>
      <c r="L47" s="801"/>
      <c r="M47" s="977">
        <v>4.2331319999999999E-2</v>
      </c>
      <c r="N47" s="977">
        <v>4.2331319999999999E-2</v>
      </c>
    </row>
    <row r="48" spans="2:14" ht="28" x14ac:dyDescent="0.3">
      <c r="B48" s="973">
        <v>34</v>
      </c>
      <c r="C48" s="386" t="s">
        <v>1476</v>
      </c>
      <c r="D48" s="386" t="s">
        <v>1514</v>
      </c>
      <c r="E48" s="121" t="s">
        <v>1483</v>
      </c>
      <c r="F48" s="121"/>
      <c r="G48" s="974">
        <v>45373</v>
      </c>
      <c r="H48" s="974">
        <v>45383</v>
      </c>
      <c r="I48" s="974">
        <f>H48+90</f>
        <v>45473</v>
      </c>
      <c r="J48" s="974">
        <v>45504</v>
      </c>
      <c r="K48" s="977">
        <v>0.84393600000000002</v>
      </c>
      <c r="L48" s="801"/>
      <c r="M48" s="977">
        <v>0.84393600000000002</v>
      </c>
      <c r="N48" s="977">
        <v>0.8098947700000001</v>
      </c>
    </row>
    <row r="49" spans="2:14" ht="28" x14ac:dyDescent="0.3">
      <c r="B49" s="973">
        <v>35</v>
      </c>
      <c r="C49" s="386" t="s">
        <v>1485</v>
      </c>
      <c r="D49" s="386" t="s">
        <v>1515</v>
      </c>
      <c r="E49" s="121" t="s">
        <v>1483</v>
      </c>
      <c r="F49" s="121"/>
      <c r="G49" s="974">
        <v>45314</v>
      </c>
      <c r="H49" s="974">
        <v>45314</v>
      </c>
      <c r="I49" s="974"/>
      <c r="J49" s="974">
        <v>45399</v>
      </c>
      <c r="K49" s="977">
        <v>0.16384836999999999</v>
      </c>
      <c r="L49" s="801"/>
      <c r="M49" s="977">
        <v>0.16384836999999999</v>
      </c>
      <c r="N49" s="977">
        <v>0.16579436</v>
      </c>
    </row>
    <row r="50" spans="2:14" ht="28" x14ac:dyDescent="0.3">
      <c r="B50" s="973">
        <v>36</v>
      </c>
      <c r="C50" s="386" t="s">
        <v>1485</v>
      </c>
      <c r="D50" s="386" t="s">
        <v>1516</v>
      </c>
      <c r="E50" s="121" t="s">
        <v>1478</v>
      </c>
      <c r="F50" s="121"/>
      <c r="G50" s="974">
        <v>45308</v>
      </c>
      <c r="H50" s="974">
        <v>45308</v>
      </c>
      <c r="I50" s="974"/>
      <c r="J50" s="974">
        <v>45378</v>
      </c>
      <c r="K50" s="977">
        <v>0.1863456</v>
      </c>
      <c r="L50" s="801"/>
      <c r="M50" s="977">
        <v>0.1863456</v>
      </c>
      <c r="N50" s="977">
        <v>0.18568008</v>
      </c>
    </row>
    <row r="51" spans="2:14" ht="28" x14ac:dyDescent="0.3">
      <c r="B51" s="973">
        <v>37</v>
      </c>
      <c r="C51" s="386" t="s">
        <v>1485</v>
      </c>
      <c r="D51" s="386" t="s">
        <v>1517</v>
      </c>
      <c r="E51" s="121" t="s">
        <v>1478</v>
      </c>
      <c r="F51" s="121"/>
      <c r="G51" s="974">
        <v>45303</v>
      </c>
      <c r="H51" s="974">
        <v>45303</v>
      </c>
      <c r="I51" s="974">
        <f>H51+365</f>
        <v>45668</v>
      </c>
      <c r="J51" s="974">
        <v>45743</v>
      </c>
      <c r="K51" s="977">
        <v>0.22941548199999998</v>
      </c>
      <c r="L51" s="801"/>
      <c r="M51" s="977">
        <v>0.22941548199999998</v>
      </c>
      <c r="N51" s="977">
        <v>0.18328892799999999</v>
      </c>
    </row>
    <row r="52" spans="2:14" ht="28" x14ac:dyDescent="0.3">
      <c r="B52" s="973">
        <v>38</v>
      </c>
      <c r="C52" s="386" t="s">
        <v>1476</v>
      </c>
      <c r="D52" s="386" t="s">
        <v>1518</v>
      </c>
      <c r="E52" s="121" t="s">
        <v>1478</v>
      </c>
      <c r="F52" s="121"/>
      <c r="G52" s="974">
        <v>45301</v>
      </c>
      <c r="H52" s="974">
        <v>45302</v>
      </c>
      <c r="I52" s="974">
        <f>H52+365</f>
        <v>45667</v>
      </c>
      <c r="J52" s="974">
        <v>45729</v>
      </c>
      <c r="K52" s="977">
        <v>7.0451799999999995E-2</v>
      </c>
      <c r="L52" s="801"/>
      <c r="M52" s="977">
        <v>7.0451799999999995E-2</v>
      </c>
      <c r="N52" s="977">
        <v>6.6923249000000004E-2</v>
      </c>
    </row>
    <row r="53" spans="2:14" ht="42" x14ac:dyDescent="0.3">
      <c r="B53" s="973">
        <v>39</v>
      </c>
      <c r="C53" s="386" t="s">
        <v>1476</v>
      </c>
      <c r="D53" s="386" t="s">
        <v>1519</v>
      </c>
      <c r="E53" s="121" t="s">
        <v>1478</v>
      </c>
      <c r="F53" s="121"/>
      <c r="G53" s="974">
        <v>45299</v>
      </c>
      <c r="H53" s="974">
        <v>45299</v>
      </c>
      <c r="I53" s="974">
        <f>H53+365</f>
        <v>45664</v>
      </c>
      <c r="J53" s="974">
        <v>45565</v>
      </c>
      <c r="K53" s="977">
        <v>0.49081875800000002</v>
      </c>
      <c r="L53" s="801" t="s">
        <v>1480</v>
      </c>
      <c r="M53" s="977">
        <v>0.49081875800000002</v>
      </c>
      <c r="N53" s="977">
        <v>0.47030464100000002</v>
      </c>
    </row>
    <row r="54" spans="2:14" ht="28" x14ac:dyDescent="0.3">
      <c r="B54" s="973">
        <v>40</v>
      </c>
      <c r="C54" s="386" t="s">
        <v>1476</v>
      </c>
      <c r="D54" s="386" t="s">
        <v>1520</v>
      </c>
      <c r="E54" s="121" t="s">
        <v>1478</v>
      </c>
      <c r="F54" s="121"/>
      <c r="G54" s="974">
        <v>45299</v>
      </c>
      <c r="H54" s="974">
        <v>45299</v>
      </c>
      <c r="I54" s="974">
        <f>H54+60</f>
        <v>45359</v>
      </c>
      <c r="J54" s="974">
        <v>45322</v>
      </c>
      <c r="K54" s="977">
        <v>0.15056800000000001</v>
      </c>
      <c r="L54" s="801"/>
      <c r="M54" s="977">
        <v>0.15056800000000001</v>
      </c>
      <c r="N54" s="977">
        <v>0.14277999999999999</v>
      </c>
    </row>
    <row r="55" spans="2:14" ht="28" x14ac:dyDescent="0.3">
      <c r="B55" s="973">
        <v>41</v>
      </c>
      <c r="C55" s="386" t="s">
        <v>1476</v>
      </c>
      <c r="D55" s="386" t="s">
        <v>1521</v>
      </c>
      <c r="E55" s="121" t="s">
        <v>1478</v>
      </c>
      <c r="F55" s="121"/>
      <c r="G55" s="974">
        <v>45294</v>
      </c>
      <c r="H55" s="974">
        <v>45294</v>
      </c>
      <c r="I55" s="974">
        <f>H55+30</f>
        <v>45324</v>
      </c>
      <c r="J55" s="974">
        <v>45324</v>
      </c>
      <c r="K55" s="977">
        <v>1.7464E-2</v>
      </c>
      <c r="L55" s="801"/>
      <c r="M55" s="977">
        <v>1.7464E-2</v>
      </c>
      <c r="N55" s="977">
        <v>7.3999999999999996E-5</v>
      </c>
    </row>
    <row r="56" spans="2:14" ht="28" x14ac:dyDescent="0.3">
      <c r="B56" s="973">
        <v>42</v>
      </c>
      <c r="C56" s="386" t="s">
        <v>1485</v>
      </c>
      <c r="D56" s="386" t="s">
        <v>1522</v>
      </c>
      <c r="E56" s="121" t="s">
        <v>1478</v>
      </c>
      <c r="F56" s="121"/>
      <c r="G56" s="974">
        <v>45282</v>
      </c>
      <c r="H56" s="974">
        <v>45276</v>
      </c>
      <c r="I56" s="974">
        <f>H56+45</f>
        <v>45321</v>
      </c>
      <c r="J56" s="974">
        <v>45316</v>
      </c>
      <c r="K56" s="977">
        <v>0.41767988</v>
      </c>
      <c r="L56" s="801"/>
      <c r="M56" s="977">
        <v>0.41767988</v>
      </c>
      <c r="N56" s="977">
        <v>0.41596793599999998</v>
      </c>
    </row>
    <row r="57" spans="2:14" ht="28" x14ac:dyDescent="0.3">
      <c r="B57" s="973">
        <v>43</v>
      </c>
      <c r="C57" s="386" t="s">
        <v>1476</v>
      </c>
      <c r="D57" s="386" t="s">
        <v>1523</v>
      </c>
      <c r="E57" s="121" t="s">
        <v>1478</v>
      </c>
      <c r="F57" s="121"/>
      <c r="G57" s="974">
        <v>45274</v>
      </c>
      <c r="H57" s="974">
        <v>45275</v>
      </c>
      <c r="I57" s="974">
        <f>H57+365</f>
        <v>45640</v>
      </c>
      <c r="J57" s="974">
        <v>45721</v>
      </c>
      <c r="K57" s="977">
        <v>0.1505572</v>
      </c>
      <c r="L57" s="801"/>
      <c r="M57" s="977">
        <v>0.1505572</v>
      </c>
      <c r="N57" s="977">
        <v>0.14956389600000003</v>
      </c>
    </row>
    <row r="58" spans="2:14" ht="28" x14ac:dyDescent="0.3">
      <c r="B58" s="973">
        <v>44</v>
      </c>
      <c r="C58" s="386" t="s">
        <v>1476</v>
      </c>
      <c r="D58" s="386" t="s">
        <v>1524</v>
      </c>
      <c r="E58" s="121" t="s">
        <v>1478</v>
      </c>
      <c r="F58" s="121"/>
      <c r="G58" s="974">
        <v>45265</v>
      </c>
      <c r="H58" s="974">
        <v>45265</v>
      </c>
      <c r="I58" s="974">
        <f>H58+180</f>
        <v>45445</v>
      </c>
      <c r="J58" s="974">
        <v>45388</v>
      </c>
      <c r="K58" s="977">
        <v>2.9512500000000001E-2</v>
      </c>
      <c r="L58" s="801"/>
      <c r="M58" s="977">
        <v>2.9512500000000001E-2</v>
      </c>
      <c r="N58" s="977">
        <v>3.0988127999999997E-2</v>
      </c>
    </row>
    <row r="59" spans="2:14" ht="28" x14ac:dyDescent="0.3">
      <c r="B59" s="973">
        <v>45</v>
      </c>
      <c r="C59" s="386" t="s">
        <v>1481</v>
      </c>
      <c r="D59" s="386" t="s">
        <v>1525</v>
      </c>
      <c r="E59" s="121" t="s">
        <v>1483</v>
      </c>
      <c r="F59" s="121"/>
      <c r="G59" s="974">
        <v>45262</v>
      </c>
      <c r="H59" s="974">
        <v>45259</v>
      </c>
      <c r="I59" s="974"/>
      <c r="J59" s="974">
        <v>45700</v>
      </c>
      <c r="K59" s="977">
        <v>0.17077000000000001</v>
      </c>
      <c r="L59" s="801"/>
      <c r="M59" s="977">
        <v>0.17077000000000001</v>
      </c>
      <c r="N59" s="977">
        <v>0.15198529999999999</v>
      </c>
    </row>
    <row r="60" spans="2:14" ht="28" x14ac:dyDescent="0.3">
      <c r="B60" s="973">
        <v>46</v>
      </c>
      <c r="C60" s="386" t="s">
        <v>1481</v>
      </c>
      <c r="D60" s="386" t="s">
        <v>1526</v>
      </c>
      <c r="E60" s="121" t="s">
        <v>1483</v>
      </c>
      <c r="F60" s="121"/>
      <c r="G60" s="974">
        <v>45261</v>
      </c>
      <c r="H60" s="974">
        <v>45273</v>
      </c>
      <c r="I60" s="974">
        <f>H60+120</f>
        <v>45393</v>
      </c>
      <c r="J60" s="974">
        <v>45275</v>
      </c>
      <c r="K60" s="977">
        <v>3.2804E-2</v>
      </c>
      <c r="L60" s="801"/>
      <c r="M60" s="977">
        <v>3.2804E-2</v>
      </c>
      <c r="N60" s="977">
        <v>2.0767999999999998E-2</v>
      </c>
    </row>
    <row r="61" spans="2:14" ht="28" x14ac:dyDescent="0.3">
      <c r="B61" s="973">
        <v>47</v>
      </c>
      <c r="C61" s="386" t="s">
        <v>1476</v>
      </c>
      <c r="D61" s="386" t="s">
        <v>1527</v>
      </c>
      <c r="E61" s="121" t="s">
        <v>1483</v>
      </c>
      <c r="F61" s="121"/>
      <c r="G61" s="974">
        <v>45260</v>
      </c>
      <c r="H61" s="974">
        <v>45261</v>
      </c>
      <c r="I61" s="974">
        <f>H61+90</f>
        <v>45351</v>
      </c>
      <c r="J61" s="974">
        <v>45382</v>
      </c>
      <c r="K61" s="977">
        <v>0.84393600000000002</v>
      </c>
      <c r="L61" s="801"/>
      <c r="M61" s="977">
        <v>0.84393600000000002</v>
      </c>
      <c r="N61" s="977">
        <v>0.82959357199999995</v>
      </c>
    </row>
    <row r="62" spans="2:14" ht="28" x14ac:dyDescent="0.3">
      <c r="B62" s="973">
        <v>48</v>
      </c>
      <c r="C62" s="386" t="s">
        <v>1476</v>
      </c>
      <c r="D62" s="386" t="s">
        <v>1528</v>
      </c>
      <c r="E62" s="121" t="s">
        <v>1478</v>
      </c>
      <c r="F62" s="121"/>
      <c r="G62" s="974">
        <v>45260</v>
      </c>
      <c r="H62" s="974">
        <v>45282</v>
      </c>
      <c r="I62" s="974">
        <f>H62+45</f>
        <v>45327</v>
      </c>
      <c r="J62" s="974">
        <v>45327</v>
      </c>
      <c r="K62" s="977">
        <v>0.26550000000000001</v>
      </c>
      <c r="L62" s="801"/>
      <c r="M62" s="977">
        <v>0.26550000000000001</v>
      </c>
      <c r="N62" s="977">
        <v>0.26550000000000001</v>
      </c>
    </row>
    <row r="63" spans="2:14" ht="28" x14ac:dyDescent="0.3">
      <c r="B63" s="973">
        <v>49</v>
      </c>
      <c r="C63" s="386" t="s">
        <v>1481</v>
      </c>
      <c r="D63" s="386" t="s">
        <v>1529</v>
      </c>
      <c r="E63" s="121" t="s">
        <v>1478</v>
      </c>
      <c r="F63" s="121"/>
      <c r="G63" s="974">
        <v>45260</v>
      </c>
      <c r="H63" s="974">
        <v>45634</v>
      </c>
      <c r="I63" s="974"/>
      <c r="J63" s="974">
        <v>45672</v>
      </c>
      <c r="K63" s="977">
        <v>0.60699199999999998</v>
      </c>
      <c r="L63" s="801"/>
      <c r="M63" s="977">
        <v>0.60699199999999998</v>
      </c>
      <c r="N63" s="977">
        <v>0.28474601799999999</v>
      </c>
    </row>
    <row r="64" spans="2:14" ht="28" x14ac:dyDescent="0.3">
      <c r="B64" s="973">
        <v>50</v>
      </c>
      <c r="C64" s="386" t="s">
        <v>1481</v>
      </c>
      <c r="D64" s="386" t="s">
        <v>1530</v>
      </c>
      <c r="E64" s="121" t="s">
        <v>1478</v>
      </c>
      <c r="F64" s="121"/>
      <c r="G64" s="974">
        <v>45260</v>
      </c>
      <c r="H64" s="974">
        <v>45286</v>
      </c>
      <c r="I64" s="974"/>
      <c r="J64" s="974">
        <v>45672</v>
      </c>
      <c r="K64" s="977">
        <v>0.60699199999999998</v>
      </c>
      <c r="L64" s="801"/>
      <c r="M64" s="977">
        <v>0.60699199999999998</v>
      </c>
      <c r="N64" s="977">
        <v>0.38824422199999997</v>
      </c>
    </row>
    <row r="65" spans="2:14" ht="28" x14ac:dyDescent="0.3">
      <c r="B65" s="973">
        <v>51</v>
      </c>
      <c r="C65" s="386" t="s">
        <v>1476</v>
      </c>
      <c r="D65" s="386" t="s">
        <v>1531</v>
      </c>
      <c r="E65" s="121" t="s">
        <v>1478</v>
      </c>
      <c r="F65" s="121"/>
      <c r="G65" s="974">
        <v>45258</v>
      </c>
      <c r="H65" s="974">
        <v>45258</v>
      </c>
      <c r="I65" s="974"/>
      <c r="J65" s="974">
        <v>45267</v>
      </c>
      <c r="K65" s="977">
        <v>1.2149988E-2</v>
      </c>
      <c r="L65" s="801"/>
      <c r="M65" s="977">
        <v>1.2149988E-2</v>
      </c>
      <c r="N65" s="977">
        <v>1.2149988E-2</v>
      </c>
    </row>
    <row r="66" spans="2:14" ht="28" x14ac:dyDescent="0.3">
      <c r="B66" s="973">
        <v>52</v>
      </c>
      <c r="C66" s="386" t="s">
        <v>1485</v>
      </c>
      <c r="D66" s="386" t="s">
        <v>1532</v>
      </c>
      <c r="E66" s="121" t="s">
        <v>1478</v>
      </c>
      <c r="F66" s="121"/>
      <c r="G66" s="974">
        <v>45254</v>
      </c>
      <c r="H66" s="974">
        <v>45254</v>
      </c>
      <c r="I66" s="974">
        <f>H66+90</f>
        <v>45344</v>
      </c>
      <c r="J66" s="974">
        <v>45329</v>
      </c>
      <c r="K66" s="977">
        <v>2.0745617760000004</v>
      </c>
      <c r="L66" s="801"/>
      <c r="M66" s="977">
        <v>2.0745617760000004</v>
      </c>
      <c r="N66" s="977">
        <v>2.0745617760000004</v>
      </c>
    </row>
    <row r="67" spans="2:14" ht="28" x14ac:dyDescent="0.3">
      <c r="B67" s="973">
        <v>53</v>
      </c>
      <c r="C67" s="386" t="s">
        <v>1476</v>
      </c>
      <c r="D67" s="386" t="s">
        <v>1533</v>
      </c>
      <c r="E67" s="121" t="s">
        <v>1478</v>
      </c>
      <c r="F67" s="121"/>
      <c r="G67" s="974">
        <v>45236</v>
      </c>
      <c r="H67" s="974">
        <v>45206</v>
      </c>
      <c r="I67" s="974">
        <f>H67+365</f>
        <v>45571</v>
      </c>
      <c r="J67" s="974">
        <v>45409</v>
      </c>
      <c r="K67" s="977">
        <v>2.3972500000000001E-2</v>
      </c>
      <c r="L67" s="801"/>
      <c r="M67" s="977">
        <v>2.3972500000000001E-2</v>
      </c>
      <c r="N67" s="977">
        <v>2.4754382000000002E-2</v>
      </c>
    </row>
    <row r="68" spans="2:14" ht="28" x14ac:dyDescent="0.3">
      <c r="B68" s="973">
        <v>54</v>
      </c>
      <c r="C68" s="386" t="s">
        <v>1476</v>
      </c>
      <c r="D68" s="386" t="s">
        <v>1534</v>
      </c>
      <c r="E68" s="121" t="s">
        <v>1478</v>
      </c>
      <c r="F68" s="121"/>
      <c r="G68" s="974">
        <v>45236</v>
      </c>
      <c r="H68" s="974">
        <v>45236</v>
      </c>
      <c r="I68" s="974">
        <f>H68+365</f>
        <v>45601</v>
      </c>
      <c r="J68" s="974">
        <v>45367</v>
      </c>
      <c r="K68" s="977">
        <v>2.3972500000000001E-2</v>
      </c>
      <c r="L68" s="801"/>
      <c r="M68" s="977">
        <v>2.3972500000000001E-2</v>
      </c>
      <c r="N68" s="977">
        <v>2.4674999999999999E-2</v>
      </c>
    </row>
    <row r="69" spans="2:14" ht="28" x14ac:dyDescent="0.3">
      <c r="B69" s="973">
        <v>55</v>
      </c>
      <c r="C69" s="386" t="s">
        <v>1476</v>
      </c>
      <c r="D69" s="386" t="s">
        <v>1535</v>
      </c>
      <c r="E69" s="121" t="s">
        <v>1478</v>
      </c>
      <c r="F69" s="121"/>
      <c r="G69" s="974">
        <v>45233</v>
      </c>
      <c r="H69" s="974">
        <v>45233</v>
      </c>
      <c r="I69" s="974">
        <f>H69+365</f>
        <v>45598</v>
      </c>
      <c r="J69" s="974">
        <v>45408</v>
      </c>
      <c r="K69" s="977">
        <v>2.7026720000000001E-2</v>
      </c>
      <c r="L69" s="801"/>
      <c r="M69" s="977">
        <v>2.7026720000000001E-2</v>
      </c>
      <c r="N69" s="977">
        <v>2.5452010000000004E-2</v>
      </c>
    </row>
    <row r="70" spans="2:14" ht="28" x14ac:dyDescent="0.3">
      <c r="B70" s="973">
        <v>56</v>
      </c>
      <c r="C70" s="386" t="s">
        <v>1485</v>
      </c>
      <c r="D70" s="386" t="s">
        <v>1536</v>
      </c>
      <c r="E70" s="121" t="s">
        <v>1478</v>
      </c>
      <c r="F70" s="121"/>
      <c r="G70" s="974">
        <v>45050</v>
      </c>
      <c r="H70" s="974">
        <v>45050</v>
      </c>
      <c r="I70" s="974"/>
      <c r="J70" s="974">
        <v>45058</v>
      </c>
      <c r="K70" s="977">
        <v>1.9470000000000001E-2</v>
      </c>
      <c r="L70" s="801"/>
      <c r="M70" s="977">
        <v>1.9470000000000001E-2</v>
      </c>
      <c r="N70" s="977">
        <v>1.9470000000000001E-2</v>
      </c>
    </row>
    <row r="71" spans="2:14" ht="28" x14ac:dyDescent="0.3">
      <c r="B71" s="973">
        <v>57</v>
      </c>
      <c r="C71" s="386" t="s">
        <v>1476</v>
      </c>
      <c r="D71" s="386" t="s">
        <v>1537</v>
      </c>
      <c r="E71" s="121" t="s">
        <v>1483</v>
      </c>
      <c r="F71" s="121"/>
      <c r="G71" s="974">
        <v>44958</v>
      </c>
      <c r="H71" s="974">
        <v>44880</v>
      </c>
      <c r="I71" s="974"/>
      <c r="J71" s="974">
        <v>44988</v>
      </c>
      <c r="K71" s="977">
        <v>3.5990000000000001E-2</v>
      </c>
      <c r="L71" s="801"/>
      <c r="M71" s="977">
        <v>3.5990000000000001E-2</v>
      </c>
      <c r="N71" s="977">
        <v>2.7376000000000001E-2</v>
      </c>
    </row>
    <row r="72" spans="2:14" ht="28" x14ac:dyDescent="0.3">
      <c r="B72" s="973">
        <v>58</v>
      </c>
      <c r="C72" s="386" t="s">
        <v>1476</v>
      </c>
      <c r="D72" s="386" t="s">
        <v>1538</v>
      </c>
      <c r="E72" s="121" t="s">
        <v>1478</v>
      </c>
      <c r="F72" s="121"/>
      <c r="G72" s="974">
        <v>45233</v>
      </c>
      <c r="H72" s="974">
        <v>45234</v>
      </c>
      <c r="I72" s="974">
        <f>H72+180</f>
        <v>45414</v>
      </c>
      <c r="J72" s="974">
        <v>45426</v>
      </c>
      <c r="K72" s="977">
        <v>2.8601999999999999E-2</v>
      </c>
      <c r="L72" s="801"/>
      <c r="M72" s="977">
        <v>2.8601999999999999E-2</v>
      </c>
      <c r="N72" s="977">
        <v>3.0032102000000001E-2</v>
      </c>
    </row>
    <row r="73" spans="2:14" ht="28" x14ac:dyDescent="0.3">
      <c r="B73" s="973">
        <v>59</v>
      </c>
      <c r="C73" s="386" t="s">
        <v>1485</v>
      </c>
      <c r="D73" s="386" t="s">
        <v>1539</v>
      </c>
      <c r="E73" s="121" t="s">
        <v>1483</v>
      </c>
      <c r="F73" s="121"/>
      <c r="G73" s="974">
        <v>45173</v>
      </c>
      <c r="H73" s="974">
        <v>45230</v>
      </c>
      <c r="I73" s="974"/>
      <c r="J73" s="974">
        <v>45232</v>
      </c>
      <c r="K73" s="977">
        <v>3.2686E-2</v>
      </c>
      <c r="L73" s="801"/>
      <c r="M73" s="977">
        <v>3.2686E-2</v>
      </c>
      <c r="N73" s="977">
        <v>3.2686E-2</v>
      </c>
    </row>
    <row r="74" spans="2:14" ht="28" x14ac:dyDescent="0.3">
      <c r="B74" s="973">
        <v>60</v>
      </c>
      <c r="C74" s="386" t="s">
        <v>1485</v>
      </c>
      <c r="D74" s="386" t="s">
        <v>1540</v>
      </c>
      <c r="E74" s="121" t="s">
        <v>1478</v>
      </c>
      <c r="F74" s="121"/>
      <c r="G74" s="974">
        <v>45166</v>
      </c>
      <c r="H74" s="974">
        <v>45349</v>
      </c>
      <c r="I74" s="974">
        <f>H74+45</f>
        <v>45394</v>
      </c>
      <c r="J74" s="974">
        <v>45388</v>
      </c>
      <c r="K74" s="977">
        <v>0.27210800000000002</v>
      </c>
      <c r="L74" s="801"/>
      <c r="M74" s="977">
        <v>0.27210800000000002</v>
      </c>
      <c r="N74" s="977">
        <v>0.27186492000000001</v>
      </c>
    </row>
    <row r="75" spans="2:14" ht="28" x14ac:dyDescent="0.3">
      <c r="B75" s="973">
        <v>61</v>
      </c>
      <c r="C75" s="386" t="s">
        <v>1481</v>
      </c>
      <c r="D75" s="386" t="s">
        <v>1541</v>
      </c>
      <c r="E75" s="121" t="s">
        <v>1483</v>
      </c>
      <c r="F75" s="121"/>
      <c r="G75" s="974">
        <v>45161</v>
      </c>
      <c r="H75" s="974">
        <v>45156</v>
      </c>
      <c r="I75" s="974"/>
      <c r="J75" s="974">
        <v>45183</v>
      </c>
      <c r="K75" s="977">
        <v>0.205065</v>
      </c>
      <c r="L75" s="801"/>
      <c r="M75" s="977">
        <v>0.205065</v>
      </c>
      <c r="N75" s="977">
        <v>5.6506799999999989E-2</v>
      </c>
    </row>
    <row r="76" spans="2:14" ht="42" x14ac:dyDescent="0.3">
      <c r="B76" s="973">
        <v>62</v>
      </c>
      <c r="C76" s="386" t="s">
        <v>1476</v>
      </c>
      <c r="D76" s="386" t="s">
        <v>1542</v>
      </c>
      <c r="E76" s="121" t="s">
        <v>1478</v>
      </c>
      <c r="F76" s="121"/>
      <c r="G76" s="974">
        <v>45155</v>
      </c>
      <c r="H76" s="974">
        <v>45158</v>
      </c>
      <c r="I76" s="974">
        <f>H76+365</f>
        <v>45523</v>
      </c>
      <c r="J76" s="974">
        <v>45514</v>
      </c>
      <c r="K76" s="977">
        <v>0.192014244</v>
      </c>
      <c r="L76" s="801" t="s">
        <v>1480</v>
      </c>
      <c r="M76" s="977">
        <v>0.192014244</v>
      </c>
      <c r="N76" s="977">
        <v>0.16698253600000004</v>
      </c>
    </row>
    <row r="77" spans="2:14" ht="28" x14ac:dyDescent="0.3">
      <c r="B77" s="973">
        <v>63</v>
      </c>
      <c r="C77" s="386" t="s">
        <v>1476</v>
      </c>
      <c r="D77" s="386" t="s">
        <v>1543</v>
      </c>
      <c r="E77" s="121" t="s">
        <v>1478</v>
      </c>
      <c r="F77" s="121"/>
      <c r="G77" s="974">
        <v>45136</v>
      </c>
      <c r="H77" s="974">
        <v>45139</v>
      </c>
      <c r="I77" s="974">
        <f>H77+365</f>
        <v>45504</v>
      </c>
      <c r="J77" s="974">
        <v>45503</v>
      </c>
      <c r="K77" s="977">
        <v>9.8915000000000003E-2</v>
      </c>
      <c r="L77" s="801"/>
      <c r="M77" s="977">
        <v>9.8915000000000003E-2</v>
      </c>
      <c r="N77" s="977">
        <v>0.10386075</v>
      </c>
    </row>
    <row r="78" spans="2:14" ht="28" x14ac:dyDescent="0.3">
      <c r="B78" s="973">
        <v>64</v>
      </c>
      <c r="C78" s="386" t="s">
        <v>1476</v>
      </c>
      <c r="D78" s="386" t="s">
        <v>1544</v>
      </c>
      <c r="E78" s="121" t="s">
        <v>1478</v>
      </c>
      <c r="F78" s="121"/>
      <c r="G78" s="974">
        <v>45105</v>
      </c>
      <c r="H78" s="974">
        <v>45125</v>
      </c>
      <c r="I78" s="974">
        <f>H78+365</f>
        <v>45490</v>
      </c>
      <c r="J78" s="974">
        <v>45535</v>
      </c>
      <c r="K78" s="977">
        <v>8.1510331000000005E-2</v>
      </c>
      <c r="L78" s="801"/>
      <c r="M78" s="977">
        <v>8.1510331000000005E-2</v>
      </c>
      <c r="N78" s="977">
        <v>7.8121414999999986E-2</v>
      </c>
    </row>
    <row r="79" spans="2:14" ht="28" x14ac:dyDescent="0.3">
      <c r="B79" s="973">
        <v>65</v>
      </c>
      <c r="C79" s="386" t="s">
        <v>1476</v>
      </c>
      <c r="D79" s="386" t="s">
        <v>1545</v>
      </c>
      <c r="E79" s="121" t="s">
        <v>1478</v>
      </c>
      <c r="F79" s="121"/>
      <c r="G79" s="974">
        <v>45097</v>
      </c>
      <c r="H79" s="974">
        <v>45097</v>
      </c>
      <c r="I79" s="974">
        <f>H79+180</f>
        <v>45277</v>
      </c>
      <c r="J79" s="974">
        <v>45221</v>
      </c>
      <c r="K79" s="977">
        <v>2.9512500000000001E-2</v>
      </c>
      <c r="L79" s="801"/>
      <c r="M79" s="977">
        <v>2.9512500000000001E-2</v>
      </c>
      <c r="N79" s="977">
        <v>3.0988126000000001E-2</v>
      </c>
    </row>
    <row r="80" spans="2:14" ht="28" x14ac:dyDescent="0.3">
      <c r="B80" s="973">
        <v>66</v>
      </c>
      <c r="C80" s="386" t="s">
        <v>1481</v>
      </c>
      <c r="D80" s="386" t="s">
        <v>1546</v>
      </c>
      <c r="E80" s="121" t="s">
        <v>1483</v>
      </c>
      <c r="F80" s="121"/>
      <c r="G80" s="974">
        <v>45093</v>
      </c>
      <c r="H80" s="974">
        <v>45113</v>
      </c>
      <c r="I80" s="974"/>
      <c r="J80" s="974">
        <v>45156</v>
      </c>
      <c r="K80" s="977">
        <v>2.8334999999999999E-2</v>
      </c>
      <c r="L80" s="801"/>
      <c r="M80" s="977">
        <v>2.8334999999999999E-2</v>
      </c>
      <c r="N80" s="977">
        <v>2.7949600000000002E-2</v>
      </c>
    </row>
    <row r="81" spans="2:14" ht="42" x14ac:dyDescent="0.3">
      <c r="B81" s="973">
        <v>67</v>
      </c>
      <c r="C81" s="386" t="s">
        <v>1476</v>
      </c>
      <c r="D81" s="386" t="s">
        <v>1547</v>
      </c>
      <c r="E81" s="121" t="s">
        <v>1478</v>
      </c>
      <c r="F81" s="121"/>
      <c r="G81" s="974">
        <v>45084</v>
      </c>
      <c r="H81" s="974">
        <v>45084</v>
      </c>
      <c r="I81" s="974">
        <f>H81+365</f>
        <v>45449</v>
      </c>
      <c r="J81" s="974">
        <v>45382</v>
      </c>
      <c r="K81" s="977">
        <v>0.57017045700000002</v>
      </c>
      <c r="L81" s="801" t="s">
        <v>1480</v>
      </c>
      <c r="M81" s="977">
        <v>0.57017045700000002</v>
      </c>
      <c r="N81" s="977">
        <v>0.58069416900000004</v>
      </c>
    </row>
    <row r="82" spans="2:14" ht="42" x14ac:dyDescent="0.3">
      <c r="B82" s="973">
        <v>68</v>
      </c>
      <c r="C82" s="386" t="s">
        <v>1476</v>
      </c>
      <c r="D82" s="386" t="s">
        <v>1548</v>
      </c>
      <c r="E82" s="121" t="s">
        <v>1478</v>
      </c>
      <c r="F82" s="121"/>
      <c r="G82" s="974">
        <v>45084</v>
      </c>
      <c r="H82" s="974">
        <v>45078</v>
      </c>
      <c r="I82" s="974">
        <f>H82+365</f>
        <v>45443</v>
      </c>
      <c r="J82" s="974">
        <v>45297</v>
      </c>
      <c r="K82" s="977">
        <v>0.41490593599999998</v>
      </c>
      <c r="L82" s="801" t="s">
        <v>1480</v>
      </c>
      <c r="M82" s="977">
        <v>0.41490593599999998</v>
      </c>
      <c r="N82" s="977">
        <v>0.41420937299999999</v>
      </c>
    </row>
    <row r="83" spans="2:14" ht="28" x14ac:dyDescent="0.3">
      <c r="B83" s="973">
        <v>69</v>
      </c>
      <c r="C83" s="386" t="s">
        <v>1481</v>
      </c>
      <c r="D83" s="386" t="s">
        <v>1549</v>
      </c>
      <c r="E83" s="121" t="s">
        <v>1483</v>
      </c>
      <c r="F83" s="121"/>
      <c r="G83" s="974">
        <v>45083</v>
      </c>
      <c r="H83" s="974">
        <v>45080</v>
      </c>
      <c r="I83" s="974"/>
      <c r="J83" s="974">
        <v>45087</v>
      </c>
      <c r="K83" s="977">
        <v>4.1047199999999999E-2</v>
      </c>
      <c r="L83" s="801"/>
      <c r="M83" s="977">
        <v>4.1047199999999999E-2</v>
      </c>
      <c r="N83" s="977">
        <v>4.1047199999999999E-2</v>
      </c>
    </row>
    <row r="84" spans="2:14" ht="28" x14ac:dyDescent="0.3">
      <c r="B84" s="973">
        <v>70</v>
      </c>
      <c r="C84" s="386" t="s">
        <v>1476</v>
      </c>
      <c r="D84" s="386" t="s">
        <v>1550</v>
      </c>
      <c r="E84" s="121" t="s">
        <v>1478</v>
      </c>
      <c r="F84" s="121"/>
      <c r="G84" s="974">
        <v>45077</v>
      </c>
      <c r="H84" s="974">
        <v>45078</v>
      </c>
      <c r="I84" s="974">
        <f>H84+180</f>
        <v>45258</v>
      </c>
      <c r="J84" s="974">
        <v>45260</v>
      </c>
      <c r="K84" s="977">
        <v>3.2832517999999998E-2</v>
      </c>
      <c r="L84" s="801"/>
      <c r="M84" s="977">
        <v>3.2832517999999998E-2</v>
      </c>
      <c r="N84" s="977">
        <v>3.2832500000000001E-2</v>
      </c>
    </row>
    <row r="85" spans="2:14" ht="28" x14ac:dyDescent="0.3">
      <c r="B85" s="973">
        <v>71</v>
      </c>
      <c r="C85" s="386" t="s">
        <v>1476</v>
      </c>
      <c r="D85" s="386" t="s">
        <v>1551</v>
      </c>
      <c r="E85" s="121" t="s">
        <v>1478</v>
      </c>
      <c r="F85" s="121"/>
      <c r="G85" s="974">
        <v>45056</v>
      </c>
      <c r="H85" s="974">
        <v>45083</v>
      </c>
      <c r="I85" s="974">
        <f>H85+270</f>
        <v>45353</v>
      </c>
      <c r="J85" s="974">
        <v>45260</v>
      </c>
      <c r="K85" s="977">
        <v>2.8428088000000001E-2</v>
      </c>
      <c r="L85" s="801"/>
      <c r="M85" s="977">
        <v>2.8428088000000001E-2</v>
      </c>
      <c r="N85" s="977">
        <v>2.8428088000000001E-2</v>
      </c>
    </row>
    <row r="86" spans="2:14" ht="28" x14ac:dyDescent="0.3">
      <c r="B86" s="973">
        <v>72</v>
      </c>
      <c r="C86" s="386" t="s">
        <v>1476</v>
      </c>
      <c r="D86" s="386" t="s">
        <v>1552</v>
      </c>
      <c r="E86" s="121" t="s">
        <v>1478</v>
      </c>
      <c r="F86" s="121"/>
      <c r="G86" s="974">
        <v>45050</v>
      </c>
      <c r="H86" s="974">
        <v>45050</v>
      </c>
      <c r="I86" s="974"/>
      <c r="J86" s="974">
        <v>45085</v>
      </c>
      <c r="K86" s="977">
        <v>8.9500059999999999E-3</v>
      </c>
      <c r="L86" s="801"/>
      <c r="M86" s="977">
        <v>8.9500059999999999E-3</v>
      </c>
      <c r="N86" s="977">
        <v>8.9500059999999999E-3</v>
      </c>
    </row>
    <row r="87" spans="2:14" ht="28" x14ac:dyDescent="0.3">
      <c r="B87" s="973">
        <v>73</v>
      </c>
      <c r="C87" s="386" t="s">
        <v>1485</v>
      </c>
      <c r="D87" s="386" t="s">
        <v>1553</v>
      </c>
      <c r="E87" s="121" t="s">
        <v>1478</v>
      </c>
      <c r="F87" s="121"/>
      <c r="G87" s="974">
        <v>45044</v>
      </c>
      <c r="H87" s="974">
        <v>45078</v>
      </c>
      <c r="I87" s="974">
        <f>H87+120</f>
        <v>45198</v>
      </c>
      <c r="J87" s="974">
        <v>45747</v>
      </c>
      <c r="K87" s="977">
        <v>0.26499850000000003</v>
      </c>
      <c r="L87" s="801"/>
      <c r="M87" s="977">
        <v>0.26499850000000003</v>
      </c>
      <c r="N87" s="977">
        <v>0.13789598</v>
      </c>
    </row>
    <row r="88" spans="2:14" ht="28" x14ac:dyDescent="0.3">
      <c r="B88" s="973">
        <v>74</v>
      </c>
      <c r="C88" s="386" t="s">
        <v>1476</v>
      </c>
      <c r="D88" s="386" t="s">
        <v>1554</v>
      </c>
      <c r="E88" s="121" t="s">
        <v>1478</v>
      </c>
      <c r="F88" s="121"/>
      <c r="G88" s="974">
        <v>45043</v>
      </c>
      <c r="H88" s="974">
        <v>45078</v>
      </c>
      <c r="I88" s="974">
        <f>H88+270</f>
        <v>45348</v>
      </c>
      <c r="J88" s="974">
        <v>45199</v>
      </c>
      <c r="K88" s="977">
        <v>2.9204292E-2</v>
      </c>
      <c r="L88" s="801"/>
      <c r="M88" s="977">
        <v>2.9204292E-2</v>
      </c>
      <c r="N88" s="977">
        <v>1.6174683999999998E-2</v>
      </c>
    </row>
    <row r="89" spans="2:14" ht="28" x14ac:dyDescent="0.3">
      <c r="B89" s="973">
        <v>75</v>
      </c>
      <c r="C89" s="386" t="s">
        <v>1476</v>
      </c>
      <c r="D89" s="386" t="s">
        <v>1555</v>
      </c>
      <c r="E89" s="121" t="s">
        <v>1478</v>
      </c>
      <c r="F89" s="121"/>
      <c r="G89" s="974">
        <v>45037</v>
      </c>
      <c r="H89" s="974">
        <v>45037</v>
      </c>
      <c r="I89" s="974"/>
      <c r="J89" s="974">
        <v>45034</v>
      </c>
      <c r="K89" s="977">
        <v>8.0999920000000003E-3</v>
      </c>
      <c r="L89" s="801"/>
      <c r="M89" s="977">
        <v>8.0999920000000003E-3</v>
      </c>
      <c r="N89" s="977">
        <v>8.0999920000000003E-3</v>
      </c>
    </row>
    <row r="90" spans="2:14" ht="28" x14ac:dyDescent="0.3">
      <c r="B90" s="973">
        <v>76</v>
      </c>
      <c r="C90" s="386" t="s">
        <v>1476</v>
      </c>
      <c r="D90" s="386" t="s">
        <v>1556</v>
      </c>
      <c r="E90" s="121" t="s">
        <v>1478</v>
      </c>
      <c r="F90" s="121"/>
      <c r="G90" s="974">
        <v>45009</v>
      </c>
      <c r="H90" s="974">
        <v>45017</v>
      </c>
      <c r="I90" s="974">
        <f>H90+120</f>
        <v>45137</v>
      </c>
      <c r="J90" s="974">
        <v>45138</v>
      </c>
      <c r="K90" s="977">
        <v>3.4692000000000001E-2</v>
      </c>
      <c r="L90" s="801"/>
      <c r="M90" s="977">
        <v>3.4692000000000001E-2</v>
      </c>
      <c r="N90" s="977">
        <v>3.4692000000000001E-2</v>
      </c>
    </row>
    <row r="91" spans="2:14" ht="28" x14ac:dyDescent="0.3">
      <c r="B91" s="973">
        <v>77</v>
      </c>
      <c r="C91" s="386" t="s">
        <v>1476</v>
      </c>
      <c r="D91" s="386" t="s">
        <v>1557</v>
      </c>
      <c r="E91" s="121" t="s">
        <v>1478</v>
      </c>
      <c r="F91" s="121"/>
      <c r="G91" s="974">
        <v>45006</v>
      </c>
      <c r="H91" s="974">
        <v>45006</v>
      </c>
      <c r="I91" s="974"/>
      <c r="J91" s="974">
        <v>45020</v>
      </c>
      <c r="K91" s="977">
        <v>3.9600800000000004E-3</v>
      </c>
      <c r="L91" s="801"/>
      <c r="M91" s="977">
        <v>3.9600800000000004E-3</v>
      </c>
      <c r="N91" s="977">
        <v>3.9600800000000004E-3</v>
      </c>
    </row>
    <row r="92" spans="2:14" ht="28" x14ac:dyDescent="0.3">
      <c r="B92" s="973">
        <v>78</v>
      </c>
      <c r="C92" s="386" t="s">
        <v>1476</v>
      </c>
      <c r="D92" s="386" t="s">
        <v>1558</v>
      </c>
      <c r="E92" s="121" t="s">
        <v>1478</v>
      </c>
      <c r="F92" s="121"/>
      <c r="G92" s="974">
        <v>45006</v>
      </c>
      <c r="H92" s="974">
        <v>45006</v>
      </c>
      <c r="I92" s="974"/>
      <c r="J92" s="974">
        <v>45029</v>
      </c>
      <c r="K92" s="977">
        <v>3.2249400000000004E-3</v>
      </c>
      <c r="L92" s="801"/>
      <c r="M92" s="977">
        <v>3.2249400000000004E-3</v>
      </c>
      <c r="N92" s="977">
        <v>3.2249399999999999E-3</v>
      </c>
    </row>
    <row r="93" spans="2:14" ht="28" x14ac:dyDescent="0.3">
      <c r="B93" s="973">
        <v>79</v>
      </c>
      <c r="C93" s="386" t="s">
        <v>1476</v>
      </c>
      <c r="D93" s="386" t="s">
        <v>1559</v>
      </c>
      <c r="E93" s="121" t="s">
        <v>1478</v>
      </c>
      <c r="F93" s="121"/>
      <c r="G93" s="974">
        <v>44987</v>
      </c>
      <c r="H93" s="974">
        <v>44988</v>
      </c>
      <c r="I93" s="974">
        <f>H93+180</f>
        <v>45168</v>
      </c>
      <c r="J93" s="974">
        <v>45230</v>
      </c>
      <c r="K93" s="977">
        <v>2.862E-2</v>
      </c>
      <c r="L93" s="801"/>
      <c r="M93" s="977">
        <v>2.862E-2</v>
      </c>
      <c r="N93" s="977">
        <v>3.0051000000000001E-2</v>
      </c>
    </row>
    <row r="94" spans="2:14" ht="28" x14ac:dyDescent="0.3">
      <c r="B94" s="973">
        <v>80</v>
      </c>
      <c r="C94" s="386" t="s">
        <v>1476</v>
      </c>
      <c r="D94" s="386" t="s">
        <v>1560</v>
      </c>
      <c r="E94" s="121" t="s">
        <v>1478</v>
      </c>
      <c r="F94" s="121"/>
      <c r="G94" s="974">
        <v>44987</v>
      </c>
      <c r="H94" s="974">
        <v>44987</v>
      </c>
      <c r="I94" s="974">
        <f>H94+30</f>
        <v>45017</v>
      </c>
      <c r="J94" s="974">
        <v>45022</v>
      </c>
      <c r="K94" s="977">
        <v>2.4479572000000002E-2</v>
      </c>
      <c r="L94" s="801"/>
      <c r="M94" s="977">
        <v>2.4479572000000002E-2</v>
      </c>
      <c r="N94" s="977">
        <v>2.4479572000000002E-2</v>
      </c>
    </row>
    <row r="95" spans="2:14" ht="28" x14ac:dyDescent="0.3">
      <c r="B95" s="973">
        <v>81</v>
      </c>
      <c r="C95" s="386" t="s">
        <v>1476</v>
      </c>
      <c r="D95" s="386" t="s">
        <v>1561</v>
      </c>
      <c r="E95" s="121" t="s">
        <v>1478</v>
      </c>
      <c r="F95" s="121"/>
      <c r="G95" s="974">
        <v>44971</v>
      </c>
      <c r="H95" s="974">
        <v>44972</v>
      </c>
      <c r="I95" s="974">
        <f>H95+180</f>
        <v>45152</v>
      </c>
      <c r="J95" s="974">
        <v>45096</v>
      </c>
      <c r="K95" s="977">
        <v>2.9512500000000001E-2</v>
      </c>
      <c r="L95" s="801"/>
      <c r="M95" s="977">
        <v>2.9512500000000001E-2</v>
      </c>
      <c r="N95" s="977">
        <v>3.0988126000000001E-2</v>
      </c>
    </row>
    <row r="96" spans="2:14" ht="28" x14ac:dyDescent="0.3">
      <c r="B96" s="973">
        <v>82</v>
      </c>
      <c r="C96" s="386" t="s">
        <v>1476</v>
      </c>
      <c r="D96" s="386" t="s">
        <v>1562</v>
      </c>
      <c r="E96" s="121" t="s">
        <v>1478</v>
      </c>
      <c r="F96" s="121"/>
      <c r="G96" s="974">
        <v>44963</v>
      </c>
      <c r="H96" s="974">
        <v>44963</v>
      </c>
      <c r="I96" s="974">
        <f>H96+45</f>
        <v>45008</v>
      </c>
      <c r="J96" s="974">
        <v>45135</v>
      </c>
      <c r="K96" s="977">
        <v>0.16885800000000001</v>
      </c>
      <c r="L96" s="801"/>
      <c r="M96" s="977">
        <v>0.16885800000000001</v>
      </c>
      <c r="N96" s="977">
        <v>0.17583593</v>
      </c>
    </row>
    <row r="97" spans="2:14" ht="28" x14ac:dyDescent="0.3">
      <c r="B97" s="973">
        <v>83</v>
      </c>
      <c r="C97" s="386" t="s">
        <v>1485</v>
      </c>
      <c r="D97" s="386" t="s">
        <v>1563</v>
      </c>
      <c r="E97" s="121" t="s">
        <v>1483</v>
      </c>
      <c r="F97" s="121"/>
      <c r="G97" s="974">
        <v>44956</v>
      </c>
      <c r="H97" s="974">
        <v>44956</v>
      </c>
      <c r="I97" s="974"/>
      <c r="J97" s="974">
        <v>44946</v>
      </c>
      <c r="K97" s="977">
        <v>8.26E-3</v>
      </c>
      <c r="L97" s="801"/>
      <c r="M97" s="977">
        <v>8.26E-3</v>
      </c>
      <c r="N97" s="977">
        <v>8.26E-3</v>
      </c>
    </row>
    <row r="98" spans="2:14" ht="28" x14ac:dyDescent="0.3">
      <c r="B98" s="973">
        <v>84</v>
      </c>
      <c r="C98" s="386" t="s">
        <v>1485</v>
      </c>
      <c r="D98" s="386" t="s">
        <v>1564</v>
      </c>
      <c r="E98" s="121" t="s">
        <v>1478</v>
      </c>
      <c r="F98" s="121"/>
      <c r="G98" s="974">
        <v>44950</v>
      </c>
      <c r="H98" s="974">
        <v>44950</v>
      </c>
      <c r="I98" s="974">
        <f>H98+30</f>
        <v>44980</v>
      </c>
      <c r="J98" s="974">
        <v>44951</v>
      </c>
      <c r="K98" s="977">
        <v>1.3591239999999999E-2</v>
      </c>
      <c r="L98" s="801"/>
      <c r="M98" s="977">
        <v>1.3591239999999999E-2</v>
      </c>
      <c r="N98" s="977">
        <v>1.3591239999999999E-2</v>
      </c>
    </row>
    <row r="99" spans="2:14" ht="28" x14ac:dyDescent="0.3">
      <c r="B99" s="973">
        <v>85</v>
      </c>
      <c r="C99" s="386" t="s">
        <v>1485</v>
      </c>
      <c r="D99" s="386" t="s">
        <v>1565</v>
      </c>
      <c r="E99" s="121" t="s">
        <v>1478</v>
      </c>
      <c r="F99" s="121"/>
      <c r="G99" s="974">
        <v>44946</v>
      </c>
      <c r="H99" s="974">
        <v>44986</v>
      </c>
      <c r="I99" s="974">
        <f>H99+365</f>
        <v>45351</v>
      </c>
      <c r="J99" s="974">
        <v>44989</v>
      </c>
      <c r="K99" s="977">
        <v>3.2473599999999998E-2</v>
      </c>
      <c r="L99" s="801"/>
      <c r="M99" s="977">
        <v>3.2473599999999998E-2</v>
      </c>
      <c r="N99" s="977">
        <v>3.2311232000000002E-2</v>
      </c>
    </row>
    <row r="100" spans="2:14" ht="28" x14ac:dyDescent="0.3">
      <c r="B100" s="973">
        <v>86</v>
      </c>
      <c r="C100" s="386" t="s">
        <v>1485</v>
      </c>
      <c r="D100" s="386" t="s">
        <v>1566</v>
      </c>
      <c r="E100" s="121" t="s">
        <v>1478</v>
      </c>
      <c r="F100" s="121"/>
      <c r="G100" s="974">
        <v>44945</v>
      </c>
      <c r="H100" s="974">
        <v>44945</v>
      </c>
      <c r="I100" s="974">
        <f>H100+30</f>
        <v>44975</v>
      </c>
      <c r="J100" s="974">
        <v>44942</v>
      </c>
      <c r="K100" s="977">
        <v>1.9470000000000001E-2</v>
      </c>
      <c r="L100" s="801"/>
      <c r="M100" s="977">
        <v>1.9470000000000001E-2</v>
      </c>
      <c r="N100" s="977">
        <v>1.9470000000000001E-2</v>
      </c>
    </row>
    <row r="101" spans="2:14" ht="28" x14ac:dyDescent="0.3">
      <c r="B101" s="973">
        <v>87</v>
      </c>
      <c r="C101" s="386" t="s">
        <v>1481</v>
      </c>
      <c r="D101" s="386" t="s">
        <v>1567</v>
      </c>
      <c r="E101" s="121" t="s">
        <v>1478</v>
      </c>
      <c r="F101" s="121"/>
      <c r="G101" s="974">
        <v>44937</v>
      </c>
      <c r="H101" s="974">
        <v>44958</v>
      </c>
      <c r="I101" s="974">
        <f>H101+180</f>
        <v>45138</v>
      </c>
      <c r="J101" s="974">
        <v>45473</v>
      </c>
      <c r="K101" s="977">
        <v>5.0658815999999995E-2</v>
      </c>
      <c r="L101" s="801"/>
      <c r="M101" s="977">
        <v>5.0658815999999995E-2</v>
      </c>
      <c r="N101" s="977">
        <v>4.8710400000000001E-2</v>
      </c>
    </row>
    <row r="102" spans="2:14" ht="28" x14ac:dyDescent="0.3">
      <c r="B102" s="973">
        <v>88</v>
      </c>
      <c r="C102" s="386" t="s">
        <v>1476</v>
      </c>
      <c r="D102" s="386" t="s">
        <v>1568</v>
      </c>
      <c r="E102" s="121" t="s">
        <v>1478</v>
      </c>
      <c r="F102" s="121"/>
      <c r="G102" s="974">
        <v>44937</v>
      </c>
      <c r="H102" s="974">
        <v>44983</v>
      </c>
      <c r="I102" s="974">
        <f>H102+365</f>
        <v>45348</v>
      </c>
      <c r="J102" s="974">
        <v>45421</v>
      </c>
      <c r="K102" s="977">
        <v>0.16056609199999999</v>
      </c>
      <c r="L102" s="801"/>
      <c r="M102" s="977">
        <v>0.16056609199999999</v>
      </c>
      <c r="N102" s="977">
        <v>0.14379773000000001</v>
      </c>
    </row>
    <row r="103" spans="2:14" ht="28" x14ac:dyDescent="0.3">
      <c r="B103" s="973">
        <v>89</v>
      </c>
      <c r="C103" s="386" t="s">
        <v>1476</v>
      </c>
      <c r="D103" s="386" t="s">
        <v>1569</v>
      </c>
      <c r="E103" s="121" t="s">
        <v>1478</v>
      </c>
      <c r="F103" s="121"/>
      <c r="G103" s="974">
        <v>44935</v>
      </c>
      <c r="H103" s="974">
        <v>44936</v>
      </c>
      <c r="I103" s="974">
        <f>H103+180</f>
        <v>45116</v>
      </c>
      <c r="J103" s="974">
        <v>45116</v>
      </c>
      <c r="K103" s="977">
        <v>1.2295467999999999E-2</v>
      </c>
      <c r="L103" s="801"/>
      <c r="M103" s="977">
        <v>1.2295467999999999E-2</v>
      </c>
      <c r="N103" s="977">
        <v>1.2295467999999999E-2</v>
      </c>
    </row>
    <row r="104" spans="2:14" ht="28" x14ac:dyDescent="0.3">
      <c r="B104" s="973">
        <v>90</v>
      </c>
      <c r="C104" s="386" t="s">
        <v>1570</v>
      </c>
      <c r="D104" s="386" t="s">
        <v>1571</v>
      </c>
      <c r="E104" s="121" t="s">
        <v>1478</v>
      </c>
      <c r="F104" s="121"/>
      <c r="G104" s="974">
        <v>44928</v>
      </c>
      <c r="H104" s="974">
        <v>44928</v>
      </c>
      <c r="I104" s="974"/>
      <c r="J104" s="974">
        <v>44944</v>
      </c>
      <c r="K104" s="977">
        <v>3.5140400000000002E-2</v>
      </c>
      <c r="L104" s="801"/>
      <c r="M104" s="977">
        <v>3.5140400000000002E-2</v>
      </c>
      <c r="N104" s="977">
        <v>3.5140400000000002E-2</v>
      </c>
    </row>
    <row r="105" spans="2:14" ht="28" x14ac:dyDescent="0.3">
      <c r="B105" s="973">
        <v>91</v>
      </c>
      <c r="C105" s="386" t="s">
        <v>1476</v>
      </c>
      <c r="D105" s="386" t="s">
        <v>1572</v>
      </c>
      <c r="E105" s="121" t="s">
        <v>1478</v>
      </c>
      <c r="F105" s="121"/>
      <c r="G105" s="974">
        <v>44918</v>
      </c>
      <c r="H105" s="974">
        <v>44904</v>
      </c>
      <c r="I105" s="974">
        <f>H105+365</f>
        <v>45269</v>
      </c>
      <c r="J105" s="974">
        <v>45258</v>
      </c>
      <c r="K105" s="977">
        <v>0.14350199999999999</v>
      </c>
      <c r="L105" s="801"/>
      <c r="M105" s="977">
        <v>0.14350199999999999</v>
      </c>
      <c r="N105" s="977">
        <v>0.15061284200000002</v>
      </c>
    </row>
    <row r="106" spans="2:14" ht="28" x14ac:dyDescent="0.3">
      <c r="B106" s="973">
        <v>92</v>
      </c>
      <c r="C106" s="386" t="s">
        <v>1476</v>
      </c>
      <c r="D106" s="386" t="s">
        <v>1573</v>
      </c>
      <c r="E106" s="121" t="s">
        <v>1478</v>
      </c>
      <c r="F106" s="121"/>
      <c r="G106" s="974">
        <v>44918</v>
      </c>
      <c r="H106" s="974">
        <v>44771</v>
      </c>
      <c r="I106" s="974">
        <f>H106+365</f>
        <v>45136</v>
      </c>
      <c r="J106" s="974">
        <v>45112</v>
      </c>
      <c r="K106" s="977">
        <v>2.3975199999999999E-2</v>
      </c>
      <c r="L106" s="801"/>
      <c r="M106" s="977">
        <v>2.3975199999999999E-2</v>
      </c>
      <c r="N106" s="977">
        <v>2.6328539999999998E-2</v>
      </c>
    </row>
    <row r="107" spans="2:14" ht="28" x14ac:dyDescent="0.3">
      <c r="B107" s="973">
        <v>93</v>
      </c>
      <c r="C107" s="386" t="s">
        <v>1570</v>
      </c>
      <c r="D107" s="386" t="s">
        <v>1574</v>
      </c>
      <c r="E107" s="121" t="s">
        <v>1478</v>
      </c>
      <c r="F107" s="121"/>
      <c r="G107" s="974">
        <v>44918</v>
      </c>
      <c r="H107" s="974">
        <v>44918</v>
      </c>
      <c r="I107" s="974">
        <f>H107+180</f>
        <v>45098</v>
      </c>
      <c r="J107" s="974">
        <v>44988</v>
      </c>
      <c r="K107" s="977">
        <v>3.4336384000000005E-2</v>
      </c>
      <c r="L107" s="801"/>
      <c r="M107" s="977">
        <v>3.4336384000000005E-2</v>
      </c>
      <c r="N107" s="977">
        <v>3.4336384000000005E-2</v>
      </c>
    </row>
    <row r="108" spans="2:14" ht="28" x14ac:dyDescent="0.3">
      <c r="B108" s="973">
        <v>94</v>
      </c>
      <c r="C108" s="386" t="s">
        <v>1476</v>
      </c>
      <c r="D108" s="386" t="s">
        <v>1575</v>
      </c>
      <c r="E108" s="121" t="s">
        <v>1478</v>
      </c>
      <c r="F108" s="121"/>
      <c r="G108" s="974">
        <v>44901</v>
      </c>
      <c r="H108" s="974">
        <v>44902</v>
      </c>
      <c r="I108" s="974">
        <f>H108+365</f>
        <v>45267</v>
      </c>
      <c r="J108" s="974">
        <v>45046</v>
      </c>
      <c r="K108" s="977">
        <v>4.40983E-2</v>
      </c>
      <c r="L108" s="801"/>
      <c r="M108" s="977">
        <v>4.40983E-2</v>
      </c>
      <c r="N108" s="977">
        <v>4.0988764000000004E-2</v>
      </c>
    </row>
    <row r="109" spans="2:14" ht="28" x14ac:dyDescent="0.3">
      <c r="B109" s="973">
        <v>95</v>
      </c>
      <c r="C109" s="386" t="s">
        <v>1476</v>
      </c>
      <c r="D109" s="386" t="s">
        <v>1576</v>
      </c>
      <c r="E109" s="121" t="s">
        <v>1478</v>
      </c>
      <c r="F109" s="121"/>
      <c r="G109" s="974">
        <v>44897</v>
      </c>
      <c r="H109" s="974">
        <v>44897</v>
      </c>
      <c r="I109" s="974"/>
      <c r="J109" s="974">
        <v>44929</v>
      </c>
      <c r="K109" s="977">
        <v>2.9880785999999999E-2</v>
      </c>
      <c r="L109" s="801"/>
      <c r="M109" s="977">
        <v>2.9880785999999999E-2</v>
      </c>
      <c r="N109" s="977">
        <v>2.9880785999999999E-2</v>
      </c>
    </row>
    <row r="110" spans="2:14" ht="28" x14ac:dyDescent="0.3">
      <c r="B110" s="973">
        <v>96</v>
      </c>
      <c r="C110" s="386" t="s">
        <v>1476</v>
      </c>
      <c r="D110" s="386" t="s">
        <v>1577</v>
      </c>
      <c r="E110" s="121" t="s">
        <v>1483</v>
      </c>
      <c r="F110" s="121"/>
      <c r="G110" s="974">
        <v>44894</v>
      </c>
      <c r="H110" s="974">
        <v>44927</v>
      </c>
      <c r="I110" s="974">
        <f>H110+365</f>
        <v>45292</v>
      </c>
      <c r="J110" s="974">
        <v>45260</v>
      </c>
      <c r="K110" s="977">
        <v>2.0999279999999998</v>
      </c>
      <c r="L110" s="801"/>
      <c r="M110" s="977">
        <v>2.0999279999999998</v>
      </c>
      <c r="N110" s="977">
        <v>1.8707270420000002</v>
      </c>
    </row>
    <row r="111" spans="2:14" ht="28" x14ac:dyDescent="0.3">
      <c r="B111" s="973">
        <v>97</v>
      </c>
      <c r="C111" s="386" t="s">
        <v>1476</v>
      </c>
      <c r="D111" s="386" t="s">
        <v>1578</v>
      </c>
      <c r="E111" s="121" t="s">
        <v>1478</v>
      </c>
      <c r="F111" s="121"/>
      <c r="G111" s="974">
        <v>44894</v>
      </c>
      <c r="H111" s="974">
        <v>44894</v>
      </c>
      <c r="I111" s="974"/>
      <c r="J111" s="974">
        <v>44894</v>
      </c>
      <c r="K111" s="977">
        <v>1.9477499999999998E-2</v>
      </c>
      <c r="L111" s="801"/>
      <c r="M111" s="977">
        <v>1.9477499999999998E-2</v>
      </c>
      <c r="N111" s="977">
        <v>1.9477501000000001E-2</v>
      </c>
    </row>
    <row r="112" spans="2:14" ht="28" x14ac:dyDescent="0.3">
      <c r="B112" s="973">
        <v>98</v>
      </c>
      <c r="C112" s="386" t="s">
        <v>1476</v>
      </c>
      <c r="D112" s="386" t="s">
        <v>1579</v>
      </c>
      <c r="E112" s="121" t="s">
        <v>1478</v>
      </c>
      <c r="F112" s="121"/>
      <c r="G112" s="974">
        <v>44890</v>
      </c>
      <c r="H112" s="974">
        <v>44894</v>
      </c>
      <c r="I112" s="974">
        <f>H112+180</f>
        <v>45074</v>
      </c>
      <c r="J112" s="974">
        <v>44898</v>
      </c>
      <c r="K112" s="977">
        <v>2.8462000000000001E-2</v>
      </c>
      <c r="L112" s="801"/>
      <c r="M112" s="977">
        <v>2.8462000000000001E-2</v>
      </c>
      <c r="N112" s="977">
        <v>2.8462000000000001E-2</v>
      </c>
    </row>
    <row r="113" spans="2:14" ht="28" x14ac:dyDescent="0.3">
      <c r="B113" s="973">
        <v>99</v>
      </c>
      <c r="C113" s="386" t="s">
        <v>1476</v>
      </c>
      <c r="D113" s="386" t="s">
        <v>1580</v>
      </c>
      <c r="E113" s="121" t="s">
        <v>1478</v>
      </c>
      <c r="F113" s="121"/>
      <c r="G113" s="974">
        <v>44882</v>
      </c>
      <c r="H113" s="974">
        <v>44882</v>
      </c>
      <c r="I113" s="974">
        <f>H113+30</f>
        <v>44912</v>
      </c>
      <c r="J113" s="974">
        <v>45121</v>
      </c>
      <c r="K113" s="977">
        <v>3.3128499999999998E-2</v>
      </c>
      <c r="L113" s="801"/>
      <c r="M113" s="977">
        <v>3.3128499999999998E-2</v>
      </c>
      <c r="N113" s="977">
        <v>3.3128499999999998E-2</v>
      </c>
    </row>
    <row r="114" spans="2:14" ht="28" x14ac:dyDescent="0.3">
      <c r="B114" s="973">
        <v>100</v>
      </c>
      <c r="C114" s="386" t="s">
        <v>1476</v>
      </c>
      <c r="D114" s="386" t="s">
        <v>1581</v>
      </c>
      <c r="E114" s="121" t="s">
        <v>1478</v>
      </c>
      <c r="F114" s="121"/>
      <c r="G114" s="974">
        <v>44882</v>
      </c>
      <c r="H114" s="974">
        <v>44882</v>
      </c>
      <c r="I114" s="974">
        <f>H114+180</f>
        <v>45062</v>
      </c>
      <c r="J114" s="974">
        <v>44926</v>
      </c>
      <c r="K114" s="977">
        <v>3.0152303999999998E-2</v>
      </c>
      <c r="L114" s="801"/>
      <c r="M114" s="977">
        <v>3.0152303999999998E-2</v>
      </c>
      <c r="N114" s="977">
        <v>3.0152303999999998E-2</v>
      </c>
    </row>
    <row r="115" spans="2:14" ht="28" x14ac:dyDescent="0.3">
      <c r="B115" s="973">
        <v>101</v>
      </c>
      <c r="C115" s="386" t="s">
        <v>1476</v>
      </c>
      <c r="D115" s="386" t="s">
        <v>1582</v>
      </c>
      <c r="E115" s="121" t="s">
        <v>1478</v>
      </c>
      <c r="F115" s="121"/>
      <c r="G115" s="974">
        <v>44855</v>
      </c>
      <c r="H115" s="974">
        <v>44835</v>
      </c>
      <c r="I115" s="974">
        <f>H115+365</f>
        <v>45200</v>
      </c>
      <c r="J115" s="974">
        <v>45046</v>
      </c>
      <c r="K115" s="977">
        <v>3.29751E-2</v>
      </c>
      <c r="L115" s="801"/>
      <c r="M115" s="977">
        <v>3.29751E-2</v>
      </c>
      <c r="N115" s="977">
        <v>3.29751E-2</v>
      </c>
    </row>
    <row r="116" spans="2:14" ht="28" x14ac:dyDescent="0.3">
      <c r="B116" s="973">
        <v>102</v>
      </c>
      <c r="C116" s="386" t="s">
        <v>1485</v>
      </c>
      <c r="D116" s="386" t="s">
        <v>1583</v>
      </c>
      <c r="E116" s="121" t="s">
        <v>1478</v>
      </c>
      <c r="F116" s="121"/>
      <c r="G116" s="974">
        <v>44852</v>
      </c>
      <c r="H116" s="974">
        <v>44852</v>
      </c>
      <c r="I116" s="974">
        <f>H116+30</f>
        <v>44882</v>
      </c>
      <c r="J116" s="974">
        <v>44924</v>
      </c>
      <c r="K116" s="977">
        <v>4.9061921999999994E-2</v>
      </c>
      <c r="L116" s="801"/>
      <c r="M116" s="977">
        <v>4.9061921999999994E-2</v>
      </c>
      <c r="N116" s="977">
        <v>4.9061921999999994E-2</v>
      </c>
    </row>
    <row r="117" spans="2:14" ht="28" x14ac:dyDescent="0.3">
      <c r="B117" s="973">
        <v>103</v>
      </c>
      <c r="C117" s="386" t="s">
        <v>1485</v>
      </c>
      <c r="D117" s="386" t="s">
        <v>1584</v>
      </c>
      <c r="E117" s="121" t="s">
        <v>1478</v>
      </c>
      <c r="F117" s="121"/>
      <c r="G117" s="974">
        <v>44844</v>
      </c>
      <c r="H117" s="974">
        <v>44866</v>
      </c>
      <c r="I117" s="974">
        <f>H117+365</f>
        <v>45231</v>
      </c>
      <c r="J117" s="974">
        <v>45147</v>
      </c>
      <c r="K117" s="977">
        <v>3.4222950000000002E-2</v>
      </c>
      <c r="L117" s="801"/>
      <c r="M117" s="977">
        <v>3.4222950000000002E-2</v>
      </c>
      <c r="N117" s="977">
        <v>3.3351402000000002E-2</v>
      </c>
    </row>
    <row r="118" spans="2:14" ht="28" x14ac:dyDescent="0.3">
      <c r="B118" s="973">
        <v>104</v>
      </c>
      <c r="C118" s="386" t="s">
        <v>1476</v>
      </c>
      <c r="D118" s="386" t="s">
        <v>1585</v>
      </c>
      <c r="E118" s="121" t="s">
        <v>1478</v>
      </c>
      <c r="F118" s="121"/>
      <c r="G118" s="974">
        <v>44842</v>
      </c>
      <c r="H118" s="974">
        <v>44846</v>
      </c>
      <c r="I118" s="974">
        <f>H118+180</f>
        <v>45026</v>
      </c>
      <c r="J118" s="974">
        <v>44969</v>
      </c>
      <c r="K118" s="977">
        <v>2.9512500000000001E-2</v>
      </c>
      <c r="L118" s="801"/>
      <c r="M118" s="977">
        <v>2.9512500000000001E-2</v>
      </c>
      <c r="N118" s="977">
        <v>3.0740221999999998E-2</v>
      </c>
    </row>
    <row r="119" spans="2:14" ht="28" x14ac:dyDescent="0.3">
      <c r="B119" s="973">
        <v>105</v>
      </c>
      <c r="C119" s="386" t="s">
        <v>1485</v>
      </c>
      <c r="D119" s="386" t="s">
        <v>1586</v>
      </c>
      <c r="E119" s="121" t="s">
        <v>1483</v>
      </c>
      <c r="F119" s="121"/>
      <c r="G119" s="974">
        <v>44841</v>
      </c>
      <c r="H119" s="974">
        <v>44841</v>
      </c>
      <c r="I119" s="974"/>
      <c r="J119" s="974"/>
      <c r="K119" s="977">
        <v>0.11210000000000001</v>
      </c>
      <c r="L119" s="801"/>
      <c r="M119" s="977">
        <v>0.11210000000000001</v>
      </c>
      <c r="N119" s="977">
        <v>0.11210000000000001</v>
      </c>
    </row>
    <row r="120" spans="2:14" ht="42" x14ac:dyDescent="0.3">
      <c r="B120" s="973">
        <v>106</v>
      </c>
      <c r="C120" s="386" t="s">
        <v>1476</v>
      </c>
      <c r="D120" s="386" t="s">
        <v>1587</v>
      </c>
      <c r="E120" s="121" t="s">
        <v>1478</v>
      </c>
      <c r="F120" s="121"/>
      <c r="G120" s="974">
        <v>44820</v>
      </c>
      <c r="H120" s="974">
        <v>44783</v>
      </c>
      <c r="I120" s="974">
        <f>H120+365</f>
        <v>45148</v>
      </c>
      <c r="J120" s="974">
        <v>45158</v>
      </c>
      <c r="K120" s="977">
        <v>0.16600883799999999</v>
      </c>
      <c r="L120" s="801" t="s">
        <v>1480</v>
      </c>
      <c r="M120" s="977">
        <v>0.16600883799999999</v>
      </c>
      <c r="N120" s="977">
        <v>0.17192063799999999</v>
      </c>
    </row>
    <row r="121" spans="2:14" ht="28" x14ac:dyDescent="0.3">
      <c r="B121" s="973">
        <v>107</v>
      </c>
      <c r="C121" s="386" t="s">
        <v>1476</v>
      </c>
      <c r="D121" s="386" t="s">
        <v>1588</v>
      </c>
      <c r="E121" s="121" t="s">
        <v>1478</v>
      </c>
      <c r="F121" s="121"/>
      <c r="G121" s="974">
        <v>44781</v>
      </c>
      <c r="H121" s="974">
        <v>44774</v>
      </c>
      <c r="I121" s="974">
        <f>H121+365</f>
        <v>45139</v>
      </c>
      <c r="J121" s="974">
        <v>45138</v>
      </c>
      <c r="K121" s="977">
        <v>3.1874041999999998E-2</v>
      </c>
      <c r="L121" s="801"/>
      <c r="M121" s="977">
        <v>3.1874041999999998E-2</v>
      </c>
      <c r="N121" s="977">
        <v>3.1874041999999998E-2</v>
      </c>
    </row>
    <row r="122" spans="2:14" ht="42" x14ac:dyDescent="0.3">
      <c r="B122" s="973">
        <v>108</v>
      </c>
      <c r="C122" s="386" t="s">
        <v>1476</v>
      </c>
      <c r="D122" s="386" t="s">
        <v>1589</v>
      </c>
      <c r="E122" s="121" t="s">
        <v>1478</v>
      </c>
      <c r="F122" s="121"/>
      <c r="G122" s="974">
        <v>44781</v>
      </c>
      <c r="H122" s="974">
        <v>44791</v>
      </c>
      <c r="I122" s="974">
        <f>H122+365</f>
        <v>45156</v>
      </c>
      <c r="J122" s="974">
        <v>45077</v>
      </c>
      <c r="K122" s="977">
        <v>0.39225975400000002</v>
      </c>
      <c r="L122" s="801" t="s">
        <v>1480</v>
      </c>
      <c r="M122" s="977">
        <v>0.39225975400000002</v>
      </c>
      <c r="N122" s="977">
        <v>0.41177701399999994</v>
      </c>
    </row>
    <row r="123" spans="2:14" ht="28" x14ac:dyDescent="0.3">
      <c r="B123" s="973">
        <v>109</v>
      </c>
      <c r="C123" s="386" t="s">
        <v>1476</v>
      </c>
      <c r="D123" s="386" t="s">
        <v>1590</v>
      </c>
      <c r="E123" s="121" t="s">
        <v>1478</v>
      </c>
      <c r="F123" s="121"/>
      <c r="G123" s="974">
        <v>44781</v>
      </c>
      <c r="H123" s="974">
        <v>44781</v>
      </c>
      <c r="I123" s="974"/>
      <c r="J123" s="974">
        <v>44747</v>
      </c>
      <c r="K123" s="977">
        <v>0.15674242799999996</v>
      </c>
      <c r="L123" s="801"/>
      <c r="M123" s="977">
        <v>0.15674242799999996</v>
      </c>
      <c r="N123" s="977">
        <v>9.2910936999999971E-2</v>
      </c>
    </row>
    <row r="124" spans="2:14" ht="28" x14ac:dyDescent="0.3">
      <c r="B124" s="973">
        <v>110</v>
      </c>
      <c r="C124" s="386" t="s">
        <v>1476</v>
      </c>
      <c r="D124" s="386" t="s">
        <v>1591</v>
      </c>
      <c r="E124" s="121" t="s">
        <v>1478</v>
      </c>
      <c r="F124" s="121"/>
      <c r="G124" s="974">
        <v>44778</v>
      </c>
      <c r="H124" s="974">
        <v>44774</v>
      </c>
      <c r="I124" s="974">
        <f>H124+365</f>
        <v>45139</v>
      </c>
      <c r="J124" s="974">
        <v>45138</v>
      </c>
      <c r="K124" s="977">
        <v>8.9826500000000004E-2</v>
      </c>
      <c r="L124" s="801"/>
      <c r="M124" s="977">
        <v>8.9826500000000004E-2</v>
      </c>
      <c r="N124" s="977">
        <v>9.4317832000000004E-2</v>
      </c>
    </row>
    <row r="125" spans="2:14" ht="28" x14ac:dyDescent="0.3">
      <c r="B125" s="973">
        <v>111</v>
      </c>
      <c r="C125" s="386" t="s">
        <v>1485</v>
      </c>
      <c r="D125" s="386" t="s">
        <v>1592</v>
      </c>
      <c r="E125" s="121" t="s">
        <v>1478</v>
      </c>
      <c r="F125" s="121"/>
      <c r="G125" s="974">
        <v>44778</v>
      </c>
      <c r="H125" s="974">
        <v>44805</v>
      </c>
      <c r="I125" s="974">
        <f>H125+365</f>
        <v>45170</v>
      </c>
      <c r="J125" s="974">
        <v>45302</v>
      </c>
      <c r="K125" s="977">
        <v>0.23038945399999999</v>
      </c>
      <c r="L125" s="801"/>
      <c r="M125" s="977">
        <v>0.23038945399999999</v>
      </c>
      <c r="N125" s="977">
        <v>0.204958802</v>
      </c>
    </row>
    <row r="126" spans="2:14" ht="28" x14ac:dyDescent="0.3">
      <c r="B126" s="973">
        <v>112</v>
      </c>
      <c r="C126" s="386" t="s">
        <v>1476</v>
      </c>
      <c r="D126" s="386" t="s">
        <v>1593</v>
      </c>
      <c r="E126" s="121" t="s">
        <v>1478</v>
      </c>
      <c r="F126" s="121"/>
      <c r="G126" s="974">
        <v>44771</v>
      </c>
      <c r="H126" s="974">
        <v>44749</v>
      </c>
      <c r="I126" s="974">
        <f>H126+180</f>
        <v>44929</v>
      </c>
      <c r="J126" s="974">
        <v>44965</v>
      </c>
      <c r="K126" s="977">
        <v>2.8421999999999999E-2</v>
      </c>
      <c r="L126" s="801"/>
      <c r="M126" s="977">
        <v>2.8421999999999999E-2</v>
      </c>
      <c r="N126" s="977">
        <v>2.9345716000000004E-2</v>
      </c>
    </row>
    <row r="127" spans="2:14" ht="42" x14ac:dyDescent="0.3">
      <c r="B127" s="973">
        <v>113</v>
      </c>
      <c r="C127" s="386" t="s">
        <v>1476</v>
      </c>
      <c r="D127" s="386" t="s">
        <v>1594</v>
      </c>
      <c r="E127" s="121" t="s">
        <v>1478</v>
      </c>
      <c r="F127" s="121"/>
      <c r="G127" s="974">
        <v>44768</v>
      </c>
      <c r="H127" s="974">
        <v>44739</v>
      </c>
      <c r="I127" s="974">
        <f>H127+365</f>
        <v>45104</v>
      </c>
      <c r="J127" s="974">
        <v>45083</v>
      </c>
      <c r="K127" s="977">
        <v>0.467713712</v>
      </c>
      <c r="L127" s="801" t="s">
        <v>1480</v>
      </c>
      <c r="M127" s="977">
        <v>0.467713712</v>
      </c>
      <c r="N127" s="977">
        <v>0.49073893099999993</v>
      </c>
    </row>
    <row r="128" spans="2:14" ht="28" x14ac:dyDescent="0.3">
      <c r="B128" s="973">
        <v>114</v>
      </c>
      <c r="C128" s="386" t="s">
        <v>1481</v>
      </c>
      <c r="D128" s="386" t="s">
        <v>1595</v>
      </c>
      <c r="E128" s="121" t="s">
        <v>1478</v>
      </c>
      <c r="F128" s="121"/>
      <c r="G128" s="974">
        <v>44734</v>
      </c>
      <c r="H128" s="974">
        <v>44887</v>
      </c>
      <c r="I128" s="974">
        <f>H128+180</f>
        <v>45067</v>
      </c>
      <c r="J128" s="974">
        <v>45020</v>
      </c>
      <c r="K128" s="977">
        <v>2.1169199999999999E-2</v>
      </c>
      <c r="L128" s="801"/>
      <c r="M128" s="977">
        <v>2.1169199999999999E-2</v>
      </c>
      <c r="N128" s="977">
        <v>2.1169199999999999E-2</v>
      </c>
    </row>
    <row r="129" spans="2:14" ht="28" x14ac:dyDescent="0.3">
      <c r="B129" s="973">
        <v>115</v>
      </c>
      <c r="C129" s="386" t="s">
        <v>1476</v>
      </c>
      <c r="D129" s="386" t="s">
        <v>1596</v>
      </c>
      <c r="E129" s="121" t="s">
        <v>1483</v>
      </c>
      <c r="F129" s="121"/>
      <c r="G129" s="974">
        <v>44726</v>
      </c>
      <c r="H129" s="974">
        <v>44746</v>
      </c>
      <c r="I129" s="974"/>
      <c r="J129" s="974">
        <v>44747</v>
      </c>
      <c r="K129" s="977">
        <v>1.3688000000000001E-2</v>
      </c>
      <c r="L129" s="801"/>
      <c r="M129" s="977">
        <v>1.3688000000000001E-2</v>
      </c>
      <c r="N129" s="977">
        <v>1.3688000000000001E-2</v>
      </c>
    </row>
    <row r="130" spans="2:14" ht="28" x14ac:dyDescent="0.3">
      <c r="B130" s="973">
        <v>116</v>
      </c>
      <c r="C130" s="386" t="s">
        <v>1476</v>
      </c>
      <c r="D130" s="386" t="s">
        <v>1597</v>
      </c>
      <c r="E130" s="121" t="s">
        <v>1478</v>
      </c>
      <c r="F130" s="121"/>
      <c r="G130" s="974">
        <v>44693</v>
      </c>
      <c r="H130" s="974">
        <v>44713</v>
      </c>
      <c r="I130" s="974">
        <f>H130+365</f>
        <v>45078</v>
      </c>
      <c r="J130" s="974">
        <v>45107</v>
      </c>
      <c r="K130" s="977">
        <v>6.7276519999999992E-2</v>
      </c>
      <c r="L130" s="801"/>
      <c r="M130" s="977">
        <v>6.7276519999999992E-2</v>
      </c>
      <c r="N130" s="977">
        <v>6.5121722000000007E-2</v>
      </c>
    </row>
    <row r="131" spans="2:14" ht="28" x14ac:dyDescent="0.3">
      <c r="B131" s="973">
        <v>117</v>
      </c>
      <c r="C131" s="386" t="s">
        <v>1476</v>
      </c>
      <c r="D131" s="386" t="s">
        <v>1598</v>
      </c>
      <c r="E131" s="121" t="s">
        <v>1478</v>
      </c>
      <c r="F131" s="121"/>
      <c r="G131" s="974">
        <v>44690</v>
      </c>
      <c r="H131" s="974">
        <v>44690</v>
      </c>
      <c r="I131" s="974">
        <f>H131+30</f>
        <v>44720</v>
      </c>
      <c r="J131" s="974">
        <v>44740</v>
      </c>
      <c r="K131" s="977">
        <v>1.9770900000000001E-2</v>
      </c>
      <c r="L131" s="801"/>
      <c r="M131" s="977">
        <v>1.9770900000000001E-2</v>
      </c>
      <c r="N131" s="977">
        <v>1.9770900000000001E-2</v>
      </c>
    </row>
    <row r="132" spans="2:14" ht="28" x14ac:dyDescent="0.3">
      <c r="B132" s="973">
        <v>118</v>
      </c>
      <c r="C132" s="386" t="s">
        <v>1476</v>
      </c>
      <c r="D132" s="386" t="s">
        <v>1599</v>
      </c>
      <c r="E132" s="121" t="s">
        <v>1478</v>
      </c>
      <c r="F132" s="121"/>
      <c r="G132" s="974">
        <v>44679</v>
      </c>
      <c r="H132" s="974">
        <v>44679</v>
      </c>
      <c r="I132" s="974">
        <f>H132+180</f>
        <v>44859</v>
      </c>
      <c r="J132" s="974">
        <v>44711</v>
      </c>
      <c r="K132" s="977">
        <v>2.5195950000000002E-2</v>
      </c>
      <c r="L132" s="801"/>
      <c r="M132" s="977">
        <v>2.5195950000000002E-2</v>
      </c>
      <c r="N132" s="977">
        <v>2.5195950000000002E-2</v>
      </c>
    </row>
    <row r="133" spans="2:14" ht="42" x14ac:dyDescent="0.3">
      <c r="B133" s="973">
        <v>119</v>
      </c>
      <c r="C133" s="386" t="s">
        <v>1476</v>
      </c>
      <c r="D133" s="386" t="s">
        <v>1600</v>
      </c>
      <c r="E133" s="121" t="s">
        <v>1478</v>
      </c>
      <c r="F133" s="121"/>
      <c r="G133" s="974">
        <v>44677</v>
      </c>
      <c r="H133" s="974">
        <v>44671</v>
      </c>
      <c r="I133" s="974">
        <f>H133+365</f>
        <v>45036</v>
      </c>
      <c r="J133" s="974">
        <v>44926</v>
      </c>
      <c r="K133" s="977">
        <v>6.1455221999999997E-2</v>
      </c>
      <c r="L133" s="801" t="s">
        <v>1480</v>
      </c>
      <c r="M133" s="977">
        <v>6.1455221999999997E-2</v>
      </c>
      <c r="N133" s="977">
        <v>4.8936959999999995E-2</v>
      </c>
    </row>
    <row r="134" spans="2:14" ht="28" x14ac:dyDescent="0.3">
      <c r="B134" s="973">
        <v>120</v>
      </c>
      <c r="C134" s="386" t="s">
        <v>1476</v>
      </c>
      <c r="D134" s="386" t="s">
        <v>1601</v>
      </c>
      <c r="E134" s="121" t="s">
        <v>1478</v>
      </c>
      <c r="F134" s="121"/>
      <c r="G134" s="974">
        <v>44677</v>
      </c>
      <c r="H134" s="974">
        <v>44677</v>
      </c>
      <c r="I134" s="974">
        <f>H134+30</f>
        <v>44707</v>
      </c>
      <c r="J134" s="974">
        <v>44716</v>
      </c>
      <c r="K134" s="977">
        <v>2.1683425000000003E-2</v>
      </c>
      <c r="L134" s="801"/>
      <c r="M134" s="977">
        <v>2.1683425000000003E-2</v>
      </c>
      <c r="N134" s="977">
        <v>2.1683424999999996E-2</v>
      </c>
    </row>
    <row r="135" spans="2:14" ht="28" x14ac:dyDescent="0.3">
      <c r="B135" s="973">
        <v>121</v>
      </c>
      <c r="C135" s="386" t="s">
        <v>1476</v>
      </c>
      <c r="D135" s="386" t="s">
        <v>1602</v>
      </c>
      <c r="E135" s="121" t="s">
        <v>1478</v>
      </c>
      <c r="F135" s="121"/>
      <c r="G135" s="974">
        <v>44656</v>
      </c>
      <c r="H135" s="974">
        <v>44652</v>
      </c>
      <c r="I135" s="974">
        <f>H135+120</f>
        <v>44772</v>
      </c>
      <c r="J135" s="974">
        <v>44773</v>
      </c>
      <c r="K135" s="977">
        <v>3.4692000000000001E-2</v>
      </c>
      <c r="L135" s="801"/>
      <c r="M135" s="977">
        <v>3.4692000000000001E-2</v>
      </c>
      <c r="N135" s="977">
        <v>3.4692000000000001E-2</v>
      </c>
    </row>
    <row r="136" spans="2:14" ht="28" x14ac:dyDescent="0.3">
      <c r="B136" s="973">
        <v>122</v>
      </c>
      <c r="C136" s="386" t="s">
        <v>1476</v>
      </c>
      <c r="D136" s="386" t="s">
        <v>1603</v>
      </c>
      <c r="E136" s="121" t="s">
        <v>1478</v>
      </c>
      <c r="F136" s="121"/>
      <c r="G136" s="974">
        <v>44648</v>
      </c>
      <c r="H136" s="974">
        <v>44719</v>
      </c>
      <c r="I136" s="974">
        <f>H136+365</f>
        <v>45084</v>
      </c>
      <c r="J136" s="974">
        <v>44984</v>
      </c>
      <c r="K136" s="977">
        <v>6.9155923999999994E-2</v>
      </c>
      <c r="L136" s="801"/>
      <c r="M136" s="977">
        <v>6.9155923999999994E-2</v>
      </c>
      <c r="N136" s="977">
        <v>6.9155928000000005E-2</v>
      </c>
    </row>
    <row r="137" spans="2:14" ht="28" x14ac:dyDescent="0.3">
      <c r="B137" s="973">
        <v>123</v>
      </c>
      <c r="C137" s="386" t="s">
        <v>1485</v>
      </c>
      <c r="D137" s="386" t="s">
        <v>1604</v>
      </c>
      <c r="E137" s="121" t="s">
        <v>1478</v>
      </c>
      <c r="F137" s="121"/>
      <c r="G137" s="974">
        <v>44642</v>
      </c>
      <c r="H137" s="974">
        <v>44642</v>
      </c>
      <c r="I137" s="974">
        <f>H137+90</f>
        <v>44732</v>
      </c>
      <c r="J137" s="974">
        <v>44742</v>
      </c>
      <c r="K137" s="977">
        <v>0.37653681999999999</v>
      </c>
      <c r="L137" s="801"/>
      <c r="M137" s="977">
        <v>0.37653681999999999</v>
      </c>
      <c r="N137" s="977">
        <v>0.37653681999999999</v>
      </c>
    </row>
    <row r="138" spans="2:14" ht="28" x14ac:dyDescent="0.3">
      <c r="B138" s="973">
        <v>124</v>
      </c>
      <c r="C138" s="386" t="s">
        <v>1476</v>
      </c>
      <c r="D138" s="386" t="s">
        <v>1605</v>
      </c>
      <c r="E138" s="121" t="s">
        <v>1478</v>
      </c>
      <c r="F138" s="121"/>
      <c r="G138" s="974">
        <v>44636</v>
      </c>
      <c r="H138" s="974">
        <v>44636</v>
      </c>
      <c r="I138" s="974"/>
      <c r="J138" s="974">
        <v>44656</v>
      </c>
      <c r="K138" s="977">
        <v>2.9995599999999996E-3</v>
      </c>
      <c r="L138" s="801"/>
      <c r="M138" s="977">
        <v>2.9995599999999996E-3</v>
      </c>
      <c r="N138" s="977">
        <v>2.9995600000000001E-3</v>
      </c>
    </row>
    <row r="139" spans="2:14" ht="28" x14ac:dyDescent="0.3">
      <c r="B139" s="973">
        <v>125</v>
      </c>
      <c r="C139" s="386" t="s">
        <v>1476</v>
      </c>
      <c r="D139" s="386" t="s">
        <v>1606</v>
      </c>
      <c r="E139" s="121" t="s">
        <v>1478</v>
      </c>
      <c r="F139" s="121"/>
      <c r="G139" s="974">
        <v>44636</v>
      </c>
      <c r="H139" s="974">
        <v>44636</v>
      </c>
      <c r="I139" s="974"/>
      <c r="J139" s="974">
        <v>44650</v>
      </c>
      <c r="K139" s="977">
        <v>2.7989599999999996E-3</v>
      </c>
      <c r="L139" s="801"/>
      <c r="M139" s="977">
        <v>2.7989599999999996E-3</v>
      </c>
      <c r="N139" s="977">
        <v>2.798016E-3</v>
      </c>
    </row>
    <row r="140" spans="2:14" ht="28" x14ac:dyDescent="0.3">
      <c r="B140" s="973">
        <v>126</v>
      </c>
      <c r="C140" s="386" t="s">
        <v>1476</v>
      </c>
      <c r="D140" s="386" t="s">
        <v>1607</v>
      </c>
      <c r="E140" s="121" t="s">
        <v>1478</v>
      </c>
      <c r="F140" s="121"/>
      <c r="G140" s="974">
        <v>44635</v>
      </c>
      <c r="H140" s="974">
        <v>44635</v>
      </c>
      <c r="I140" s="974"/>
      <c r="J140" s="974">
        <v>44624</v>
      </c>
      <c r="K140" s="977">
        <v>3.9399719999999999E-3</v>
      </c>
      <c r="L140" s="801"/>
      <c r="M140" s="977">
        <v>3.9399719999999999E-3</v>
      </c>
      <c r="N140" s="977">
        <v>3.9399719999999999E-3</v>
      </c>
    </row>
    <row r="141" spans="2:14" ht="28" x14ac:dyDescent="0.3">
      <c r="B141" s="973">
        <v>127</v>
      </c>
      <c r="C141" s="386" t="s">
        <v>1476</v>
      </c>
      <c r="D141" s="386" t="s">
        <v>1608</v>
      </c>
      <c r="E141" s="121" t="s">
        <v>1478</v>
      </c>
      <c r="F141" s="121"/>
      <c r="G141" s="974">
        <v>44620</v>
      </c>
      <c r="H141" s="974">
        <v>44620</v>
      </c>
      <c r="I141" s="974">
        <f>H141+30</f>
        <v>44650</v>
      </c>
      <c r="J141" s="974">
        <v>44699</v>
      </c>
      <c r="K141" s="977">
        <v>1.2487113999999999E-2</v>
      </c>
      <c r="L141" s="801"/>
      <c r="M141" s="977">
        <v>1.2487113999999999E-2</v>
      </c>
      <c r="N141" s="977">
        <v>1.2487114000000001E-2</v>
      </c>
    </row>
    <row r="142" spans="2:14" ht="28" x14ac:dyDescent="0.3">
      <c r="B142" s="973">
        <v>128</v>
      </c>
      <c r="C142" s="386" t="s">
        <v>1476</v>
      </c>
      <c r="D142" s="386" t="s">
        <v>1609</v>
      </c>
      <c r="E142" s="121" t="s">
        <v>1478</v>
      </c>
      <c r="F142" s="121"/>
      <c r="G142" s="974">
        <v>44610</v>
      </c>
      <c r="H142" s="974">
        <v>44610</v>
      </c>
      <c r="I142" s="974"/>
      <c r="J142" s="974">
        <v>44650</v>
      </c>
      <c r="K142" s="977">
        <v>8.1219285000000002E-2</v>
      </c>
      <c r="L142" s="801"/>
      <c r="M142" s="977">
        <v>8.1219285000000002E-2</v>
      </c>
      <c r="N142" s="977">
        <v>1.202385E-3</v>
      </c>
    </row>
    <row r="143" spans="2:14" ht="42" x14ac:dyDescent="0.3">
      <c r="B143" s="973">
        <v>129</v>
      </c>
      <c r="C143" s="386" t="s">
        <v>1476</v>
      </c>
      <c r="D143" s="386" t="s">
        <v>1610</v>
      </c>
      <c r="E143" s="121" t="s">
        <v>1478</v>
      </c>
      <c r="F143" s="121"/>
      <c r="G143" s="974">
        <v>44572</v>
      </c>
      <c r="H143" s="974">
        <v>44562</v>
      </c>
      <c r="I143" s="974">
        <f>H143+365</f>
        <v>44927</v>
      </c>
      <c r="J143" s="974">
        <v>44865</v>
      </c>
      <c r="K143" s="977">
        <v>0.20845535600000001</v>
      </c>
      <c r="L143" s="801" t="s">
        <v>1480</v>
      </c>
      <c r="M143" s="977">
        <v>0.20845535600000001</v>
      </c>
      <c r="N143" s="977">
        <v>0.12939360099999997</v>
      </c>
    </row>
    <row r="144" spans="2:14" ht="28" x14ac:dyDescent="0.3">
      <c r="B144" s="973">
        <v>130</v>
      </c>
      <c r="C144" s="386" t="s">
        <v>1476</v>
      </c>
      <c r="D144" s="386" t="s">
        <v>1611</v>
      </c>
      <c r="E144" s="121" t="s">
        <v>1478</v>
      </c>
      <c r="F144" s="121"/>
      <c r="G144" s="974">
        <v>44571</v>
      </c>
      <c r="H144" s="974">
        <v>44743</v>
      </c>
      <c r="I144" s="974">
        <f>H144+365</f>
        <v>45108</v>
      </c>
      <c r="J144" s="974">
        <v>44753</v>
      </c>
      <c r="K144" s="977">
        <v>2.2555268999999999E-2</v>
      </c>
      <c r="L144" s="801"/>
      <c r="M144" s="977">
        <v>2.2555268999999999E-2</v>
      </c>
      <c r="N144" s="977">
        <v>2.2555268999999999E-2</v>
      </c>
    </row>
    <row r="145" spans="2:14" ht="28" x14ac:dyDescent="0.3">
      <c r="B145" s="973">
        <v>131</v>
      </c>
      <c r="C145" s="386" t="s">
        <v>1476</v>
      </c>
      <c r="D145" s="386" t="s">
        <v>1612</v>
      </c>
      <c r="E145" s="121" t="s">
        <v>1478</v>
      </c>
      <c r="F145" s="121"/>
      <c r="G145" s="974">
        <v>44571</v>
      </c>
      <c r="H145" s="974">
        <v>44571</v>
      </c>
      <c r="I145" s="974"/>
      <c r="J145" s="974"/>
      <c r="K145" s="977">
        <v>2.1501960000000001E-2</v>
      </c>
      <c r="L145" s="801"/>
      <c r="M145" s="977">
        <v>2.1501960000000001E-2</v>
      </c>
      <c r="N145" s="977">
        <v>2.1501960000000001E-2</v>
      </c>
    </row>
    <row r="146" spans="2:14" ht="28" x14ac:dyDescent="0.3">
      <c r="B146" s="973">
        <v>132</v>
      </c>
      <c r="C146" s="386" t="s">
        <v>1476</v>
      </c>
      <c r="D146" s="386" t="s">
        <v>1613</v>
      </c>
      <c r="E146" s="121" t="s">
        <v>1483</v>
      </c>
      <c r="F146" s="121"/>
      <c r="G146" s="974">
        <v>44557</v>
      </c>
      <c r="H146" s="974">
        <v>44587</v>
      </c>
      <c r="I146" s="974">
        <f>H146+365</f>
        <v>44952</v>
      </c>
      <c r="J146" s="974">
        <v>44926</v>
      </c>
      <c r="K146" s="977">
        <v>1.9249339999999999</v>
      </c>
      <c r="L146" s="801"/>
      <c r="M146" s="977">
        <v>1.9249339999999999</v>
      </c>
      <c r="N146" s="977">
        <v>1.9240382619999998</v>
      </c>
    </row>
    <row r="147" spans="2:14" ht="28" x14ac:dyDescent="0.3">
      <c r="B147" s="973">
        <v>133</v>
      </c>
      <c r="C147" s="386" t="s">
        <v>1476</v>
      </c>
      <c r="D147" s="386" t="s">
        <v>1614</v>
      </c>
      <c r="E147" s="121" t="s">
        <v>1478</v>
      </c>
      <c r="F147" s="121"/>
      <c r="G147" s="974">
        <v>44555</v>
      </c>
      <c r="H147" s="974">
        <v>44562</v>
      </c>
      <c r="I147" s="974">
        <f>H147+365</f>
        <v>44927</v>
      </c>
      <c r="J147" s="974">
        <v>44903</v>
      </c>
      <c r="K147" s="977">
        <v>8.2939700000000005E-2</v>
      </c>
      <c r="L147" s="801"/>
      <c r="M147" s="977">
        <v>8.2939700000000005E-2</v>
      </c>
      <c r="N147" s="977">
        <v>9.1242598999999994E-2</v>
      </c>
    </row>
    <row r="148" spans="2:14" ht="28" x14ac:dyDescent="0.3">
      <c r="B148" s="973">
        <v>134</v>
      </c>
      <c r="C148" s="386" t="s">
        <v>1476</v>
      </c>
      <c r="D148" s="386" t="s">
        <v>1615</v>
      </c>
      <c r="E148" s="121" t="s">
        <v>1478</v>
      </c>
      <c r="F148" s="121"/>
      <c r="G148" s="974">
        <v>44553</v>
      </c>
      <c r="H148" s="974">
        <v>44562</v>
      </c>
      <c r="I148" s="974">
        <f>H148+365</f>
        <v>44927</v>
      </c>
      <c r="J148" s="974">
        <v>44926</v>
      </c>
      <c r="K148" s="977">
        <v>0.10000169</v>
      </c>
      <c r="L148" s="801"/>
      <c r="M148" s="977">
        <v>0.10000169</v>
      </c>
      <c r="N148" s="977">
        <v>9.7673611999999993E-2</v>
      </c>
    </row>
    <row r="149" spans="2:14" ht="28" x14ac:dyDescent="0.3">
      <c r="B149" s="973">
        <v>135</v>
      </c>
      <c r="C149" s="386" t="s">
        <v>1476</v>
      </c>
      <c r="D149" s="386" t="s">
        <v>1616</v>
      </c>
      <c r="E149" s="121" t="s">
        <v>1478</v>
      </c>
      <c r="F149" s="121"/>
      <c r="G149" s="974">
        <v>44545</v>
      </c>
      <c r="H149" s="974">
        <v>44545</v>
      </c>
      <c r="I149" s="974">
        <f>H149+30</f>
        <v>44575</v>
      </c>
      <c r="J149" s="974">
        <v>44578</v>
      </c>
      <c r="K149" s="977">
        <v>2.0271999999999998E-2</v>
      </c>
      <c r="L149" s="801"/>
      <c r="M149" s="977">
        <v>2.0271999999999998E-2</v>
      </c>
      <c r="N149" s="977">
        <v>1.8129099999999999E-2</v>
      </c>
    </row>
    <row r="150" spans="2:14" ht="28" x14ac:dyDescent="0.3">
      <c r="B150" s="973">
        <v>136</v>
      </c>
      <c r="C150" s="386" t="s">
        <v>1476</v>
      </c>
      <c r="D150" s="386" t="s">
        <v>1617</v>
      </c>
      <c r="E150" s="121" t="s">
        <v>1478</v>
      </c>
      <c r="F150" s="121"/>
      <c r="G150" s="974">
        <v>44544</v>
      </c>
      <c r="H150" s="974">
        <v>44544</v>
      </c>
      <c r="I150" s="974">
        <f>H150+30</f>
        <v>44574</v>
      </c>
      <c r="J150" s="974">
        <v>44756</v>
      </c>
      <c r="K150" s="977">
        <v>1.2295128000000001E-2</v>
      </c>
      <c r="L150" s="801"/>
      <c r="M150" s="977">
        <v>1.2295128000000001E-2</v>
      </c>
      <c r="N150" s="977">
        <v>1.2295128000000001E-2</v>
      </c>
    </row>
    <row r="151" spans="2:14" ht="28" x14ac:dyDescent="0.3">
      <c r="B151" s="973">
        <v>137</v>
      </c>
      <c r="C151" s="386" t="s">
        <v>1476</v>
      </c>
      <c r="D151" s="386" t="s">
        <v>1618</v>
      </c>
      <c r="E151" s="121" t="s">
        <v>1478</v>
      </c>
      <c r="F151" s="121"/>
      <c r="G151" s="974">
        <v>44536</v>
      </c>
      <c r="H151" s="974">
        <v>44536</v>
      </c>
      <c r="I151" s="974"/>
      <c r="J151" s="974">
        <v>44568</v>
      </c>
      <c r="K151" s="977">
        <v>4.4449949999999993E-3</v>
      </c>
      <c r="L151" s="801"/>
      <c r="M151" s="977">
        <v>4.4449949999999993E-3</v>
      </c>
      <c r="N151" s="977">
        <v>4.4449949999999993E-3</v>
      </c>
    </row>
    <row r="152" spans="2:14" ht="28" x14ac:dyDescent="0.3">
      <c r="B152" s="973">
        <v>138</v>
      </c>
      <c r="C152" s="386" t="s">
        <v>1476</v>
      </c>
      <c r="D152" s="386" t="s">
        <v>1619</v>
      </c>
      <c r="E152" s="121" t="s">
        <v>1478</v>
      </c>
      <c r="F152" s="121"/>
      <c r="G152" s="974">
        <v>44525</v>
      </c>
      <c r="H152" s="974">
        <v>44525</v>
      </c>
      <c r="I152" s="974"/>
      <c r="J152" s="974">
        <v>44518</v>
      </c>
      <c r="K152" s="977">
        <v>2.2923671999999999E-2</v>
      </c>
      <c r="L152" s="801"/>
      <c r="M152" s="977">
        <v>2.2923671999999999E-2</v>
      </c>
      <c r="N152" s="977">
        <v>2.2923671999999999E-2</v>
      </c>
    </row>
    <row r="153" spans="2:14" ht="42" x14ac:dyDescent="0.3">
      <c r="B153" s="973">
        <v>139</v>
      </c>
      <c r="C153" s="386" t="s">
        <v>1476</v>
      </c>
      <c r="D153" s="386" t="s">
        <v>1620</v>
      </c>
      <c r="E153" s="121" t="s">
        <v>1478</v>
      </c>
      <c r="F153" s="121"/>
      <c r="G153" s="974">
        <v>44518</v>
      </c>
      <c r="H153" s="974">
        <v>44531</v>
      </c>
      <c r="I153" s="974">
        <f>H153+365</f>
        <v>44896</v>
      </c>
      <c r="J153" s="974">
        <v>44786</v>
      </c>
      <c r="K153" s="977">
        <v>0.30931054400000002</v>
      </c>
      <c r="L153" s="801" t="s">
        <v>1480</v>
      </c>
      <c r="M153" s="977">
        <v>0.30931054400000002</v>
      </c>
      <c r="N153" s="977">
        <v>0.32466410000000001</v>
      </c>
    </row>
    <row r="154" spans="2:14" ht="28" x14ac:dyDescent="0.3">
      <c r="B154" s="973">
        <v>140</v>
      </c>
      <c r="C154" s="386" t="s">
        <v>1476</v>
      </c>
      <c r="D154" s="386" t="s">
        <v>1621</v>
      </c>
      <c r="E154" s="121" t="s">
        <v>1478</v>
      </c>
      <c r="F154" s="121"/>
      <c r="G154" s="974">
        <v>44480</v>
      </c>
      <c r="H154" s="974">
        <v>44480</v>
      </c>
      <c r="I154" s="974">
        <f>H154+45</f>
        <v>44525</v>
      </c>
      <c r="J154" s="974">
        <v>44566</v>
      </c>
      <c r="K154" s="977">
        <v>1.5113070000000001E-2</v>
      </c>
      <c r="L154" s="801"/>
      <c r="M154" s="977">
        <v>1.5113070000000001E-2</v>
      </c>
      <c r="N154" s="977">
        <v>1.5113070000000001E-2</v>
      </c>
    </row>
    <row r="155" spans="2:14" ht="28" x14ac:dyDescent="0.3">
      <c r="B155" s="973">
        <v>141</v>
      </c>
      <c r="C155" s="386" t="s">
        <v>1476</v>
      </c>
      <c r="D155" s="386" t="s">
        <v>1622</v>
      </c>
      <c r="E155" s="121" t="s">
        <v>1478</v>
      </c>
      <c r="F155" s="121"/>
      <c r="G155" s="974">
        <v>44455</v>
      </c>
      <c r="H155" s="974">
        <v>44440</v>
      </c>
      <c r="I155" s="974">
        <f>H155+365</f>
        <v>44805</v>
      </c>
      <c r="J155" s="974">
        <v>44712</v>
      </c>
      <c r="K155" s="977">
        <v>3.9717856000000003E-2</v>
      </c>
      <c r="L155" s="801"/>
      <c r="M155" s="977">
        <v>3.9717856000000003E-2</v>
      </c>
      <c r="N155" s="977">
        <v>3.9717856000000003E-2</v>
      </c>
    </row>
    <row r="156" spans="2:14" ht="28" x14ac:dyDescent="0.3">
      <c r="B156" s="973">
        <v>142</v>
      </c>
      <c r="C156" s="386" t="s">
        <v>1476</v>
      </c>
      <c r="D156" s="386" t="s">
        <v>1623</v>
      </c>
      <c r="E156" s="121" t="s">
        <v>1478</v>
      </c>
      <c r="F156" s="121"/>
      <c r="G156" s="974">
        <v>44453</v>
      </c>
      <c r="H156" s="974">
        <v>44453</v>
      </c>
      <c r="I156" s="974"/>
      <c r="J156" s="974">
        <v>44473</v>
      </c>
      <c r="K156" s="977">
        <v>9.3999979999999997E-3</v>
      </c>
      <c r="L156" s="801"/>
      <c r="M156" s="977">
        <v>9.3999979999999997E-3</v>
      </c>
      <c r="N156" s="977">
        <v>-2.0000000000000001E-9</v>
      </c>
    </row>
    <row r="157" spans="2:14" ht="28" x14ac:dyDescent="0.3">
      <c r="B157" s="973">
        <v>143</v>
      </c>
      <c r="C157" s="386" t="s">
        <v>1476</v>
      </c>
      <c r="D157" s="386" t="s">
        <v>1624</v>
      </c>
      <c r="E157" s="121" t="s">
        <v>1478</v>
      </c>
      <c r="F157" s="121"/>
      <c r="G157" s="974">
        <v>44445</v>
      </c>
      <c r="H157" s="974">
        <v>44445</v>
      </c>
      <c r="I157" s="974"/>
      <c r="J157" s="974">
        <v>44575</v>
      </c>
      <c r="K157" s="977">
        <v>4.9199996000000003E-2</v>
      </c>
      <c r="L157" s="801"/>
      <c r="M157" s="977">
        <v>4.9199996000000003E-2</v>
      </c>
      <c r="N157" s="977">
        <v>-4.0000000000000002E-9</v>
      </c>
    </row>
    <row r="158" spans="2:14" ht="28" x14ac:dyDescent="0.3">
      <c r="B158" s="973">
        <v>144</v>
      </c>
      <c r="C158" s="386" t="s">
        <v>1476</v>
      </c>
      <c r="D158" s="386" t="s">
        <v>1625</v>
      </c>
      <c r="E158" s="121" t="s">
        <v>1478</v>
      </c>
      <c r="F158" s="121"/>
      <c r="G158" s="974">
        <v>44435</v>
      </c>
      <c r="H158" s="974">
        <v>44435</v>
      </c>
      <c r="I158" s="974">
        <f>H158+45</f>
        <v>44480</v>
      </c>
      <c r="J158" s="974">
        <v>44518</v>
      </c>
      <c r="K158" s="977">
        <v>1.634182E-2</v>
      </c>
      <c r="L158" s="801"/>
      <c r="M158" s="977">
        <v>1.634182E-2</v>
      </c>
      <c r="N158" s="977">
        <v>1.634182E-2</v>
      </c>
    </row>
    <row r="159" spans="2:14" ht="28" x14ac:dyDescent="0.3">
      <c r="B159" s="973">
        <v>145</v>
      </c>
      <c r="C159" s="386" t="s">
        <v>1476</v>
      </c>
      <c r="D159" s="386" t="s">
        <v>1626</v>
      </c>
      <c r="E159" s="121" t="s">
        <v>1478</v>
      </c>
      <c r="F159" s="121"/>
      <c r="G159" s="974">
        <v>44435</v>
      </c>
      <c r="H159" s="974">
        <v>44435</v>
      </c>
      <c r="I159" s="974">
        <f>H159+45</f>
        <v>44480</v>
      </c>
      <c r="J159" s="974">
        <v>44482</v>
      </c>
      <c r="K159" s="977">
        <v>1.4424432000000001E-2</v>
      </c>
      <c r="L159" s="801"/>
      <c r="M159" s="977">
        <v>1.4424432000000001E-2</v>
      </c>
      <c r="N159" s="977">
        <v>1.1149932000000001E-2</v>
      </c>
    </row>
    <row r="160" spans="2:14" ht="28" x14ac:dyDescent="0.3">
      <c r="B160" s="973">
        <v>146</v>
      </c>
      <c r="C160" s="386" t="s">
        <v>1476</v>
      </c>
      <c r="D160" s="386" t="s">
        <v>1627</v>
      </c>
      <c r="E160" s="121" t="s">
        <v>1478</v>
      </c>
      <c r="F160" s="121"/>
      <c r="G160" s="974">
        <v>44435</v>
      </c>
      <c r="H160" s="974">
        <v>44435</v>
      </c>
      <c r="I160" s="974">
        <f>H160+45</f>
        <v>44480</v>
      </c>
      <c r="J160" s="974">
        <v>44672</v>
      </c>
      <c r="K160" s="977">
        <v>1.057398E-2</v>
      </c>
      <c r="L160" s="801"/>
      <c r="M160" s="977">
        <v>1.057398E-2</v>
      </c>
      <c r="N160" s="977">
        <v>1.057398E-2</v>
      </c>
    </row>
    <row r="161" spans="2:14" ht="28" x14ac:dyDescent="0.3">
      <c r="B161" s="973">
        <v>147</v>
      </c>
      <c r="C161" s="386" t="s">
        <v>1476</v>
      </c>
      <c r="D161" s="386" t="s">
        <v>1628</v>
      </c>
      <c r="E161" s="121" t="s">
        <v>1478</v>
      </c>
      <c r="F161" s="121"/>
      <c r="G161" s="974">
        <v>44433</v>
      </c>
      <c r="H161" s="974">
        <v>44458</v>
      </c>
      <c r="I161" s="974">
        <f>H161+365</f>
        <v>44823</v>
      </c>
      <c r="J161" s="974">
        <v>44840</v>
      </c>
      <c r="K161" s="977">
        <v>8.2092150000000003E-2</v>
      </c>
      <c r="L161" s="801"/>
      <c r="M161" s="977">
        <v>8.2092150000000003E-2</v>
      </c>
      <c r="N161" s="977">
        <v>9.0447557999999997E-2</v>
      </c>
    </row>
    <row r="162" spans="2:14" ht="28" x14ac:dyDescent="0.3">
      <c r="B162" s="973">
        <v>148</v>
      </c>
      <c r="C162" s="386" t="s">
        <v>1485</v>
      </c>
      <c r="D162" s="386" t="s">
        <v>1629</v>
      </c>
      <c r="E162" s="121" t="s">
        <v>1478</v>
      </c>
      <c r="F162" s="121"/>
      <c r="G162" s="974">
        <v>44433</v>
      </c>
      <c r="H162" s="974">
        <v>44433</v>
      </c>
      <c r="I162" s="974">
        <f>H162+60</f>
        <v>44493</v>
      </c>
      <c r="J162" s="974">
        <v>44476</v>
      </c>
      <c r="K162" s="977">
        <v>5.0819946000000005E-2</v>
      </c>
      <c r="L162" s="801"/>
      <c r="M162" s="977">
        <v>5.0819946000000005E-2</v>
      </c>
      <c r="N162" s="977">
        <v>4.6000000000000002E-8</v>
      </c>
    </row>
    <row r="163" spans="2:14" ht="28" x14ac:dyDescent="0.3">
      <c r="B163" s="973">
        <v>149</v>
      </c>
      <c r="C163" s="386" t="s">
        <v>1485</v>
      </c>
      <c r="D163" s="386" t="s">
        <v>1630</v>
      </c>
      <c r="E163" s="121" t="s">
        <v>1478</v>
      </c>
      <c r="F163" s="121"/>
      <c r="G163" s="974">
        <v>44433</v>
      </c>
      <c r="H163" s="974">
        <v>44433</v>
      </c>
      <c r="I163" s="974">
        <f>H163+60</f>
        <v>44493</v>
      </c>
      <c r="J163" s="974">
        <v>44547</v>
      </c>
      <c r="K163" s="977">
        <v>3.1977999999999999E-2</v>
      </c>
      <c r="L163" s="801"/>
      <c r="M163" s="977">
        <v>3.1977999999999999E-2</v>
      </c>
      <c r="N163" s="977">
        <v>1.2333999999999999E-3</v>
      </c>
    </row>
    <row r="164" spans="2:14" ht="28" x14ac:dyDescent="0.3">
      <c r="B164" s="973">
        <v>150</v>
      </c>
      <c r="C164" s="386" t="s">
        <v>1485</v>
      </c>
      <c r="D164" s="386" t="s">
        <v>1631</v>
      </c>
      <c r="E164" s="121" t="s">
        <v>1478</v>
      </c>
      <c r="F164" s="121"/>
      <c r="G164" s="974">
        <v>44433</v>
      </c>
      <c r="H164" s="974">
        <v>44433</v>
      </c>
      <c r="I164" s="974">
        <f>H164+60</f>
        <v>44493</v>
      </c>
      <c r="J164" s="974">
        <v>44580</v>
      </c>
      <c r="K164" s="977">
        <v>0.36482066000000002</v>
      </c>
      <c r="L164" s="801"/>
      <c r="M164" s="977">
        <v>0.36482066000000002</v>
      </c>
      <c r="N164" s="977">
        <v>0.36477461999999999</v>
      </c>
    </row>
    <row r="165" spans="2:14" ht="28" x14ac:dyDescent="0.3">
      <c r="B165" s="973">
        <v>151</v>
      </c>
      <c r="C165" s="386" t="s">
        <v>1476</v>
      </c>
      <c r="D165" s="386" t="s">
        <v>1632</v>
      </c>
      <c r="E165" s="121" t="s">
        <v>1478</v>
      </c>
      <c r="F165" s="121"/>
      <c r="G165" s="974">
        <v>44425</v>
      </c>
      <c r="H165" s="974">
        <v>44501</v>
      </c>
      <c r="I165" s="974">
        <f>H165+365</f>
        <v>44866</v>
      </c>
      <c r="J165" s="974">
        <v>44963</v>
      </c>
      <c r="K165" s="977">
        <v>0.129683888</v>
      </c>
      <c r="L165" s="801"/>
      <c r="M165" s="977">
        <v>0.129683888</v>
      </c>
      <c r="N165" s="977">
        <v>0.13616623700000002</v>
      </c>
    </row>
    <row r="166" spans="2:14" ht="28" x14ac:dyDescent="0.3">
      <c r="B166" s="973">
        <v>152</v>
      </c>
      <c r="C166" s="386" t="s">
        <v>1476</v>
      </c>
      <c r="D166" s="386" t="s">
        <v>1633</v>
      </c>
      <c r="E166" s="121" t="s">
        <v>1478</v>
      </c>
      <c r="F166" s="121"/>
      <c r="G166" s="974">
        <v>44414</v>
      </c>
      <c r="H166" s="974">
        <v>44414</v>
      </c>
      <c r="I166" s="974">
        <f>H166+30</f>
        <v>44444</v>
      </c>
      <c r="J166" s="974">
        <v>44436</v>
      </c>
      <c r="K166" s="977">
        <v>1.2781760000000001E-2</v>
      </c>
      <c r="L166" s="801"/>
      <c r="M166" s="977">
        <v>1.2781760000000001E-2</v>
      </c>
      <c r="N166" s="977">
        <v>1.278176E-2</v>
      </c>
    </row>
    <row r="167" spans="2:14" ht="28" x14ac:dyDescent="0.3">
      <c r="B167" s="973">
        <v>153</v>
      </c>
      <c r="C167" s="386" t="s">
        <v>1476</v>
      </c>
      <c r="D167" s="386" t="s">
        <v>1634</v>
      </c>
      <c r="E167" s="121" t="s">
        <v>1478</v>
      </c>
      <c r="F167" s="121"/>
      <c r="G167" s="974">
        <v>44410</v>
      </c>
      <c r="H167" s="974">
        <v>44409</v>
      </c>
      <c r="I167" s="974">
        <f>H167+365</f>
        <v>44774</v>
      </c>
      <c r="J167" s="974">
        <v>44773</v>
      </c>
      <c r="K167" s="977">
        <v>2.9990408000000003E-2</v>
      </c>
      <c r="L167" s="801"/>
      <c r="M167" s="977">
        <v>2.9990408000000003E-2</v>
      </c>
      <c r="N167" s="977">
        <v>2.9894591999999998E-2</v>
      </c>
    </row>
    <row r="168" spans="2:14" ht="42" x14ac:dyDescent="0.3">
      <c r="B168" s="973">
        <v>154</v>
      </c>
      <c r="C168" s="386" t="s">
        <v>1476</v>
      </c>
      <c r="D168" s="386" t="s">
        <v>1635</v>
      </c>
      <c r="E168" s="121" t="s">
        <v>1478</v>
      </c>
      <c r="F168" s="121"/>
      <c r="G168" s="974">
        <v>44400</v>
      </c>
      <c r="H168" s="974">
        <v>44409</v>
      </c>
      <c r="I168" s="974">
        <f>H168+365</f>
        <v>44774</v>
      </c>
      <c r="J168" s="974">
        <v>44781</v>
      </c>
      <c r="K168" s="977">
        <v>0.141354544</v>
      </c>
      <c r="L168" s="801" t="s">
        <v>1480</v>
      </c>
      <c r="M168" s="977">
        <v>0.141354544</v>
      </c>
      <c r="N168" s="977">
        <v>0.14637582799999999</v>
      </c>
    </row>
    <row r="169" spans="2:14" ht="28" x14ac:dyDescent="0.3">
      <c r="B169" s="973">
        <v>155</v>
      </c>
      <c r="C169" s="386" t="s">
        <v>1476</v>
      </c>
      <c r="D169" s="386" t="s">
        <v>1636</v>
      </c>
      <c r="E169" s="121" t="s">
        <v>1478</v>
      </c>
      <c r="F169" s="121"/>
      <c r="G169" s="974">
        <v>44400</v>
      </c>
      <c r="H169" s="974">
        <v>44400</v>
      </c>
      <c r="I169" s="974"/>
      <c r="J169" s="974">
        <v>44394</v>
      </c>
      <c r="K169" s="977">
        <v>2.6200020000000002E-3</v>
      </c>
      <c r="L169" s="801"/>
      <c r="M169" s="977">
        <v>2.6200020000000002E-3</v>
      </c>
      <c r="N169" s="977">
        <v>2.6200020000000002E-3</v>
      </c>
    </row>
    <row r="170" spans="2:14" ht="42" x14ac:dyDescent="0.3">
      <c r="B170" s="973">
        <v>156</v>
      </c>
      <c r="C170" s="386" t="s">
        <v>1485</v>
      </c>
      <c r="D170" s="386" t="s">
        <v>1637</v>
      </c>
      <c r="E170" s="121" t="s">
        <v>1478</v>
      </c>
      <c r="F170" s="121"/>
      <c r="G170" s="974">
        <v>44389</v>
      </c>
      <c r="H170" s="974">
        <v>44409</v>
      </c>
      <c r="I170" s="974">
        <f>H170+365</f>
        <v>44774</v>
      </c>
      <c r="J170" s="974">
        <v>44852</v>
      </c>
      <c r="K170" s="977">
        <v>0.194289084</v>
      </c>
      <c r="L170" s="801" t="s">
        <v>1480</v>
      </c>
      <c r="M170" s="977">
        <v>0.194289084</v>
      </c>
      <c r="N170" s="977">
        <v>0.14946422799999998</v>
      </c>
    </row>
    <row r="171" spans="2:14" ht="28" x14ac:dyDescent="0.3">
      <c r="B171" s="973">
        <v>157</v>
      </c>
      <c r="C171" s="386" t="s">
        <v>1476</v>
      </c>
      <c r="D171" s="386" t="s">
        <v>1638</v>
      </c>
      <c r="E171" s="121" t="s">
        <v>1478</v>
      </c>
      <c r="F171" s="121"/>
      <c r="G171" s="974">
        <v>44389</v>
      </c>
      <c r="H171" s="974">
        <v>44391</v>
      </c>
      <c r="I171" s="974">
        <f>H171+365</f>
        <v>44756</v>
      </c>
      <c r="J171" s="974">
        <v>44773</v>
      </c>
      <c r="K171" s="977">
        <v>8.1701234999999997E-2</v>
      </c>
      <c r="L171" s="801"/>
      <c r="M171" s="977">
        <v>8.1701234999999997E-2</v>
      </c>
      <c r="N171" s="977">
        <v>9.0016848999999996E-2</v>
      </c>
    </row>
    <row r="172" spans="2:14" ht="28" x14ac:dyDescent="0.3">
      <c r="B172" s="973">
        <v>158</v>
      </c>
      <c r="C172" s="386" t="s">
        <v>1476</v>
      </c>
      <c r="D172" s="386" t="s">
        <v>1639</v>
      </c>
      <c r="E172" s="121" t="s">
        <v>1478</v>
      </c>
      <c r="F172" s="121"/>
      <c r="G172" s="974">
        <v>44384</v>
      </c>
      <c r="H172" s="974">
        <v>44384</v>
      </c>
      <c r="I172" s="974"/>
      <c r="J172" s="974">
        <v>44396</v>
      </c>
      <c r="K172" s="977">
        <v>6.1832220000000004E-3</v>
      </c>
      <c r="L172" s="801"/>
      <c r="M172" s="977">
        <v>6.1832220000000004E-3</v>
      </c>
      <c r="N172" s="977">
        <v>6.1832220000000004E-3</v>
      </c>
    </row>
    <row r="173" spans="2:14" ht="28" x14ac:dyDescent="0.3">
      <c r="B173" s="973">
        <v>159</v>
      </c>
      <c r="C173" s="386" t="s">
        <v>1476</v>
      </c>
      <c r="D173" s="386" t="s">
        <v>1640</v>
      </c>
      <c r="E173" s="121" t="s">
        <v>1478</v>
      </c>
      <c r="F173" s="121"/>
      <c r="G173" s="974">
        <v>44383</v>
      </c>
      <c r="H173" s="974">
        <v>44446</v>
      </c>
      <c r="I173" s="974">
        <f>H173+30</f>
        <v>44476</v>
      </c>
      <c r="J173" s="974">
        <v>44452</v>
      </c>
      <c r="K173" s="977">
        <v>2.2891999999999999E-2</v>
      </c>
      <c r="L173" s="801"/>
      <c r="M173" s="977">
        <v>2.2891999999999999E-2</v>
      </c>
      <c r="N173" s="977">
        <v>2.2891999999999999E-2</v>
      </c>
    </row>
    <row r="174" spans="2:14" ht="28" x14ac:dyDescent="0.3">
      <c r="B174" s="973">
        <v>160</v>
      </c>
      <c r="C174" s="386" t="s">
        <v>1476</v>
      </c>
      <c r="D174" s="386" t="s">
        <v>1641</v>
      </c>
      <c r="E174" s="121" t="s">
        <v>1478</v>
      </c>
      <c r="F174" s="121"/>
      <c r="G174" s="974">
        <v>44376</v>
      </c>
      <c r="H174" s="974">
        <v>44376</v>
      </c>
      <c r="I174" s="974"/>
      <c r="J174" s="974">
        <v>44368</v>
      </c>
      <c r="K174" s="977">
        <v>9.7999900000000006E-4</v>
      </c>
      <c r="L174" s="801"/>
      <c r="M174" s="977">
        <v>9.7999900000000006E-4</v>
      </c>
      <c r="N174" s="977">
        <v>9.7999900000000006E-4</v>
      </c>
    </row>
    <row r="175" spans="2:14" ht="28" x14ac:dyDescent="0.3">
      <c r="B175" s="973">
        <v>161</v>
      </c>
      <c r="C175" s="386" t="s">
        <v>1476</v>
      </c>
      <c r="D175" s="386" t="s">
        <v>1642</v>
      </c>
      <c r="E175" s="121" t="s">
        <v>1478</v>
      </c>
      <c r="F175" s="121"/>
      <c r="G175" s="974">
        <v>44376</v>
      </c>
      <c r="H175" s="974">
        <v>44376</v>
      </c>
      <c r="I175" s="974"/>
      <c r="J175" s="974">
        <v>44378</v>
      </c>
      <c r="K175" s="977">
        <v>1.049999E-3</v>
      </c>
      <c r="L175" s="801"/>
      <c r="M175" s="977">
        <v>1.049999E-3</v>
      </c>
      <c r="N175" s="977">
        <v>1.0499999999999999E-3</v>
      </c>
    </row>
    <row r="176" spans="2:14" ht="42" x14ac:dyDescent="0.3">
      <c r="B176" s="973">
        <v>162</v>
      </c>
      <c r="C176" s="386" t="s">
        <v>1476</v>
      </c>
      <c r="D176" s="386" t="s">
        <v>1643</v>
      </c>
      <c r="E176" s="121" t="s">
        <v>1478</v>
      </c>
      <c r="F176" s="121"/>
      <c r="G176" s="974">
        <v>44375</v>
      </c>
      <c r="H176" s="974">
        <v>44375</v>
      </c>
      <c r="I176" s="974">
        <f>H176+365</f>
        <v>44740</v>
      </c>
      <c r="J176" s="974">
        <v>44804</v>
      </c>
      <c r="K176" s="977">
        <v>0.19948302900000001</v>
      </c>
      <c r="L176" s="801" t="s">
        <v>1480</v>
      </c>
      <c r="M176" s="977">
        <v>0.19948302900000001</v>
      </c>
      <c r="N176" s="977">
        <v>0.196898833</v>
      </c>
    </row>
    <row r="177" spans="2:14" ht="42" x14ac:dyDescent="0.3">
      <c r="B177" s="973">
        <v>163</v>
      </c>
      <c r="C177" s="386" t="s">
        <v>1476</v>
      </c>
      <c r="D177" s="386" t="s">
        <v>1644</v>
      </c>
      <c r="E177" s="121" t="s">
        <v>1478</v>
      </c>
      <c r="F177" s="121"/>
      <c r="G177" s="974">
        <v>44375</v>
      </c>
      <c r="H177" s="974">
        <v>44352</v>
      </c>
      <c r="I177" s="974">
        <f>H177+365</f>
        <v>44717</v>
      </c>
      <c r="J177" s="974">
        <v>44738</v>
      </c>
      <c r="K177" s="977">
        <v>0.364369422</v>
      </c>
      <c r="L177" s="801" t="s">
        <v>1480</v>
      </c>
      <c r="M177" s="977">
        <v>0.364369422</v>
      </c>
      <c r="N177" s="977">
        <v>0.38231867200000008</v>
      </c>
    </row>
    <row r="178" spans="2:14" ht="28" x14ac:dyDescent="0.3">
      <c r="B178" s="973">
        <v>164</v>
      </c>
      <c r="C178" s="386" t="s">
        <v>1485</v>
      </c>
      <c r="D178" s="386" t="s">
        <v>1645</v>
      </c>
      <c r="E178" s="121" t="s">
        <v>1478</v>
      </c>
      <c r="F178" s="121"/>
      <c r="G178" s="974">
        <v>44328</v>
      </c>
      <c r="H178" s="974">
        <v>44328</v>
      </c>
      <c r="I178" s="974"/>
      <c r="J178" s="974">
        <v>44393</v>
      </c>
      <c r="K178" s="977">
        <v>5.2185500000000003E-2</v>
      </c>
      <c r="L178" s="801"/>
      <c r="M178" s="977">
        <v>5.2185500000000003E-2</v>
      </c>
      <c r="N178" s="977">
        <v>5.2185500000000003E-2</v>
      </c>
    </row>
    <row r="179" spans="2:14" ht="28" x14ac:dyDescent="0.3">
      <c r="B179" s="973">
        <v>165</v>
      </c>
      <c r="C179" s="386" t="s">
        <v>1476</v>
      </c>
      <c r="D179" s="386" t="s">
        <v>1646</v>
      </c>
      <c r="E179" s="121" t="s">
        <v>1478</v>
      </c>
      <c r="F179" s="121"/>
      <c r="G179" s="974">
        <v>44323</v>
      </c>
      <c r="H179" s="974">
        <v>44354</v>
      </c>
      <c r="I179" s="974"/>
      <c r="J179" s="974">
        <v>44368</v>
      </c>
      <c r="K179" s="977">
        <v>2.3671979999999999E-2</v>
      </c>
      <c r="L179" s="801"/>
      <c r="M179" s="977">
        <v>2.3671979999999999E-2</v>
      </c>
      <c r="N179" s="977">
        <v>2.3671979999999999E-2</v>
      </c>
    </row>
    <row r="180" spans="2:14" ht="28" x14ac:dyDescent="0.3">
      <c r="B180" s="973">
        <v>166</v>
      </c>
      <c r="C180" s="386" t="s">
        <v>1476</v>
      </c>
      <c r="D180" s="386" t="s">
        <v>1647</v>
      </c>
      <c r="E180" s="121" t="s">
        <v>1478</v>
      </c>
      <c r="F180" s="121"/>
      <c r="G180" s="974">
        <v>44316</v>
      </c>
      <c r="H180" s="974">
        <v>44348</v>
      </c>
      <c r="I180" s="974">
        <f>H180+270</f>
        <v>44618</v>
      </c>
      <c r="J180" s="974">
        <v>44651</v>
      </c>
      <c r="K180" s="977">
        <v>2.0608768E-2</v>
      </c>
      <c r="L180" s="801"/>
      <c r="M180" s="977">
        <v>2.0608768E-2</v>
      </c>
      <c r="N180" s="977">
        <v>2.0432628000000001E-2</v>
      </c>
    </row>
    <row r="181" spans="2:14" ht="28" x14ac:dyDescent="0.3">
      <c r="B181" s="973">
        <v>167</v>
      </c>
      <c r="C181" s="386" t="s">
        <v>1476</v>
      </c>
      <c r="D181" s="386" t="s">
        <v>1648</v>
      </c>
      <c r="E181" s="121" t="s">
        <v>1478</v>
      </c>
      <c r="F181" s="121"/>
      <c r="G181" s="974">
        <v>44316</v>
      </c>
      <c r="H181" s="974">
        <v>44316</v>
      </c>
      <c r="I181" s="974"/>
      <c r="J181" s="974">
        <v>44319</v>
      </c>
      <c r="K181" s="977">
        <v>9.7000000000000005E-4</v>
      </c>
      <c r="L181" s="801"/>
      <c r="M181" s="977">
        <v>9.7000000000000005E-4</v>
      </c>
      <c r="N181" s="977">
        <v>9.7000000000000005E-4</v>
      </c>
    </row>
    <row r="182" spans="2:14" ht="42" x14ac:dyDescent="0.3">
      <c r="B182" s="973">
        <v>168</v>
      </c>
      <c r="C182" s="386" t="s">
        <v>1476</v>
      </c>
      <c r="D182" s="386" t="s">
        <v>1649</v>
      </c>
      <c r="E182" s="121" t="s">
        <v>1478</v>
      </c>
      <c r="F182" s="121"/>
      <c r="G182" s="974">
        <v>44316</v>
      </c>
      <c r="H182" s="974">
        <v>44348</v>
      </c>
      <c r="I182" s="974">
        <f>H182+180</f>
        <v>44528</v>
      </c>
      <c r="J182" s="974">
        <v>44469</v>
      </c>
      <c r="K182" s="977">
        <v>3.4246355999999999E-2</v>
      </c>
      <c r="L182" s="801" t="s">
        <v>1480</v>
      </c>
      <c r="M182" s="977">
        <v>3.4246355999999999E-2</v>
      </c>
      <c r="N182" s="977">
        <v>3.4728405999999996E-2</v>
      </c>
    </row>
    <row r="183" spans="2:14" ht="28" x14ac:dyDescent="0.3">
      <c r="B183" s="973">
        <v>169</v>
      </c>
      <c r="C183" s="386" t="s">
        <v>1476</v>
      </c>
      <c r="D183" s="386" t="s">
        <v>1650</v>
      </c>
      <c r="E183" s="121" t="s">
        <v>1478</v>
      </c>
      <c r="F183" s="121"/>
      <c r="G183" s="974">
        <v>44312</v>
      </c>
      <c r="H183" s="974">
        <v>44312</v>
      </c>
      <c r="I183" s="974"/>
      <c r="J183" s="974">
        <v>44316</v>
      </c>
      <c r="K183" s="977">
        <v>1.7847499999999999E-2</v>
      </c>
      <c r="L183" s="801"/>
      <c r="M183" s="977">
        <v>1.7847499999999999E-2</v>
      </c>
      <c r="N183" s="977">
        <v>1.7847499999999999E-2</v>
      </c>
    </row>
    <row r="184" spans="2:14" ht="42" x14ac:dyDescent="0.3">
      <c r="B184" s="973">
        <v>170</v>
      </c>
      <c r="C184" s="386" t="s">
        <v>1476</v>
      </c>
      <c r="D184" s="386" t="s">
        <v>1651</v>
      </c>
      <c r="E184" s="121" t="s">
        <v>1478</v>
      </c>
      <c r="F184" s="121"/>
      <c r="G184" s="974">
        <v>44310</v>
      </c>
      <c r="H184" s="974">
        <v>44311</v>
      </c>
      <c r="I184" s="974">
        <f>H184+365</f>
        <v>44676</v>
      </c>
      <c r="J184" s="974">
        <v>44712</v>
      </c>
      <c r="K184" s="977">
        <v>6.6232927999999996E-2</v>
      </c>
      <c r="L184" s="801" t="s">
        <v>1480</v>
      </c>
      <c r="M184" s="977">
        <v>6.6232927999999996E-2</v>
      </c>
      <c r="N184" s="977">
        <v>6.4755567999999999E-2</v>
      </c>
    </row>
    <row r="185" spans="2:14" ht="28" x14ac:dyDescent="0.3">
      <c r="B185" s="973">
        <v>171</v>
      </c>
      <c r="C185" s="386" t="s">
        <v>1476</v>
      </c>
      <c r="D185" s="386" t="s">
        <v>1652</v>
      </c>
      <c r="E185" s="121" t="s">
        <v>1478</v>
      </c>
      <c r="F185" s="121"/>
      <c r="G185" s="974">
        <v>44281</v>
      </c>
      <c r="H185" s="974">
        <v>44281</v>
      </c>
      <c r="I185" s="974">
        <f>H185+120</f>
        <v>44401</v>
      </c>
      <c r="J185" s="974">
        <v>44401</v>
      </c>
      <c r="K185" s="977">
        <v>3.4692000000000001E-2</v>
      </c>
      <c r="L185" s="801"/>
      <c r="M185" s="977">
        <v>3.4692000000000001E-2</v>
      </c>
      <c r="N185" s="977">
        <v>3.4692000000000001E-2</v>
      </c>
    </row>
    <row r="186" spans="2:14" ht="28" x14ac:dyDescent="0.3">
      <c r="B186" s="973">
        <v>172</v>
      </c>
      <c r="C186" s="386" t="s">
        <v>1476</v>
      </c>
      <c r="D186" s="386" t="s">
        <v>1653</v>
      </c>
      <c r="E186" s="121" t="s">
        <v>1478</v>
      </c>
      <c r="F186" s="121"/>
      <c r="G186" s="974">
        <v>44274</v>
      </c>
      <c r="H186" s="974">
        <v>44274</v>
      </c>
      <c r="I186" s="974">
        <f>H186+45</f>
        <v>44319</v>
      </c>
      <c r="J186" s="974">
        <v>44573</v>
      </c>
      <c r="K186" s="977">
        <v>0.20112328000000002</v>
      </c>
      <c r="L186" s="801"/>
      <c r="M186" s="977">
        <v>0.20112328000000002</v>
      </c>
      <c r="N186" s="977">
        <v>0.20112328000000002</v>
      </c>
    </row>
    <row r="187" spans="2:14" ht="42" x14ac:dyDescent="0.3">
      <c r="B187" s="973">
        <v>173</v>
      </c>
      <c r="C187" s="386" t="s">
        <v>1476</v>
      </c>
      <c r="D187" s="386" t="s">
        <v>1654</v>
      </c>
      <c r="E187" s="121" t="s">
        <v>1478</v>
      </c>
      <c r="F187" s="121"/>
      <c r="G187" s="974">
        <v>44273</v>
      </c>
      <c r="H187" s="974">
        <v>44274</v>
      </c>
      <c r="I187" s="974">
        <f>H187+365</f>
        <v>44639</v>
      </c>
      <c r="J187" s="974">
        <v>44530</v>
      </c>
      <c r="K187" s="977">
        <v>0.26242049200000001</v>
      </c>
      <c r="L187" s="801" t="s">
        <v>1480</v>
      </c>
      <c r="M187" s="977">
        <v>0.26242049200000001</v>
      </c>
      <c r="N187" s="977">
        <v>0.26520789999999994</v>
      </c>
    </row>
    <row r="188" spans="2:14" ht="28" x14ac:dyDescent="0.3">
      <c r="B188" s="973">
        <v>174</v>
      </c>
      <c r="C188" s="386" t="s">
        <v>1485</v>
      </c>
      <c r="D188" s="386" t="s">
        <v>1655</v>
      </c>
      <c r="E188" s="121" t="s">
        <v>1483</v>
      </c>
      <c r="F188" s="121"/>
      <c r="G188" s="974">
        <v>44270</v>
      </c>
      <c r="H188" s="974">
        <v>44377</v>
      </c>
      <c r="I188" s="974"/>
      <c r="J188" s="974">
        <v>44379</v>
      </c>
      <c r="K188" s="977">
        <v>3.2214E-2</v>
      </c>
      <c r="L188" s="121"/>
      <c r="M188" s="977">
        <v>3.2214E-2</v>
      </c>
      <c r="N188" s="977">
        <v>3.2214E-2</v>
      </c>
    </row>
    <row r="189" spans="2:14" ht="28" x14ac:dyDescent="0.3">
      <c r="B189" s="973">
        <v>175</v>
      </c>
      <c r="C189" s="386" t="s">
        <v>1476</v>
      </c>
      <c r="D189" s="386" t="s">
        <v>1656</v>
      </c>
      <c r="E189" s="121" t="s">
        <v>1478</v>
      </c>
      <c r="F189" s="121"/>
      <c r="G189" s="974">
        <v>44268</v>
      </c>
      <c r="H189" s="974">
        <v>44270</v>
      </c>
      <c r="I189" s="974">
        <f>H189+120</f>
        <v>44390</v>
      </c>
      <c r="J189" s="974">
        <v>44376</v>
      </c>
      <c r="K189" s="977">
        <v>2.08624E-2</v>
      </c>
      <c r="L189" s="121"/>
      <c r="M189" s="977">
        <v>2.08624E-2</v>
      </c>
      <c r="N189" s="977">
        <v>2.08624E-2</v>
      </c>
    </row>
    <row r="190" spans="2:14" ht="28" x14ac:dyDescent="0.3">
      <c r="B190" s="973">
        <v>176</v>
      </c>
      <c r="C190" s="386" t="s">
        <v>1476</v>
      </c>
      <c r="D190" s="386" t="s">
        <v>1657</v>
      </c>
      <c r="E190" s="121" t="s">
        <v>1478</v>
      </c>
      <c r="F190" s="121"/>
      <c r="G190" s="974">
        <v>44259</v>
      </c>
      <c r="H190" s="974">
        <v>44259</v>
      </c>
      <c r="I190" s="974"/>
      <c r="J190" s="974">
        <v>44243</v>
      </c>
      <c r="K190" s="977">
        <v>1.98E-3</v>
      </c>
      <c r="L190" s="121"/>
      <c r="M190" s="977">
        <v>1.98E-3</v>
      </c>
      <c r="N190" s="977">
        <v>9.9000000000000001E-6</v>
      </c>
    </row>
    <row r="191" spans="2:14" ht="28" x14ac:dyDescent="0.3">
      <c r="B191" s="973">
        <v>177</v>
      </c>
      <c r="C191" s="386" t="s">
        <v>1476</v>
      </c>
      <c r="D191" s="386" t="s">
        <v>1658</v>
      </c>
      <c r="E191" s="121" t="s">
        <v>1478</v>
      </c>
      <c r="F191" s="121"/>
      <c r="G191" s="974">
        <v>44256</v>
      </c>
      <c r="H191" s="974">
        <v>44256</v>
      </c>
      <c r="I191" s="974">
        <f>H191+30</f>
        <v>44286</v>
      </c>
      <c r="J191" s="974">
        <v>44281</v>
      </c>
      <c r="K191" s="977">
        <v>1.8498859999999999E-2</v>
      </c>
      <c r="L191" s="121"/>
      <c r="M191" s="977">
        <v>1.8498859999999999E-2</v>
      </c>
      <c r="N191" s="977">
        <v>1.8498859999999999E-2</v>
      </c>
    </row>
    <row r="192" spans="2:14" ht="28" x14ac:dyDescent="0.3">
      <c r="B192" s="973">
        <v>178</v>
      </c>
      <c r="C192" s="386" t="s">
        <v>1476</v>
      </c>
      <c r="D192" s="386" t="s">
        <v>1659</v>
      </c>
      <c r="E192" s="121" t="s">
        <v>1478</v>
      </c>
      <c r="F192" s="121"/>
      <c r="G192" s="974">
        <v>44256</v>
      </c>
      <c r="H192" s="974">
        <v>44256</v>
      </c>
      <c r="I192" s="974"/>
      <c r="J192" s="974">
        <v>44258</v>
      </c>
      <c r="K192" s="977">
        <v>7.7499999999999999E-3</v>
      </c>
      <c r="L192" s="121"/>
      <c r="M192" s="977">
        <v>7.7499999999999999E-3</v>
      </c>
      <c r="N192" s="977">
        <v>3.8800000000000001E-5</v>
      </c>
    </row>
    <row r="193" spans="2:14" ht="28" x14ac:dyDescent="0.3">
      <c r="B193" s="973">
        <v>179</v>
      </c>
      <c r="C193" s="386" t="s">
        <v>1476</v>
      </c>
      <c r="D193" s="386" t="s">
        <v>1660</v>
      </c>
      <c r="E193" s="121" t="s">
        <v>1478</v>
      </c>
      <c r="F193" s="121"/>
      <c r="G193" s="974">
        <v>44232</v>
      </c>
      <c r="H193" s="974">
        <v>44239</v>
      </c>
      <c r="I193" s="974">
        <f>H193+365</f>
        <v>44604</v>
      </c>
      <c r="J193" s="974">
        <v>44833</v>
      </c>
      <c r="K193" s="977">
        <v>3.7371440000000006E-2</v>
      </c>
      <c r="L193" s="121"/>
      <c r="M193" s="977">
        <v>3.7371440000000006E-2</v>
      </c>
      <c r="N193" s="977">
        <v>3.7271803999999999E-2</v>
      </c>
    </row>
    <row r="194" spans="2:14" ht="28" x14ac:dyDescent="0.3">
      <c r="B194" s="973">
        <v>180</v>
      </c>
      <c r="C194" s="386" t="s">
        <v>1476</v>
      </c>
      <c r="D194" s="386" t="s">
        <v>1661</v>
      </c>
      <c r="E194" s="121" t="s">
        <v>1478</v>
      </c>
      <c r="F194" s="121"/>
      <c r="G194" s="974">
        <v>44231</v>
      </c>
      <c r="H194" s="974">
        <v>44231</v>
      </c>
      <c r="I194" s="974"/>
      <c r="J194" s="974">
        <v>44244</v>
      </c>
      <c r="K194" s="977">
        <v>3.3928510000000001E-3</v>
      </c>
      <c r="L194" s="121"/>
      <c r="M194" s="977">
        <v>3.3928510000000001E-3</v>
      </c>
      <c r="N194" s="977">
        <v>3.3928510000000001E-3</v>
      </c>
    </row>
    <row r="195" spans="2:14" ht="28" x14ac:dyDescent="0.3">
      <c r="B195" s="973">
        <v>181</v>
      </c>
      <c r="C195" s="386" t="s">
        <v>1476</v>
      </c>
      <c r="D195" s="386" t="s">
        <v>1662</v>
      </c>
      <c r="E195" s="121" t="s">
        <v>1478</v>
      </c>
      <c r="F195" s="121"/>
      <c r="G195" s="974">
        <v>44215</v>
      </c>
      <c r="H195" s="974">
        <v>44215</v>
      </c>
      <c r="I195" s="974">
        <f>H195+30</f>
        <v>44245</v>
      </c>
      <c r="J195" s="974">
        <v>44230</v>
      </c>
      <c r="K195" s="977">
        <v>2.1699919000000002E-2</v>
      </c>
      <c r="L195" s="121"/>
      <c r="M195" s="977">
        <v>2.1699919000000002E-2</v>
      </c>
      <c r="N195" s="977">
        <v>2.3319419000000001E-2</v>
      </c>
    </row>
    <row r="196" spans="2:14" ht="28" x14ac:dyDescent="0.3">
      <c r="B196" s="973">
        <v>182</v>
      </c>
      <c r="C196" s="386" t="s">
        <v>1476</v>
      </c>
      <c r="D196" s="386" t="s">
        <v>1663</v>
      </c>
      <c r="E196" s="121" t="s">
        <v>1478</v>
      </c>
      <c r="F196" s="121"/>
      <c r="G196" s="974">
        <v>44204</v>
      </c>
      <c r="H196" s="974">
        <v>44207</v>
      </c>
      <c r="I196" s="974">
        <f>H196+365</f>
        <v>44572</v>
      </c>
      <c r="J196" s="974">
        <v>44221</v>
      </c>
      <c r="K196" s="977">
        <v>1.26024E-2</v>
      </c>
      <c r="L196" s="121"/>
      <c r="M196" s="977">
        <v>1.26024E-2</v>
      </c>
      <c r="N196" s="977">
        <v>1.3232520000000001E-2</v>
      </c>
    </row>
    <row r="197" spans="2:14" ht="28" x14ac:dyDescent="0.3">
      <c r="B197" s="973">
        <v>183</v>
      </c>
      <c r="C197" s="386" t="s">
        <v>1476</v>
      </c>
      <c r="D197" s="386" t="s">
        <v>1664</v>
      </c>
      <c r="E197" s="121" t="s">
        <v>1478</v>
      </c>
      <c r="F197" s="121"/>
      <c r="G197" s="974">
        <v>44204</v>
      </c>
      <c r="H197" s="974">
        <v>44207</v>
      </c>
      <c r="I197" s="974">
        <f>H197+365</f>
        <v>44572</v>
      </c>
      <c r="J197" s="974">
        <v>44568</v>
      </c>
      <c r="K197" s="977">
        <v>2.1239999999999998E-2</v>
      </c>
      <c r="L197" s="121"/>
      <c r="M197" s="977">
        <v>2.1239999999999998E-2</v>
      </c>
      <c r="N197" s="977">
        <v>2.1239999999999998E-2</v>
      </c>
    </row>
    <row r="198" spans="2:14" ht="28" x14ac:dyDescent="0.3">
      <c r="B198" s="973">
        <v>184</v>
      </c>
      <c r="C198" s="386" t="s">
        <v>1476</v>
      </c>
      <c r="D198" s="386" t="s">
        <v>1665</v>
      </c>
      <c r="E198" s="121" t="s">
        <v>1483</v>
      </c>
      <c r="F198" s="121"/>
      <c r="G198" s="974">
        <v>44193</v>
      </c>
      <c r="H198" s="974">
        <v>44197</v>
      </c>
      <c r="I198" s="974">
        <f>H198+365</f>
        <v>44562</v>
      </c>
      <c r="J198" s="974">
        <v>44592</v>
      </c>
      <c r="K198" s="977">
        <v>2.0999279999999998</v>
      </c>
      <c r="L198" s="121"/>
      <c r="M198" s="977">
        <v>2.0999279999999998</v>
      </c>
      <c r="N198" s="977">
        <v>2.0920643619999999</v>
      </c>
    </row>
    <row r="199" spans="2:14" ht="28" x14ac:dyDescent="0.3">
      <c r="B199" s="973">
        <v>185</v>
      </c>
      <c r="C199" s="386" t="s">
        <v>1476</v>
      </c>
      <c r="D199" s="386" t="s">
        <v>1666</v>
      </c>
      <c r="E199" s="121" t="s">
        <v>1478</v>
      </c>
      <c r="F199" s="121"/>
      <c r="G199" s="974">
        <v>44173</v>
      </c>
      <c r="H199" s="974">
        <v>44173</v>
      </c>
      <c r="I199" s="974"/>
      <c r="J199" s="974">
        <v>44168</v>
      </c>
      <c r="K199" s="977">
        <v>9.2400000000000002E-4</v>
      </c>
      <c r="L199" s="121"/>
      <c r="M199" s="977">
        <v>9.2400000000000002E-4</v>
      </c>
      <c r="N199" s="977">
        <v>9.2400000000000002E-4</v>
      </c>
    </row>
    <row r="200" spans="2:14" ht="28" x14ac:dyDescent="0.3">
      <c r="B200" s="973">
        <v>186</v>
      </c>
      <c r="C200" s="386" t="s">
        <v>1476</v>
      </c>
      <c r="D200" s="386" t="s">
        <v>1667</v>
      </c>
      <c r="E200" s="121" t="s">
        <v>1478</v>
      </c>
      <c r="F200" s="121"/>
      <c r="G200" s="974">
        <v>44173</v>
      </c>
      <c r="H200" s="974">
        <v>44173</v>
      </c>
      <c r="I200" s="974"/>
      <c r="J200" s="974">
        <v>44183</v>
      </c>
      <c r="K200" s="977">
        <v>1.229995E-3</v>
      </c>
      <c r="L200" s="121"/>
      <c r="M200" s="977">
        <v>1.229995E-3</v>
      </c>
      <c r="N200" s="977">
        <v>1.229995E-3</v>
      </c>
    </row>
    <row r="201" spans="2:14" ht="28" x14ac:dyDescent="0.3">
      <c r="B201" s="973">
        <v>187</v>
      </c>
      <c r="C201" s="386" t="s">
        <v>1476</v>
      </c>
      <c r="D201" s="386" t="s">
        <v>1668</v>
      </c>
      <c r="E201" s="121" t="s">
        <v>1483</v>
      </c>
      <c r="F201" s="121"/>
      <c r="G201" s="974">
        <v>44154</v>
      </c>
      <c r="H201" s="974">
        <v>44166</v>
      </c>
      <c r="I201" s="974">
        <f>H201+30</f>
        <v>44196</v>
      </c>
      <c r="J201" s="974">
        <v>44196</v>
      </c>
      <c r="K201" s="977">
        <v>0.17499400000000001</v>
      </c>
      <c r="L201" s="121"/>
      <c r="M201" s="977">
        <v>0.17499400000000001</v>
      </c>
      <c r="N201" s="977">
        <v>0.16562621600000002</v>
      </c>
    </row>
    <row r="202" spans="2:14" ht="28" x14ac:dyDescent="0.3">
      <c r="B202" s="973">
        <v>188</v>
      </c>
      <c r="C202" s="386" t="s">
        <v>1476</v>
      </c>
      <c r="D202" s="386" t="s">
        <v>1669</v>
      </c>
      <c r="E202" s="121" t="s">
        <v>1478</v>
      </c>
      <c r="F202" s="121"/>
      <c r="G202" s="974">
        <v>44132</v>
      </c>
      <c r="H202" s="974">
        <v>44132</v>
      </c>
      <c r="I202" s="974"/>
      <c r="J202" s="974">
        <v>44156</v>
      </c>
      <c r="K202" s="977">
        <v>1.6595990000000001E-3</v>
      </c>
      <c r="L202" s="121"/>
      <c r="M202" s="977">
        <v>1.6595990000000001E-3</v>
      </c>
      <c r="N202" s="977">
        <v>3.3198999999999998E-5</v>
      </c>
    </row>
    <row r="203" spans="2:14" ht="28" x14ac:dyDescent="0.3">
      <c r="B203" s="973">
        <v>189</v>
      </c>
      <c r="C203" s="386" t="s">
        <v>1476</v>
      </c>
      <c r="D203" s="386" t="s">
        <v>1670</v>
      </c>
      <c r="E203" s="121" t="s">
        <v>1478</v>
      </c>
      <c r="F203" s="121"/>
      <c r="G203" s="974">
        <v>44130</v>
      </c>
      <c r="H203" s="974">
        <v>44130</v>
      </c>
      <c r="I203" s="974"/>
      <c r="J203" s="974">
        <v>44132</v>
      </c>
      <c r="K203" s="977">
        <v>9.8408000000000002E-3</v>
      </c>
      <c r="L203" s="121"/>
      <c r="M203" s="977">
        <v>9.8408000000000002E-3</v>
      </c>
      <c r="N203" s="977">
        <v>9.8408000000000002E-3</v>
      </c>
    </row>
    <row r="204" spans="2:14" ht="28" x14ac:dyDescent="0.3">
      <c r="B204" s="973">
        <v>190</v>
      </c>
      <c r="C204" s="386" t="s">
        <v>1476</v>
      </c>
      <c r="D204" s="386" t="s">
        <v>1671</v>
      </c>
      <c r="E204" s="121" t="s">
        <v>1478</v>
      </c>
      <c r="F204" s="121"/>
      <c r="G204" s="974">
        <v>44123</v>
      </c>
      <c r="H204" s="974">
        <v>44123</v>
      </c>
      <c r="I204" s="974">
        <f>H204+45</f>
        <v>44168</v>
      </c>
      <c r="J204" s="974">
        <v>44230</v>
      </c>
      <c r="K204" s="977">
        <v>2.2135679999999998E-2</v>
      </c>
      <c r="L204" s="121"/>
      <c r="M204" s="977">
        <v>2.2135679999999998E-2</v>
      </c>
      <c r="N204" s="977">
        <v>2.2135679999999998E-2</v>
      </c>
    </row>
    <row r="205" spans="2:14" ht="28" x14ac:dyDescent="0.3">
      <c r="B205" s="973">
        <v>191</v>
      </c>
      <c r="C205" s="386" t="s">
        <v>1476</v>
      </c>
      <c r="D205" s="386" t="s">
        <v>1672</v>
      </c>
      <c r="E205" s="121" t="s">
        <v>1478</v>
      </c>
      <c r="F205" s="121"/>
      <c r="G205" s="974">
        <v>44112</v>
      </c>
      <c r="H205" s="974">
        <v>44112</v>
      </c>
      <c r="I205" s="974">
        <f>H205+30</f>
        <v>44142</v>
      </c>
      <c r="J205" s="974">
        <v>44119</v>
      </c>
      <c r="K205" s="977">
        <v>3.0564540000000001E-2</v>
      </c>
      <c r="L205" s="121"/>
      <c r="M205" s="977">
        <v>3.0564540000000001E-2</v>
      </c>
      <c r="N205" s="977">
        <v>3.0564539999999998E-2</v>
      </c>
    </row>
    <row r="206" spans="2:14" ht="28" x14ac:dyDescent="0.3">
      <c r="B206" s="973">
        <v>192</v>
      </c>
      <c r="C206" s="386" t="s">
        <v>1485</v>
      </c>
      <c r="D206" s="386" t="s">
        <v>1673</v>
      </c>
      <c r="E206" s="121" t="s">
        <v>1478</v>
      </c>
      <c r="F206" s="121"/>
      <c r="G206" s="974">
        <v>44111</v>
      </c>
      <c r="H206" s="974">
        <v>44111</v>
      </c>
      <c r="I206" s="974">
        <f>H206+60</f>
        <v>44171</v>
      </c>
      <c r="J206" s="974">
        <v>44286</v>
      </c>
      <c r="K206" s="977">
        <v>9.8300799999999994E-2</v>
      </c>
      <c r="L206" s="121"/>
      <c r="M206" s="977">
        <v>9.8300799999999994E-2</v>
      </c>
      <c r="N206" s="977">
        <v>9.6542600000000006E-2</v>
      </c>
    </row>
    <row r="207" spans="2:14" ht="28" x14ac:dyDescent="0.3">
      <c r="B207" s="973">
        <v>193</v>
      </c>
      <c r="C207" s="386" t="s">
        <v>1476</v>
      </c>
      <c r="D207" s="386" t="s">
        <v>1674</v>
      </c>
      <c r="E207" s="121" t="s">
        <v>1478</v>
      </c>
      <c r="F207" s="121"/>
      <c r="G207" s="974">
        <v>44105</v>
      </c>
      <c r="H207" s="974">
        <v>44105</v>
      </c>
      <c r="I207" s="974">
        <f>H207+30</f>
        <v>44135</v>
      </c>
      <c r="J207" s="974">
        <v>44134</v>
      </c>
      <c r="K207" s="977">
        <v>2.233858E-2</v>
      </c>
      <c r="L207" s="121"/>
      <c r="M207" s="977">
        <v>2.233858E-2</v>
      </c>
      <c r="N207" s="977">
        <v>2.2338580000000004E-2</v>
      </c>
    </row>
    <row r="208" spans="2:14" ht="28" x14ac:dyDescent="0.3">
      <c r="B208" s="973">
        <v>194</v>
      </c>
      <c r="C208" s="386" t="s">
        <v>1485</v>
      </c>
      <c r="D208" s="386" t="s">
        <v>1675</v>
      </c>
      <c r="E208" s="121" t="s">
        <v>1478</v>
      </c>
      <c r="F208" s="121"/>
      <c r="G208" s="974">
        <v>44105</v>
      </c>
      <c r="H208" s="974">
        <v>44105</v>
      </c>
      <c r="I208" s="974">
        <f>H208+45</f>
        <v>44150</v>
      </c>
      <c r="J208" s="974">
        <v>44464</v>
      </c>
      <c r="K208" s="977">
        <v>3.4796019999999997E-2</v>
      </c>
      <c r="L208" s="121"/>
      <c r="M208" s="977">
        <v>3.4796019999999997E-2</v>
      </c>
      <c r="N208" s="977">
        <v>3.4782819999999992E-2</v>
      </c>
    </row>
    <row r="209" spans="2:14" ht="28" x14ac:dyDescent="0.3">
      <c r="B209" s="973">
        <v>195</v>
      </c>
      <c r="C209" s="386" t="s">
        <v>1476</v>
      </c>
      <c r="D209" s="386" t="s">
        <v>1676</v>
      </c>
      <c r="E209" s="121" t="s">
        <v>1478</v>
      </c>
      <c r="F209" s="121"/>
      <c r="G209" s="974">
        <v>44103</v>
      </c>
      <c r="H209" s="974">
        <v>44103</v>
      </c>
      <c r="I209" s="974"/>
      <c r="J209" s="974">
        <v>44156</v>
      </c>
      <c r="K209" s="977">
        <v>7.5499940000000001E-2</v>
      </c>
      <c r="L209" s="121"/>
      <c r="M209" s="977">
        <v>7.5499940000000001E-2</v>
      </c>
      <c r="N209" s="977">
        <v>1.13244E-3</v>
      </c>
    </row>
    <row r="210" spans="2:14" ht="28" x14ac:dyDescent="0.3">
      <c r="B210" s="973">
        <v>196</v>
      </c>
      <c r="C210" s="386" t="s">
        <v>1476</v>
      </c>
      <c r="D210" s="386" t="s">
        <v>1677</v>
      </c>
      <c r="E210" s="121" t="s">
        <v>1478</v>
      </c>
      <c r="F210" s="121"/>
      <c r="G210" s="974">
        <v>44099</v>
      </c>
      <c r="H210" s="974">
        <v>44099</v>
      </c>
      <c r="I210" s="974"/>
      <c r="J210" s="974">
        <v>44189</v>
      </c>
      <c r="K210" s="977">
        <v>4.8833828000000003E-2</v>
      </c>
      <c r="L210" s="121"/>
      <c r="M210" s="977">
        <v>4.8833828000000003E-2</v>
      </c>
      <c r="N210" s="977">
        <v>4.8833828000000003E-2</v>
      </c>
    </row>
    <row r="211" spans="2:14" ht="28" x14ac:dyDescent="0.3">
      <c r="B211" s="973">
        <v>197</v>
      </c>
      <c r="C211" s="386" t="s">
        <v>1476</v>
      </c>
      <c r="D211" s="386" t="s">
        <v>1678</v>
      </c>
      <c r="E211" s="121" t="s">
        <v>1478</v>
      </c>
      <c r="F211" s="121"/>
      <c r="G211" s="974">
        <v>44088</v>
      </c>
      <c r="H211" s="974">
        <v>44107</v>
      </c>
      <c r="I211" s="974">
        <f>H211+180</f>
        <v>44287</v>
      </c>
      <c r="J211" s="974">
        <v>44198</v>
      </c>
      <c r="K211" s="977">
        <v>2.4297970000000002E-2</v>
      </c>
      <c r="L211" s="121"/>
      <c r="M211" s="977">
        <v>2.4297970000000002E-2</v>
      </c>
      <c r="N211" s="977">
        <v>2.4297970000000002E-2</v>
      </c>
    </row>
    <row r="212" spans="2:14" ht="28" x14ac:dyDescent="0.3">
      <c r="B212" s="973">
        <v>198</v>
      </c>
      <c r="C212" s="386" t="s">
        <v>1476</v>
      </c>
      <c r="D212" s="386" t="s">
        <v>1679</v>
      </c>
      <c r="E212" s="121" t="s">
        <v>1478</v>
      </c>
      <c r="F212" s="121"/>
      <c r="G212" s="974">
        <v>44083</v>
      </c>
      <c r="H212" s="974">
        <v>44083</v>
      </c>
      <c r="I212" s="974"/>
      <c r="J212" s="974">
        <v>44158</v>
      </c>
      <c r="K212" s="977">
        <v>2.8999680000000002E-3</v>
      </c>
      <c r="L212" s="121"/>
      <c r="M212" s="977">
        <v>2.8999680000000002E-3</v>
      </c>
      <c r="N212" s="977">
        <v>2.8999680000000002E-3</v>
      </c>
    </row>
    <row r="213" spans="2:14" ht="28" x14ac:dyDescent="0.3">
      <c r="B213" s="973">
        <v>199</v>
      </c>
      <c r="C213" s="386" t="s">
        <v>1476</v>
      </c>
      <c r="D213" s="386" t="s">
        <v>1680</v>
      </c>
      <c r="E213" s="121" t="s">
        <v>1478</v>
      </c>
      <c r="F213" s="121"/>
      <c r="G213" s="974">
        <v>44082</v>
      </c>
      <c r="H213" s="974">
        <v>44082</v>
      </c>
      <c r="I213" s="974">
        <f>H213+365</f>
        <v>44447</v>
      </c>
      <c r="J213" s="974">
        <v>44281</v>
      </c>
      <c r="K213" s="977">
        <v>4.1139000000000002E-2</v>
      </c>
      <c r="L213" s="121"/>
      <c r="M213" s="977">
        <v>4.1139000000000002E-2</v>
      </c>
      <c r="N213" s="977">
        <v>4.3195952000000003E-2</v>
      </c>
    </row>
    <row r="214" spans="2:14" ht="28" x14ac:dyDescent="0.3">
      <c r="B214" s="973">
        <v>200</v>
      </c>
      <c r="C214" s="386" t="s">
        <v>1476</v>
      </c>
      <c r="D214" s="386" t="s">
        <v>1681</v>
      </c>
      <c r="E214" s="121" t="s">
        <v>1478</v>
      </c>
      <c r="F214" s="121"/>
      <c r="G214" s="974">
        <v>44068</v>
      </c>
      <c r="H214" s="974">
        <v>44068</v>
      </c>
      <c r="I214" s="974"/>
      <c r="J214" s="974">
        <v>44067</v>
      </c>
      <c r="K214" s="977">
        <v>1.3124790000000001E-3</v>
      </c>
      <c r="L214" s="121"/>
      <c r="M214" s="977">
        <v>1.3124790000000001E-3</v>
      </c>
      <c r="N214" s="977">
        <v>1.3124790000000001E-3</v>
      </c>
    </row>
    <row r="215" spans="2:14" ht="28" x14ac:dyDescent="0.3">
      <c r="B215" s="973">
        <v>201</v>
      </c>
      <c r="C215" s="386" t="s">
        <v>1476</v>
      </c>
      <c r="D215" s="386" t="s">
        <v>1682</v>
      </c>
      <c r="E215" s="121" t="s">
        <v>1478</v>
      </c>
      <c r="F215" s="121"/>
      <c r="G215" s="974">
        <v>44056</v>
      </c>
      <c r="H215" s="974">
        <v>44056</v>
      </c>
      <c r="I215" s="974">
        <f>H215+25</f>
        <v>44081</v>
      </c>
      <c r="J215" s="974">
        <v>44135</v>
      </c>
      <c r="K215" s="977">
        <v>0.14419599999999999</v>
      </c>
      <c r="L215" s="121"/>
      <c r="M215" s="977">
        <v>0.14419599999999999</v>
      </c>
      <c r="N215" s="977">
        <v>3.0620000000000001E-3</v>
      </c>
    </row>
    <row r="216" spans="2:14" ht="28" x14ac:dyDescent="0.3">
      <c r="B216" s="973">
        <v>202</v>
      </c>
      <c r="C216" s="386" t="s">
        <v>1476</v>
      </c>
      <c r="D216" s="386" t="s">
        <v>1683</v>
      </c>
      <c r="E216" s="121" t="s">
        <v>1478</v>
      </c>
      <c r="F216" s="121"/>
      <c r="G216" s="974">
        <v>44056</v>
      </c>
      <c r="H216" s="974">
        <v>44056</v>
      </c>
      <c r="I216" s="974">
        <f>H216+30</f>
        <v>44086</v>
      </c>
      <c r="J216" s="974">
        <v>44076</v>
      </c>
      <c r="K216" s="977">
        <v>2.6727589999999996E-2</v>
      </c>
      <c r="L216" s="121"/>
      <c r="M216" s="977">
        <v>2.6727589999999996E-2</v>
      </c>
      <c r="N216" s="977">
        <v>2.6727589999999996E-2</v>
      </c>
    </row>
    <row r="217" spans="2:14" ht="28" x14ac:dyDescent="0.3">
      <c r="B217" s="973">
        <v>203</v>
      </c>
      <c r="C217" s="386" t="s">
        <v>1476</v>
      </c>
      <c r="D217" s="386" t="s">
        <v>1684</v>
      </c>
      <c r="E217" s="121" t="s">
        <v>1478</v>
      </c>
      <c r="F217" s="121"/>
      <c r="G217" s="974">
        <v>44049</v>
      </c>
      <c r="H217" s="974">
        <v>44049</v>
      </c>
      <c r="I217" s="974">
        <f>H217+365</f>
        <v>44414</v>
      </c>
      <c r="J217" s="974">
        <v>44457</v>
      </c>
      <c r="K217" s="977">
        <v>7.8183000000000002E-2</v>
      </c>
      <c r="L217" s="121"/>
      <c r="M217" s="977">
        <v>7.8183000000000002E-2</v>
      </c>
      <c r="N217" s="977">
        <v>7.8183000000000002E-2</v>
      </c>
    </row>
    <row r="218" spans="2:14" ht="28" x14ac:dyDescent="0.3">
      <c r="B218" s="973">
        <v>204</v>
      </c>
      <c r="C218" s="386" t="s">
        <v>1476</v>
      </c>
      <c r="D218" s="386" t="s">
        <v>1685</v>
      </c>
      <c r="E218" s="121" t="s">
        <v>1478</v>
      </c>
      <c r="F218" s="121"/>
      <c r="G218" s="974">
        <v>44049</v>
      </c>
      <c r="H218" s="974">
        <v>44050</v>
      </c>
      <c r="I218" s="974">
        <f>H218+30</f>
        <v>44080</v>
      </c>
      <c r="J218" s="974">
        <v>44079</v>
      </c>
      <c r="K218" s="977">
        <v>2.34112E-2</v>
      </c>
      <c r="L218" s="121"/>
      <c r="M218" s="977">
        <v>2.34112E-2</v>
      </c>
      <c r="N218" s="977">
        <v>2.34112E-2</v>
      </c>
    </row>
    <row r="219" spans="2:14" ht="28" x14ac:dyDescent="0.3">
      <c r="B219" s="973">
        <v>205</v>
      </c>
      <c r="C219" s="386" t="s">
        <v>1476</v>
      </c>
      <c r="D219" s="386" t="s">
        <v>1686</v>
      </c>
      <c r="E219" s="121" t="s">
        <v>1478</v>
      </c>
      <c r="F219" s="121"/>
      <c r="G219" s="974">
        <v>44039</v>
      </c>
      <c r="H219" s="974">
        <v>44039</v>
      </c>
      <c r="I219" s="974"/>
      <c r="J219" s="974">
        <v>44081</v>
      </c>
      <c r="K219" s="977">
        <v>2.6005999999999998E-3</v>
      </c>
      <c r="L219" s="121"/>
      <c r="M219" s="977">
        <v>2.6005999999999998E-3</v>
      </c>
      <c r="N219" s="977">
        <v>2.6005999999999998E-3</v>
      </c>
    </row>
    <row r="220" spans="2:14" ht="28" x14ac:dyDescent="0.3">
      <c r="B220" s="973">
        <v>206</v>
      </c>
      <c r="C220" s="386" t="s">
        <v>1476</v>
      </c>
      <c r="D220" s="386" t="s">
        <v>1687</v>
      </c>
      <c r="E220" s="121" t="s">
        <v>1478</v>
      </c>
      <c r="F220" s="121"/>
      <c r="G220" s="974">
        <v>44034</v>
      </c>
      <c r="H220" s="974">
        <v>44034</v>
      </c>
      <c r="I220" s="974">
        <f>H220+30</f>
        <v>44064</v>
      </c>
      <c r="J220" s="974">
        <v>44035</v>
      </c>
      <c r="K220" s="977">
        <v>1.09681E-2</v>
      </c>
      <c r="L220" s="121"/>
      <c r="M220" s="977">
        <v>1.09681E-2</v>
      </c>
      <c r="N220" s="977">
        <v>1.09681E-2</v>
      </c>
    </row>
    <row r="221" spans="2:14" ht="28" x14ac:dyDescent="0.3">
      <c r="B221" s="973">
        <v>207</v>
      </c>
      <c r="C221" s="386" t="s">
        <v>1476</v>
      </c>
      <c r="D221" s="386" t="s">
        <v>1688</v>
      </c>
      <c r="E221" s="121" t="s">
        <v>1478</v>
      </c>
      <c r="F221" s="121"/>
      <c r="G221" s="974">
        <v>44029</v>
      </c>
      <c r="H221" s="974">
        <v>44029</v>
      </c>
      <c r="I221" s="974">
        <f>H221+45</f>
        <v>44074</v>
      </c>
      <c r="J221" s="974">
        <v>44076</v>
      </c>
      <c r="K221" s="977">
        <v>2.5712200000000001E-2</v>
      </c>
      <c r="L221" s="121"/>
      <c r="M221" s="977">
        <v>2.5712200000000001E-2</v>
      </c>
      <c r="N221" s="977">
        <v>2.5712200000000001E-2</v>
      </c>
    </row>
    <row r="222" spans="2:14" ht="28" x14ac:dyDescent="0.3">
      <c r="B222" s="973">
        <v>208</v>
      </c>
      <c r="C222" s="386" t="s">
        <v>1476</v>
      </c>
      <c r="D222" s="386" t="s">
        <v>1689</v>
      </c>
      <c r="E222" s="121" t="s">
        <v>1478</v>
      </c>
      <c r="F222" s="121"/>
      <c r="G222" s="974">
        <v>44021</v>
      </c>
      <c r="H222" s="974">
        <v>44044</v>
      </c>
      <c r="I222" s="974">
        <f>H222+365</f>
        <v>44409</v>
      </c>
      <c r="J222" s="974">
        <v>44408</v>
      </c>
      <c r="K222" s="977">
        <v>0.10748791299999999</v>
      </c>
      <c r="L222" s="121"/>
      <c r="M222" s="977">
        <v>0.10748791299999999</v>
      </c>
      <c r="N222" s="977">
        <v>0.107385499</v>
      </c>
    </row>
    <row r="223" spans="2:14" ht="28" x14ac:dyDescent="0.3">
      <c r="B223" s="973">
        <v>209</v>
      </c>
      <c r="C223" s="386" t="s">
        <v>1485</v>
      </c>
      <c r="D223" s="386" t="s">
        <v>1690</v>
      </c>
      <c r="E223" s="121" t="s">
        <v>1478</v>
      </c>
      <c r="F223" s="121"/>
      <c r="G223" s="974">
        <v>44020</v>
      </c>
      <c r="H223" s="974">
        <v>44020</v>
      </c>
      <c r="I223" s="974"/>
      <c r="J223" s="974">
        <v>44076</v>
      </c>
      <c r="K223" s="977">
        <v>9.9912723999999994E-2</v>
      </c>
      <c r="L223" s="121"/>
      <c r="M223" s="977">
        <v>9.9912723999999994E-2</v>
      </c>
      <c r="N223" s="977">
        <v>9.9318417000000006E-2</v>
      </c>
    </row>
    <row r="224" spans="2:14" ht="28" x14ac:dyDescent="0.3">
      <c r="B224" s="973">
        <v>210</v>
      </c>
      <c r="C224" s="386" t="s">
        <v>1476</v>
      </c>
      <c r="D224" s="386" t="s">
        <v>1691</v>
      </c>
      <c r="E224" s="121" t="s">
        <v>1478</v>
      </c>
      <c r="F224" s="121"/>
      <c r="G224" s="974">
        <v>44008</v>
      </c>
      <c r="H224" s="974">
        <v>44014</v>
      </c>
      <c r="I224" s="974">
        <f>H224+180</f>
        <v>44194</v>
      </c>
      <c r="J224" s="974">
        <v>44040</v>
      </c>
      <c r="K224" s="977">
        <v>2.0034394000000001E-2</v>
      </c>
      <c r="L224" s="121"/>
      <c r="M224" s="977">
        <v>2.0034394000000001E-2</v>
      </c>
      <c r="N224" s="977">
        <v>2.0034394000000001E-2</v>
      </c>
    </row>
    <row r="225" spans="2:14" ht="28" x14ac:dyDescent="0.3">
      <c r="B225" s="973">
        <v>211</v>
      </c>
      <c r="C225" s="386" t="s">
        <v>1476</v>
      </c>
      <c r="D225" s="386" t="s">
        <v>1692</v>
      </c>
      <c r="E225" s="121" t="s">
        <v>1478</v>
      </c>
      <c r="F225" s="121"/>
      <c r="G225" s="974">
        <v>44004</v>
      </c>
      <c r="H225" s="974">
        <v>44009</v>
      </c>
      <c r="I225" s="974">
        <f>H225+365</f>
        <v>44374</v>
      </c>
      <c r="J225" s="974">
        <v>44390</v>
      </c>
      <c r="K225" s="977">
        <v>7.8183000000000002E-2</v>
      </c>
      <c r="L225" s="121"/>
      <c r="M225" s="977">
        <v>7.8183000000000002E-2</v>
      </c>
      <c r="N225" s="977">
        <v>8.0967600000000001E-2</v>
      </c>
    </row>
    <row r="226" spans="2:14" ht="28" x14ac:dyDescent="0.3">
      <c r="B226" s="973">
        <v>212</v>
      </c>
      <c r="C226" s="386" t="s">
        <v>1476</v>
      </c>
      <c r="D226" s="386" t="s">
        <v>1693</v>
      </c>
      <c r="E226" s="121" t="s">
        <v>1478</v>
      </c>
      <c r="F226" s="121"/>
      <c r="G226" s="974">
        <v>44001</v>
      </c>
      <c r="H226" s="974">
        <v>44001</v>
      </c>
      <c r="I226" s="974">
        <f>H226+30</f>
        <v>44031</v>
      </c>
      <c r="J226" s="974">
        <v>44029</v>
      </c>
      <c r="K226" s="977">
        <v>2.29392E-2</v>
      </c>
      <c r="L226" s="121"/>
      <c r="M226" s="977">
        <v>2.29392E-2</v>
      </c>
      <c r="N226" s="977">
        <v>2.29392E-2</v>
      </c>
    </row>
    <row r="227" spans="2:14" ht="28" x14ac:dyDescent="0.3">
      <c r="B227" s="973">
        <v>213</v>
      </c>
      <c r="C227" s="386" t="s">
        <v>1476</v>
      </c>
      <c r="D227" s="386" t="s">
        <v>1694</v>
      </c>
      <c r="E227" s="121" t="s">
        <v>1478</v>
      </c>
      <c r="F227" s="121"/>
      <c r="G227" s="974">
        <v>44001</v>
      </c>
      <c r="H227" s="974">
        <v>44001</v>
      </c>
      <c r="I227" s="974">
        <f>H227+30</f>
        <v>44031</v>
      </c>
      <c r="J227" s="974">
        <v>44018</v>
      </c>
      <c r="K227" s="977">
        <v>2.2356279999999999E-2</v>
      </c>
      <c r="L227" s="121"/>
      <c r="M227" s="977">
        <v>2.2356279999999999E-2</v>
      </c>
      <c r="N227" s="977">
        <v>2.2356279999999999E-2</v>
      </c>
    </row>
    <row r="228" spans="2:14" ht="28" x14ac:dyDescent="0.3">
      <c r="B228" s="973">
        <v>214</v>
      </c>
      <c r="C228" s="386" t="s">
        <v>1485</v>
      </c>
      <c r="D228" s="386" t="s">
        <v>1695</v>
      </c>
      <c r="E228" s="121" t="s">
        <v>1478</v>
      </c>
      <c r="F228" s="121"/>
      <c r="G228" s="974">
        <v>43999</v>
      </c>
      <c r="H228" s="974">
        <v>43999</v>
      </c>
      <c r="I228" s="974">
        <f>H228+45</f>
        <v>44044</v>
      </c>
      <c r="J228" s="974">
        <v>44780</v>
      </c>
      <c r="K228" s="977">
        <v>0.31434492000000003</v>
      </c>
      <c r="L228" s="121"/>
      <c r="M228" s="977">
        <v>0.31434492000000003</v>
      </c>
      <c r="N228" s="977">
        <v>0.31434492000000003</v>
      </c>
    </row>
    <row r="229" spans="2:14" ht="28" x14ac:dyDescent="0.3">
      <c r="B229" s="973">
        <v>215</v>
      </c>
      <c r="C229" s="386" t="s">
        <v>1476</v>
      </c>
      <c r="D229" s="386" t="s">
        <v>1696</v>
      </c>
      <c r="E229" s="121" t="s">
        <v>1478</v>
      </c>
      <c r="F229" s="121"/>
      <c r="G229" s="974">
        <v>43997</v>
      </c>
      <c r="H229" s="974">
        <v>43997</v>
      </c>
      <c r="I229" s="974"/>
      <c r="J229" s="974">
        <v>44004</v>
      </c>
      <c r="K229" s="977">
        <v>6.7500020000000006E-3</v>
      </c>
      <c r="L229" s="121"/>
      <c r="M229" s="977">
        <v>6.7500020000000006E-3</v>
      </c>
      <c r="N229" s="977">
        <v>6.7500020000000006E-3</v>
      </c>
    </row>
    <row r="230" spans="2:14" ht="28" x14ac:dyDescent="0.3">
      <c r="B230" s="973">
        <v>216</v>
      </c>
      <c r="C230" s="386" t="s">
        <v>1476</v>
      </c>
      <c r="D230" s="386" t="s">
        <v>1697</v>
      </c>
      <c r="E230" s="121" t="s">
        <v>1478</v>
      </c>
      <c r="F230" s="121"/>
      <c r="G230" s="974">
        <v>43994</v>
      </c>
      <c r="H230" s="974">
        <v>43994</v>
      </c>
      <c r="I230" s="974">
        <f>H230+365</f>
        <v>44359</v>
      </c>
      <c r="J230" s="974">
        <v>44358</v>
      </c>
      <c r="K230" s="977">
        <v>0.20310321100000001</v>
      </c>
      <c r="L230" s="121"/>
      <c r="M230" s="977">
        <v>0.20310321100000001</v>
      </c>
      <c r="N230" s="977">
        <v>0.20310321099999998</v>
      </c>
    </row>
    <row r="231" spans="2:14" ht="28" x14ac:dyDescent="0.3">
      <c r="B231" s="973">
        <v>217</v>
      </c>
      <c r="C231" s="386" t="s">
        <v>1476</v>
      </c>
      <c r="D231" s="386" t="s">
        <v>1698</v>
      </c>
      <c r="E231" s="121" t="s">
        <v>1478</v>
      </c>
      <c r="F231" s="121"/>
      <c r="G231" s="974">
        <v>43993</v>
      </c>
      <c r="H231" s="974">
        <v>43971</v>
      </c>
      <c r="I231" s="974">
        <f>H231+365</f>
        <v>44336</v>
      </c>
      <c r="J231" s="974">
        <v>44351</v>
      </c>
      <c r="K231" s="977">
        <v>0.33668295800000003</v>
      </c>
      <c r="L231" s="121"/>
      <c r="M231" s="977">
        <v>0.33668295800000003</v>
      </c>
      <c r="N231" s="977">
        <v>0.33668295599999998</v>
      </c>
    </row>
    <row r="232" spans="2:14" ht="28" x14ac:dyDescent="0.3">
      <c r="B232" s="973">
        <v>218</v>
      </c>
      <c r="C232" s="386" t="s">
        <v>1476</v>
      </c>
      <c r="D232" s="386" t="s">
        <v>1699</v>
      </c>
      <c r="E232" s="121" t="s">
        <v>1478</v>
      </c>
      <c r="F232" s="121"/>
      <c r="G232" s="974">
        <v>43990</v>
      </c>
      <c r="H232" s="974">
        <v>44015</v>
      </c>
      <c r="I232" s="974">
        <f>H232+365</f>
        <v>44380</v>
      </c>
      <c r="J232" s="974">
        <v>44386</v>
      </c>
      <c r="K232" s="977">
        <v>2.9066689E-2</v>
      </c>
      <c r="L232" s="121"/>
      <c r="M232" s="977">
        <v>2.9066689E-2</v>
      </c>
      <c r="N232" s="977">
        <v>2.9066690999999999E-2</v>
      </c>
    </row>
    <row r="233" spans="2:14" ht="28" x14ac:dyDescent="0.3">
      <c r="B233" s="973">
        <v>219</v>
      </c>
      <c r="C233" s="386" t="s">
        <v>1476</v>
      </c>
      <c r="D233" s="386" t="s">
        <v>1700</v>
      </c>
      <c r="E233" s="121" t="s">
        <v>1478</v>
      </c>
      <c r="F233" s="121"/>
      <c r="G233" s="974">
        <v>43990</v>
      </c>
      <c r="H233" s="974">
        <v>44060</v>
      </c>
      <c r="I233" s="974">
        <f>H233+180</f>
        <v>44240</v>
      </c>
      <c r="J233" s="974">
        <v>44244</v>
      </c>
      <c r="K233" s="977">
        <v>2.9218097999999998E-2</v>
      </c>
      <c r="L233" s="121"/>
      <c r="M233" s="977">
        <v>2.9218097999999998E-2</v>
      </c>
      <c r="N233" s="977">
        <v>2.9218097999999998E-2</v>
      </c>
    </row>
    <row r="234" spans="2:14" ht="28" x14ac:dyDescent="0.3">
      <c r="B234" s="973">
        <v>220</v>
      </c>
      <c r="C234" s="386" t="s">
        <v>1476</v>
      </c>
      <c r="D234" s="386" t="s">
        <v>1701</v>
      </c>
      <c r="E234" s="121" t="s">
        <v>1478</v>
      </c>
      <c r="F234" s="121"/>
      <c r="G234" s="974">
        <v>43987</v>
      </c>
      <c r="H234" s="974">
        <v>43987</v>
      </c>
      <c r="I234" s="974"/>
      <c r="J234" s="974">
        <v>43994</v>
      </c>
      <c r="K234" s="977">
        <v>3.3037481E-2</v>
      </c>
      <c r="L234" s="121"/>
      <c r="M234" s="977">
        <v>3.3037481E-2</v>
      </c>
      <c r="N234" s="977">
        <v>2.1779580999999996E-2</v>
      </c>
    </row>
    <row r="235" spans="2:14" ht="28" x14ac:dyDescent="0.3">
      <c r="B235" s="973">
        <v>221</v>
      </c>
      <c r="C235" s="386" t="s">
        <v>1476</v>
      </c>
      <c r="D235" s="386" t="s">
        <v>1702</v>
      </c>
      <c r="E235" s="121" t="s">
        <v>1478</v>
      </c>
      <c r="F235" s="121"/>
      <c r="G235" s="974">
        <v>43980</v>
      </c>
      <c r="H235" s="974">
        <v>43980</v>
      </c>
      <c r="I235" s="974"/>
      <c r="J235" s="974">
        <v>43987</v>
      </c>
      <c r="K235" s="977">
        <v>7.1200639999999997E-3</v>
      </c>
      <c r="L235" s="121"/>
      <c r="M235" s="977">
        <v>7.1200639999999997E-3</v>
      </c>
      <c r="N235" s="977">
        <v>7.1200639999999997E-3</v>
      </c>
    </row>
    <row r="236" spans="2:14" ht="28" x14ac:dyDescent="0.3">
      <c r="B236" s="973">
        <v>222</v>
      </c>
      <c r="C236" s="386" t="s">
        <v>1476</v>
      </c>
      <c r="D236" s="386" t="s">
        <v>1703</v>
      </c>
      <c r="E236" s="121" t="s">
        <v>1478</v>
      </c>
      <c r="F236" s="121"/>
      <c r="G236" s="974">
        <v>43980</v>
      </c>
      <c r="H236" s="974">
        <v>43980</v>
      </c>
      <c r="I236" s="974"/>
      <c r="J236" s="974">
        <v>44002</v>
      </c>
      <c r="K236" s="977">
        <v>1.1884252E-2</v>
      </c>
      <c r="L236" s="121"/>
      <c r="M236" s="977">
        <v>1.1884252E-2</v>
      </c>
      <c r="N236" s="977">
        <v>1.1884252E-2</v>
      </c>
    </row>
    <row r="237" spans="2:14" ht="28" x14ac:dyDescent="0.3">
      <c r="B237" s="973">
        <v>223</v>
      </c>
      <c r="C237" s="386" t="s">
        <v>1476</v>
      </c>
      <c r="D237" s="386" t="s">
        <v>1704</v>
      </c>
      <c r="E237" s="121" t="s">
        <v>1478</v>
      </c>
      <c r="F237" s="121"/>
      <c r="G237" s="974">
        <v>43980</v>
      </c>
      <c r="H237" s="974">
        <v>43966</v>
      </c>
      <c r="I237" s="974">
        <f>H237+180</f>
        <v>44146</v>
      </c>
      <c r="J237" s="974">
        <v>44147</v>
      </c>
      <c r="K237" s="977">
        <v>1.3982164000000002E-2</v>
      </c>
      <c r="L237" s="121"/>
      <c r="M237" s="977">
        <v>1.3982164000000002E-2</v>
      </c>
      <c r="N237" s="977">
        <v>1.3982164000000002E-2</v>
      </c>
    </row>
    <row r="238" spans="2:14" ht="28" x14ac:dyDescent="0.3">
      <c r="B238" s="973">
        <v>224</v>
      </c>
      <c r="C238" s="386" t="s">
        <v>1476</v>
      </c>
      <c r="D238" s="386" t="s">
        <v>1705</v>
      </c>
      <c r="E238" s="121" t="s">
        <v>1478</v>
      </c>
      <c r="F238" s="121"/>
      <c r="G238" s="974">
        <v>43980</v>
      </c>
      <c r="H238" s="974">
        <v>43945</v>
      </c>
      <c r="I238" s="974">
        <f>H238+365</f>
        <v>44310</v>
      </c>
      <c r="J238" s="974">
        <v>44307</v>
      </c>
      <c r="K238" s="977">
        <v>5.0331809000000005E-2</v>
      </c>
      <c r="L238" s="121"/>
      <c r="M238" s="977">
        <v>5.0331809000000005E-2</v>
      </c>
      <c r="N238" s="977">
        <v>5.0331805E-2</v>
      </c>
    </row>
    <row r="239" spans="2:14" ht="28" x14ac:dyDescent="0.3">
      <c r="B239" s="973">
        <v>225</v>
      </c>
      <c r="C239" s="386" t="s">
        <v>1476</v>
      </c>
      <c r="D239" s="386" t="s">
        <v>1706</v>
      </c>
      <c r="E239" s="121" t="s">
        <v>1478</v>
      </c>
      <c r="F239" s="121"/>
      <c r="G239" s="974">
        <v>43943</v>
      </c>
      <c r="H239" s="974">
        <v>44006</v>
      </c>
      <c r="I239" s="974">
        <f>H239+365</f>
        <v>44371</v>
      </c>
      <c r="J239" s="974">
        <v>44559</v>
      </c>
      <c r="K239" s="977">
        <v>7.5848499999999999E-2</v>
      </c>
      <c r="L239" s="121"/>
      <c r="M239" s="977">
        <v>7.5848499999999999E-2</v>
      </c>
      <c r="N239" s="977">
        <v>8.2305869999999989E-2</v>
      </c>
    </row>
    <row r="240" spans="2:14" ht="28" x14ac:dyDescent="0.3">
      <c r="B240" s="973">
        <v>226</v>
      </c>
      <c r="C240" s="386" t="s">
        <v>1476</v>
      </c>
      <c r="D240" s="386" t="s">
        <v>1707</v>
      </c>
      <c r="E240" s="121" t="s">
        <v>1478</v>
      </c>
      <c r="F240" s="121"/>
      <c r="G240" s="974">
        <v>43928</v>
      </c>
      <c r="H240" s="974">
        <v>43936</v>
      </c>
      <c r="I240" s="974">
        <f>H240+120</f>
        <v>44056</v>
      </c>
      <c r="J240" s="974">
        <v>44043</v>
      </c>
      <c r="K240" s="977">
        <v>2.9735999999999999E-2</v>
      </c>
      <c r="L240" s="121"/>
      <c r="M240" s="977">
        <v>2.9735999999999999E-2</v>
      </c>
      <c r="N240" s="977">
        <v>2.6196000000000001E-2</v>
      </c>
    </row>
    <row r="241" spans="2:14" ht="28" x14ac:dyDescent="0.3">
      <c r="B241" s="973">
        <v>227</v>
      </c>
      <c r="C241" s="386" t="s">
        <v>1485</v>
      </c>
      <c r="D241" s="386" t="s">
        <v>1708</v>
      </c>
      <c r="E241" s="121" t="s">
        <v>1478</v>
      </c>
      <c r="F241" s="121"/>
      <c r="G241" s="974">
        <v>43928</v>
      </c>
      <c r="H241" s="974">
        <v>43928</v>
      </c>
      <c r="I241" s="974">
        <f>H241+365</f>
        <v>44293</v>
      </c>
      <c r="J241" s="974">
        <v>44374</v>
      </c>
      <c r="K241" s="977">
        <v>0.16050773000000002</v>
      </c>
      <c r="L241" s="121"/>
      <c r="M241" s="977">
        <v>0.16050773000000002</v>
      </c>
      <c r="N241" s="977">
        <v>0.16050726000000004</v>
      </c>
    </row>
    <row r="242" spans="2:14" ht="28" x14ac:dyDescent="0.3">
      <c r="B242" s="973">
        <v>228</v>
      </c>
      <c r="C242" s="386" t="s">
        <v>1476</v>
      </c>
      <c r="D242" s="386" t="s">
        <v>1709</v>
      </c>
      <c r="E242" s="121" t="s">
        <v>1478</v>
      </c>
      <c r="F242" s="121"/>
      <c r="G242" s="974">
        <v>43910</v>
      </c>
      <c r="H242" s="974">
        <v>44204</v>
      </c>
      <c r="I242" s="974">
        <f>H242+365</f>
        <v>44569</v>
      </c>
      <c r="J242" s="974">
        <v>45107</v>
      </c>
      <c r="K242" s="977">
        <v>0.12648200000000001</v>
      </c>
      <c r="L242" s="121"/>
      <c r="M242" s="977">
        <v>0.12648200000000001</v>
      </c>
      <c r="N242" s="977">
        <v>0.12367866000000001</v>
      </c>
    </row>
    <row r="243" spans="2:14" ht="28" x14ac:dyDescent="0.3">
      <c r="B243" s="973">
        <v>229</v>
      </c>
      <c r="C243" s="386" t="s">
        <v>1485</v>
      </c>
      <c r="D243" s="386" t="s">
        <v>1710</v>
      </c>
      <c r="E243" s="121" t="s">
        <v>1478</v>
      </c>
      <c r="F243" s="121"/>
      <c r="G243" s="974">
        <v>43910</v>
      </c>
      <c r="H243" s="974">
        <v>44005</v>
      </c>
      <c r="I243" s="974">
        <f>H243+180</f>
        <v>44185</v>
      </c>
      <c r="J243" s="974">
        <v>44037</v>
      </c>
      <c r="K243" s="977">
        <v>1.9913561999999999E-2</v>
      </c>
      <c r="L243" s="121"/>
      <c r="M243" s="977">
        <v>1.9913561999999999E-2</v>
      </c>
      <c r="N243" s="977">
        <v>1.9913561999999996E-2</v>
      </c>
    </row>
    <row r="244" spans="2:14" ht="28" x14ac:dyDescent="0.3">
      <c r="B244" s="973">
        <v>230</v>
      </c>
      <c r="C244" s="386" t="s">
        <v>1476</v>
      </c>
      <c r="D244" s="386" t="s">
        <v>1711</v>
      </c>
      <c r="E244" s="121" t="s">
        <v>1478</v>
      </c>
      <c r="F244" s="121"/>
      <c r="G244" s="974">
        <v>43910</v>
      </c>
      <c r="H244" s="974">
        <v>43910</v>
      </c>
      <c r="I244" s="974"/>
      <c r="J244" s="974">
        <v>43995</v>
      </c>
      <c r="K244" s="977">
        <v>2.495E-2</v>
      </c>
      <c r="L244" s="121"/>
      <c r="M244" s="977">
        <v>2.495E-2</v>
      </c>
      <c r="N244" s="977">
        <v>2.495E-2</v>
      </c>
    </row>
    <row r="245" spans="2:14" ht="28" x14ac:dyDescent="0.3">
      <c r="B245" s="973">
        <v>231</v>
      </c>
      <c r="C245" s="386" t="s">
        <v>1476</v>
      </c>
      <c r="D245" s="386" t="s">
        <v>1712</v>
      </c>
      <c r="E245" s="121" t="s">
        <v>1478</v>
      </c>
      <c r="F245" s="121"/>
      <c r="G245" s="974">
        <v>43908</v>
      </c>
      <c r="H245" s="974">
        <v>43922</v>
      </c>
      <c r="I245" s="974">
        <f>H245+365</f>
        <v>44287</v>
      </c>
      <c r="J245" s="974">
        <v>44272</v>
      </c>
      <c r="K245" s="977">
        <v>2.9605609999999997E-2</v>
      </c>
      <c r="L245" s="121"/>
      <c r="M245" s="977">
        <v>2.9605609999999997E-2</v>
      </c>
      <c r="N245" s="977">
        <v>2.9605609999999997E-2</v>
      </c>
    </row>
    <row r="246" spans="2:14" ht="28" x14ac:dyDescent="0.3">
      <c r="B246" s="973">
        <v>232</v>
      </c>
      <c r="C246" s="386" t="s">
        <v>1476</v>
      </c>
      <c r="D246" s="386" t="s">
        <v>1713</v>
      </c>
      <c r="E246" s="121" t="s">
        <v>1478</v>
      </c>
      <c r="F246" s="121"/>
      <c r="G246" s="974">
        <v>43902</v>
      </c>
      <c r="H246" s="974">
        <v>44020</v>
      </c>
      <c r="I246" s="974">
        <f>H246+180</f>
        <v>44200</v>
      </c>
      <c r="J246" s="974">
        <v>44204</v>
      </c>
      <c r="K246" s="977">
        <v>3.1613615999999997E-2</v>
      </c>
      <c r="L246" s="121"/>
      <c r="M246" s="977">
        <v>3.1613615999999997E-2</v>
      </c>
      <c r="N246" s="977">
        <v>3.1613616000000004E-2</v>
      </c>
    </row>
    <row r="247" spans="2:14" ht="28" x14ac:dyDescent="0.3">
      <c r="B247" s="973">
        <v>233</v>
      </c>
      <c r="C247" s="386" t="s">
        <v>1476</v>
      </c>
      <c r="D247" s="386" t="s">
        <v>1714</v>
      </c>
      <c r="E247" s="121" t="s">
        <v>1478</v>
      </c>
      <c r="F247" s="121"/>
      <c r="G247" s="974">
        <v>43899</v>
      </c>
      <c r="H247" s="974">
        <v>43922</v>
      </c>
      <c r="I247" s="974">
        <f>H247+365</f>
        <v>44287</v>
      </c>
      <c r="J247" s="974">
        <v>44500</v>
      </c>
      <c r="K247" s="977">
        <v>0.119439</v>
      </c>
      <c r="L247" s="121"/>
      <c r="M247" s="977">
        <v>0.119439</v>
      </c>
      <c r="N247" s="977">
        <v>0.12641896699999997</v>
      </c>
    </row>
    <row r="248" spans="2:14" ht="28" x14ac:dyDescent="0.3">
      <c r="B248" s="973">
        <v>234</v>
      </c>
      <c r="C248" s="386" t="s">
        <v>1476</v>
      </c>
      <c r="D248" s="386" t="s">
        <v>1715</v>
      </c>
      <c r="E248" s="121" t="s">
        <v>1478</v>
      </c>
      <c r="F248" s="121"/>
      <c r="G248" s="974">
        <v>43894</v>
      </c>
      <c r="H248" s="974">
        <v>43894</v>
      </c>
      <c r="I248" s="974"/>
      <c r="J248" s="974">
        <v>43878</v>
      </c>
      <c r="K248" s="977">
        <v>1.6593919999999998E-3</v>
      </c>
      <c r="L248" s="121"/>
      <c r="M248" s="977">
        <v>1.6593919999999998E-3</v>
      </c>
      <c r="N248" s="977">
        <v>1.6593919999999998E-3</v>
      </c>
    </row>
    <row r="249" spans="2:14" ht="28" x14ac:dyDescent="0.3">
      <c r="B249" s="973">
        <v>235</v>
      </c>
      <c r="C249" s="386" t="s">
        <v>1476</v>
      </c>
      <c r="D249" s="386" t="s">
        <v>1716</v>
      </c>
      <c r="E249" s="121" t="s">
        <v>1478</v>
      </c>
      <c r="F249" s="121"/>
      <c r="G249" s="974">
        <v>43874</v>
      </c>
      <c r="H249" s="974">
        <v>43874</v>
      </c>
      <c r="I249" s="974"/>
      <c r="J249" s="974">
        <v>43878</v>
      </c>
      <c r="K249" s="977">
        <v>1.6391026E-2</v>
      </c>
      <c r="L249" s="121"/>
      <c r="M249" s="977">
        <v>1.6391026E-2</v>
      </c>
      <c r="N249" s="977">
        <v>1.6391026E-2</v>
      </c>
    </row>
    <row r="250" spans="2:14" ht="28" x14ac:dyDescent="0.3">
      <c r="B250" s="973">
        <v>236</v>
      </c>
      <c r="C250" s="386" t="s">
        <v>1476</v>
      </c>
      <c r="D250" s="386" t="s">
        <v>1717</v>
      </c>
      <c r="E250" s="121" t="s">
        <v>1478</v>
      </c>
      <c r="F250" s="121"/>
      <c r="G250" s="974">
        <v>43872</v>
      </c>
      <c r="H250" s="974">
        <v>43881</v>
      </c>
      <c r="I250" s="974">
        <f>H250+180</f>
        <v>44061</v>
      </c>
      <c r="J250" s="974">
        <v>44051</v>
      </c>
      <c r="K250" s="977">
        <v>1.9405100000000002E-2</v>
      </c>
      <c r="L250" s="121"/>
      <c r="M250" s="977">
        <v>1.9405100000000002E-2</v>
      </c>
      <c r="N250" s="977">
        <v>1.9405100000000002E-2</v>
      </c>
    </row>
    <row r="251" spans="2:14" ht="28" x14ac:dyDescent="0.3">
      <c r="B251" s="973">
        <v>237</v>
      </c>
      <c r="C251" s="386" t="s">
        <v>1476</v>
      </c>
      <c r="D251" s="386" t="s">
        <v>1718</v>
      </c>
      <c r="E251" s="121" t="s">
        <v>1478</v>
      </c>
      <c r="F251" s="121"/>
      <c r="G251" s="974">
        <v>43868</v>
      </c>
      <c r="H251" s="974">
        <v>43868</v>
      </c>
      <c r="I251" s="974"/>
      <c r="J251" s="974">
        <v>43866</v>
      </c>
      <c r="K251" s="977">
        <v>2.1299000000000001E-3</v>
      </c>
      <c r="L251" s="121"/>
      <c r="M251" s="977">
        <v>2.1299000000000001E-3</v>
      </c>
      <c r="N251" s="977">
        <v>2.1299000000000001E-3</v>
      </c>
    </row>
    <row r="252" spans="2:14" ht="28" x14ac:dyDescent="0.3">
      <c r="B252" s="973">
        <v>238</v>
      </c>
      <c r="C252" s="386" t="s">
        <v>1476</v>
      </c>
      <c r="D252" s="386" t="s">
        <v>1719</v>
      </c>
      <c r="E252" s="121" t="s">
        <v>1478</v>
      </c>
      <c r="F252" s="121"/>
      <c r="G252" s="974">
        <v>43867</v>
      </c>
      <c r="H252" s="974">
        <v>43867</v>
      </c>
      <c r="I252" s="974"/>
      <c r="J252" s="974">
        <v>44000</v>
      </c>
      <c r="K252" s="977">
        <v>1.5848933999999999E-2</v>
      </c>
      <c r="L252" s="121"/>
      <c r="M252" s="977">
        <v>1.5848933999999999E-2</v>
      </c>
      <c r="N252" s="977">
        <v>1.5848933999999999E-2</v>
      </c>
    </row>
    <row r="253" spans="2:14" ht="28" x14ac:dyDescent="0.3">
      <c r="B253" s="973">
        <v>239</v>
      </c>
      <c r="C253" s="386" t="s">
        <v>1476</v>
      </c>
      <c r="D253" s="386" t="s">
        <v>1720</v>
      </c>
      <c r="E253" s="121" t="s">
        <v>1478</v>
      </c>
      <c r="F253" s="121"/>
      <c r="G253" s="974">
        <v>43867</v>
      </c>
      <c r="H253" s="974">
        <v>43867</v>
      </c>
      <c r="I253" s="974"/>
      <c r="J253" s="974">
        <v>43854</v>
      </c>
      <c r="K253" s="977">
        <v>8.9450240000000011E-3</v>
      </c>
      <c r="L253" s="121"/>
      <c r="M253" s="977">
        <v>8.9450240000000011E-3</v>
      </c>
      <c r="N253" s="977">
        <v>8.9450240000000011E-3</v>
      </c>
    </row>
    <row r="254" spans="2:14" ht="28" x14ac:dyDescent="0.3">
      <c r="B254" s="973">
        <v>240</v>
      </c>
      <c r="C254" s="386" t="s">
        <v>1485</v>
      </c>
      <c r="D254" s="386" t="s">
        <v>1721</v>
      </c>
      <c r="E254" s="121" t="s">
        <v>1478</v>
      </c>
      <c r="F254" s="121"/>
      <c r="G254" s="974">
        <v>43867</v>
      </c>
      <c r="H254" s="974">
        <v>43867</v>
      </c>
      <c r="I254" s="974">
        <f>H254+45</f>
        <v>43912</v>
      </c>
      <c r="J254" s="974">
        <v>44036</v>
      </c>
      <c r="K254" s="977">
        <v>0.22371325</v>
      </c>
      <c r="L254" s="121"/>
      <c r="M254" s="977">
        <v>0.22371325</v>
      </c>
      <c r="N254" s="977">
        <v>0.20215465000000005</v>
      </c>
    </row>
    <row r="255" spans="2:14" ht="28" x14ac:dyDescent="0.3">
      <c r="B255" s="973">
        <v>241</v>
      </c>
      <c r="C255" s="386" t="s">
        <v>1476</v>
      </c>
      <c r="D255" s="386" t="s">
        <v>1722</v>
      </c>
      <c r="E255" s="121" t="s">
        <v>1478</v>
      </c>
      <c r="F255" s="121"/>
      <c r="G255" s="974">
        <v>43733</v>
      </c>
      <c r="H255" s="974">
        <v>43733</v>
      </c>
      <c r="I255" s="974">
        <f>H255+30</f>
        <v>43763</v>
      </c>
      <c r="J255" s="974">
        <v>43762</v>
      </c>
      <c r="K255" s="977">
        <v>3.6354400000000002E-2</v>
      </c>
      <c r="L255" s="121"/>
      <c r="M255" s="977">
        <v>3.6354400000000002E-2</v>
      </c>
      <c r="N255" s="977">
        <v>3.6354400000000002E-2</v>
      </c>
    </row>
    <row r="256" spans="2:14" ht="28" x14ac:dyDescent="0.3">
      <c r="B256" s="973">
        <v>242</v>
      </c>
      <c r="C256" s="386" t="s">
        <v>1476</v>
      </c>
      <c r="D256" s="386" t="s">
        <v>1723</v>
      </c>
      <c r="E256" s="121" t="s">
        <v>1483</v>
      </c>
      <c r="F256" s="121"/>
      <c r="G256" s="974">
        <v>43697</v>
      </c>
      <c r="H256" s="974">
        <v>43789</v>
      </c>
      <c r="I256" s="974">
        <f>H256+365</f>
        <v>44154</v>
      </c>
      <c r="J256" s="974">
        <v>44165</v>
      </c>
      <c r="K256" s="977">
        <v>2.3604720000000001</v>
      </c>
      <c r="L256" s="121"/>
      <c r="M256" s="977">
        <v>2.3604720000000001</v>
      </c>
      <c r="N256" s="977">
        <v>2.3039329500000005</v>
      </c>
    </row>
    <row r="257" spans="2:14" ht="28" x14ac:dyDescent="0.3">
      <c r="B257" s="973">
        <v>243</v>
      </c>
      <c r="C257" s="386" t="s">
        <v>1476</v>
      </c>
      <c r="D257" s="386" t="s">
        <v>1724</v>
      </c>
      <c r="E257" s="121" t="s">
        <v>1478</v>
      </c>
      <c r="F257" s="121"/>
      <c r="G257" s="974">
        <v>43645</v>
      </c>
      <c r="H257" s="974">
        <v>43647</v>
      </c>
      <c r="I257" s="974">
        <f>H257+365</f>
        <v>44012</v>
      </c>
      <c r="J257" s="974">
        <v>44049</v>
      </c>
      <c r="K257" s="977">
        <v>0.116670382</v>
      </c>
      <c r="L257" s="121"/>
      <c r="M257" s="977">
        <v>0.116670382</v>
      </c>
      <c r="N257" s="977">
        <v>0.117047524</v>
      </c>
    </row>
    <row r="258" spans="2:14" ht="28" x14ac:dyDescent="0.3">
      <c r="B258" s="973">
        <v>244</v>
      </c>
      <c r="C258" s="386" t="s">
        <v>1476</v>
      </c>
      <c r="D258" s="386" t="s">
        <v>1725</v>
      </c>
      <c r="E258" s="121" t="s">
        <v>1478</v>
      </c>
      <c r="F258" s="121"/>
      <c r="G258" s="974"/>
      <c r="H258" s="974">
        <v>44547</v>
      </c>
      <c r="I258" s="974"/>
      <c r="J258" s="974">
        <v>44546</v>
      </c>
      <c r="K258" s="977">
        <v>9.5286250000000006E-3</v>
      </c>
      <c r="L258" s="121"/>
      <c r="M258" s="977">
        <v>9.5286250000000006E-3</v>
      </c>
      <c r="N258" s="977">
        <v>9.4938259999999986E-3</v>
      </c>
    </row>
    <row r="259" spans="2:14" ht="28" x14ac:dyDescent="0.3">
      <c r="B259" s="973">
        <v>245</v>
      </c>
      <c r="C259" s="386" t="s">
        <v>1476</v>
      </c>
      <c r="D259" s="386" t="s">
        <v>1726</v>
      </c>
      <c r="E259" s="121" t="s">
        <v>1478</v>
      </c>
      <c r="F259" s="121"/>
      <c r="G259" s="974"/>
      <c r="H259" s="974">
        <v>44197</v>
      </c>
      <c r="I259" s="974"/>
      <c r="J259" s="974">
        <v>44501</v>
      </c>
      <c r="K259" s="977">
        <v>4.9737875000000001E-2</v>
      </c>
      <c r="L259" s="121"/>
      <c r="M259" s="977">
        <v>4.9737875000000001E-2</v>
      </c>
      <c r="N259" s="977">
        <v>6.2479855000000008E-2</v>
      </c>
    </row>
    <row r="260" spans="2:14" ht="28" x14ac:dyDescent="0.3">
      <c r="B260" s="973">
        <v>246</v>
      </c>
      <c r="C260" s="386" t="s">
        <v>1476</v>
      </c>
      <c r="D260" s="386" t="s">
        <v>1727</v>
      </c>
      <c r="E260" s="121" t="s">
        <v>1478</v>
      </c>
      <c r="F260" s="121"/>
      <c r="G260" s="974"/>
      <c r="H260" s="974">
        <v>43860</v>
      </c>
      <c r="I260" s="974"/>
      <c r="J260" s="974">
        <v>43864</v>
      </c>
      <c r="K260" s="977">
        <v>3.3630000000000001E-3</v>
      </c>
      <c r="L260" s="121"/>
      <c r="M260" s="977">
        <v>3.3630000000000001E-3</v>
      </c>
      <c r="N260" s="977">
        <v>3.3630000000000001E-3</v>
      </c>
    </row>
    <row r="261" spans="2:14" ht="28" x14ac:dyDescent="0.3">
      <c r="B261" s="973">
        <v>247</v>
      </c>
      <c r="C261" s="386" t="s">
        <v>1476</v>
      </c>
      <c r="D261" s="386" t="s">
        <v>1728</v>
      </c>
      <c r="E261" s="121" t="s">
        <v>1478</v>
      </c>
      <c r="F261" s="121"/>
      <c r="G261" s="974"/>
      <c r="H261" s="974">
        <v>43860</v>
      </c>
      <c r="I261" s="974"/>
      <c r="J261" s="974">
        <v>43852</v>
      </c>
      <c r="K261" s="977">
        <v>9.0001000000000002E-4</v>
      </c>
      <c r="L261" s="121"/>
      <c r="M261" s="977">
        <v>9.0001000000000002E-4</v>
      </c>
      <c r="N261" s="977">
        <v>9.0001000000000002E-4</v>
      </c>
    </row>
    <row r="262" spans="2:14" ht="28" x14ac:dyDescent="0.3">
      <c r="B262" s="973">
        <v>248</v>
      </c>
      <c r="C262" s="386" t="s">
        <v>1476</v>
      </c>
      <c r="D262" s="386" t="s">
        <v>1729</v>
      </c>
      <c r="E262" s="121" t="s">
        <v>1478</v>
      </c>
      <c r="F262" s="121"/>
      <c r="G262" s="974"/>
      <c r="H262" s="974">
        <v>43857</v>
      </c>
      <c r="I262" s="974">
        <f>H262+365</f>
        <v>44222</v>
      </c>
      <c r="J262" s="974">
        <v>44301</v>
      </c>
      <c r="K262" s="977">
        <v>0.138859644</v>
      </c>
      <c r="L262" s="121"/>
      <c r="M262" s="977">
        <v>0.138859644</v>
      </c>
      <c r="N262" s="977">
        <v>0.13727719799999999</v>
      </c>
    </row>
    <row r="263" spans="2:14" ht="28" x14ac:dyDescent="0.3">
      <c r="B263" s="973">
        <v>249</v>
      </c>
      <c r="C263" s="386" t="s">
        <v>1476</v>
      </c>
      <c r="D263" s="386" t="s">
        <v>1730</v>
      </c>
      <c r="E263" s="121" t="s">
        <v>1478</v>
      </c>
      <c r="F263" s="121"/>
      <c r="G263" s="974"/>
      <c r="H263" s="974">
        <v>43857</v>
      </c>
      <c r="I263" s="974">
        <f>H263+365</f>
        <v>44222</v>
      </c>
      <c r="J263" s="974">
        <v>45734</v>
      </c>
      <c r="K263" s="977">
        <v>0.138859644</v>
      </c>
      <c r="L263" s="121"/>
      <c r="M263" s="977">
        <v>0.138859644</v>
      </c>
      <c r="N263" s="977">
        <v>0.13885964200000001</v>
      </c>
    </row>
    <row r="264" spans="2:14" ht="28" x14ac:dyDescent="0.3">
      <c r="B264" s="973">
        <v>250</v>
      </c>
      <c r="C264" s="386" t="s">
        <v>1476</v>
      </c>
      <c r="D264" s="386" t="s">
        <v>1731</v>
      </c>
      <c r="E264" s="121" t="s">
        <v>1478</v>
      </c>
      <c r="F264" s="121"/>
      <c r="G264" s="974"/>
      <c r="H264" s="974">
        <v>43866</v>
      </c>
      <c r="I264" s="974">
        <f>H264+180</f>
        <v>44046</v>
      </c>
      <c r="J264" s="974">
        <v>43886</v>
      </c>
      <c r="K264" s="977">
        <v>3.4656600000000003E-2</v>
      </c>
      <c r="L264" s="121"/>
      <c r="M264" s="977">
        <v>3.4656600000000003E-2</v>
      </c>
      <c r="N264" s="977">
        <v>3.4656600000000003E-2</v>
      </c>
    </row>
    <row r="265" spans="2:14" ht="28" x14ac:dyDescent="0.3">
      <c r="B265" s="973">
        <v>251</v>
      </c>
      <c r="C265" s="386" t="s">
        <v>1476</v>
      </c>
      <c r="D265" s="386" t="s">
        <v>1732</v>
      </c>
      <c r="E265" s="121" t="s">
        <v>1478</v>
      </c>
      <c r="F265" s="121"/>
      <c r="G265" s="974"/>
      <c r="H265" s="974">
        <v>43837</v>
      </c>
      <c r="I265" s="974">
        <f>H265+45</f>
        <v>43882</v>
      </c>
      <c r="J265" s="974">
        <v>43881</v>
      </c>
      <c r="K265" s="977">
        <v>2.3210600000000001E-2</v>
      </c>
      <c r="L265" s="121"/>
      <c r="M265" s="977">
        <v>2.3210600000000001E-2</v>
      </c>
      <c r="N265" s="977">
        <v>2.3210600000000001E-2</v>
      </c>
    </row>
    <row r="266" spans="2:14" ht="28" x14ac:dyDescent="0.3">
      <c r="B266" s="973">
        <v>252</v>
      </c>
      <c r="C266" s="386" t="s">
        <v>1476</v>
      </c>
      <c r="D266" s="386" t="s">
        <v>1733</v>
      </c>
      <c r="E266" s="121" t="s">
        <v>1478</v>
      </c>
      <c r="F266" s="121"/>
      <c r="G266" s="974"/>
      <c r="H266" s="974">
        <v>43803</v>
      </c>
      <c r="I266" s="974">
        <f>H266+180</f>
        <v>43983</v>
      </c>
      <c r="J266" s="974">
        <v>44012</v>
      </c>
      <c r="K266" s="977">
        <v>4.4263799999999999E-2</v>
      </c>
      <c r="L266" s="121"/>
      <c r="M266" s="977">
        <v>4.4263799999999999E-2</v>
      </c>
      <c r="N266" s="977">
        <v>4.4125200000000003E-2</v>
      </c>
    </row>
    <row r="267" spans="2:14" ht="28" x14ac:dyDescent="0.3">
      <c r="B267" s="973">
        <v>253</v>
      </c>
      <c r="C267" s="386" t="s">
        <v>1476</v>
      </c>
      <c r="D267" s="386" t="s">
        <v>1734</v>
      </c>
      <c r="E267" s="121" t="s">
        <v>1478</v>
      </c>
      <c r="F267" s="121"/>
      <c r="G267" s="974"/>
      <c r="H267" s="974">
        <v>43815</v>
      </c>
      <c r="I267" s="974"/>
      <c r="J267" s="974">
        <v>43809</v>
      </c>
      <c r="K267" s="977">
        <v>6.8139999999999997E-4</v>
      </c>
      <c r="L267" s="121"/>
      <c r="M267" s="977">
        <v>6.8139999999999997E-4</v>
      </c>
      <c r="N267" s="977">
        <v>6.8139999999999997E-4</v>
      </c>
    </row>
    <row r="268" spans="2:14" ht="28" x14ac:dyDescent="0.3">
      <c r="B268" s="973">
        <v>254</v>
      </c>
      <c r="C268" s="386" t="s">
        <v>1476</v>
      </c>
      <c r="D268" s="386" t="s">
        <v>1735</v>
      </c>
      <c r="E268" s="121" t="s">
        <v>1478</v>
      </c>
      <c r="F268" s="121"/>
      <c r="G268" s="974"/>
      <c r="H268" s="974">
        <v>43794</v>
      </c>
      <c r="I268" s="974"/>
      <c r="J268" s="974">
        <v>43821</v>
      </c>
      <c r="K268" s="977">
        <v>0.13719998799999999</v>
      </c>
      <c r="L268" s="121"/>
      <c r="M268" s="977">
        <v>0.13719998799999999</v>
      </c>
      <c r="N268" s="977">
        <v>0.13719998799999999</v>
      </c>
    </row>
    <row r="269" spans="2:14" ht="28" x14ac:dyDescent="0.3">
      <c r="B269" s="973">
        <v>255</v>
      </c>
      <c r="C269" s="386" t="s">
        <v>1476</v>
      </c>
      <c r="D269" s="386" t="s">
        <v>1736</v>
      </c>
      <c r="E269" s="121" t="s">
        <v>1478</v>
      </c>
      <c r="F269" s="121"/>
      <c r="G269" s="974"/>
      <c r="H269" s="974">
        <v>43794</v>
      </c>
      <c r="I269" s="974"/>
      <c r="J269" s="974">
        <v>43804</v>
      </c>
      <c r="K269" s="977">
        <v>1.47864E-2</v>
      </c>
      <c r="L269" s="121"/>
      <c r="M269" s="977">
        <v>1.47864E-2</v>
      </c>
      <c r="N269" s="977">
        <v>1.47864E-2</v>
      </c>
    </row>
    <row r="270" spans="2:14" ht="28" x14ac:dyDescent="0.3">
      <c r="B270" s="973">
        <v>256</v>
      </c>
      <c r="C270" s="386" t="s">
        <v>1476</v>
      </c>
      <c r="D270" s="386" t="s">
        <v>1737</v>
      </c>
      <c r="E270" s="121" t="s">
        <v>1478</v>
      </c>
      <c r="F270" s="121"/>
      <c r="G270" s="974"/>
      <c r="H270" s="974">
        <v>43780</v>
      </c>
      <c r="I270" s="974">
        <f>H270+120</f>
        <v>43900</v>
      </c>
      <c r="J270" s="974">
        <v>43855</v>
      </c>
      <c r="K270" s="977">
        <v>2.6157767999999998E-2</v>
      </c>
      <c r="L270" s="121"/>
      <c r="M270" s="977">
        <v>2.6157767999999998E-2</v>
      </c>
      <c r="N270" s="977">
        <v>2.6157767999999998E-2</v>
      </c>
    </row>
    <row r="271" spans="2:14" ht="28" x14ac:dyDescent="0.3">
      <c r="B271" s="973">
        <v>257</v>
      </c>
      <c r="C271" s="386" t="s">
        <v>1476</v>
      </c>
      <c r="D271" s="386" t="s">
        <v>1738</v>
      </c>
      <c r="E271" s="121" t="s">
        <v>1478</v>
      </c>
      <c r="F271" s="121"/>
      <c r="G271" s="974"/>
      <c r="H271" s="974">
        <v>43794</v>
      </c>
      <c r="I271" s="974"/>
      <c r="J271" s="974">
        <v>43806</v>
      </c>
      <c r="K271" s="977">
        <v>1.2759994E-2</v>
      </c>
      <c r="L271" s="121"/>
      <c r="M271" s="977">
        <v>1.2759994E-2</v>
      </c>
      <c r="N271" s="977">
        <v>1.2759994E-2</v>
      </c>
    </row>
    <row r="272" spans="2:14" ht="28" x14ac:dyDescent="0.3">
      <c r="B272" s="973">
        <v>258</v>
      </c>
      <c r="C272" s="386" t="s">
        <v>1485</v>
      </c>
      <c r="D272" s="386" t="s">
        <v>1739</v>
      </c>
      <c r="E272" s="121" t="s">
        <v>1478</v>
      </c>
      <c r="F272" s="121"/>
      <c r="G272" s="974"/>
      <c r="H272" s="978"/>
      <c r="I272" s="974"/>
      <c r="J272" s="974">
        <v>43804</v>
      </c>
      <c r="K272" s="977">
        <v>2.1770999999999999E-2</v>
      </c>
      <c r="L272" s="121"/>
      <c r="M272" s="977">
        <v>2.1770999999999999E-2</v>
      </c>
      <c r="N272" s="977">
        <v>2.1770999999999999E-2</v>
      </c>
    </row>
    <row r="273" spans="2:14" ht="28" x14ac:dyDescent="0.3">
      <c r="B273" s="973">
        <v>259</v>
      </c>
      <c r="C273" s="386" t="s">
        <v>1485</v>
      </c>
      <c r="D273" s="386" t="s">
        <v>1740</v>
      </c>
      <c r="E273" s="121" t="s">
        <v>1478</v>
      </c>
      <c r="F273" s="121"/>
      <c r="G273" s="974"/>
      <c r="H273" s="974">
        <v>43789</v>
      </c>
      <c r="I273" s="974">
        <f>H273+15</f>
        <v>43804</v>
      </c>
      <c r="J273" s="974">
        <v>43879</v>
      </c>
      <c r="K273" s="977">
        <v>2.5458264000000001E-2</v>
      </c>
      <c r="L273" s="121"/>
      <c r="M273" s="977">
        <v>2.5458264000000001E-2</v>
      </c>
      <c r="N273" s="977">
        <v>2.5458264000000001E-2</v>
      </c>
    </row>
    <row r="274" spans="2:14" ht="28" x14ac:dyDescent="0.3">
      <c r="B274" s="973">
        <v>260</v>
      </c>
      <c r="C274" s="386" t="s">
        <v>1476</v>
      </c>
      <c r="D274" s="386" t="s">
        <v>1741</v>
      </c>
      <c r="E274" s="121" t="s">
        <v>1478</v>
      </c>
      <c r="F274" s="121"/>
      <c r="G274" s="974"/>
      <c r="H274" s="974"/>
      <c r="I274" s="974"/>
      <c r="J274" s="974">
        <v>43774</v>
      </c>
      <c r="K274" s="977">
        <v>2.96475E-2</v>
      </c>
      <c r="L274" s="121"/>
      <c r="M274" s="977">
        <v>2.96475E-2</v>
      </c>
      <c r="N274" s="977">
        <v>2.96475E-2</v>
      </c>
    </row>
    <row r="275" spans="2:14" ht="28" x14ac:dyDescent="0.3">
      <c r="B275" s="973">
        <v>261</v>
      </c>
      <c r="C275" s="386" t="s">
        <v>1476</v>
      </c>
      <c r="D275" s="386" t="s">
        <v>1742</v>
      </c>
      <c r="E275" s="121" t="s">
        <v>1478</v>
      </c>
      <c r="F275" s="121"/>
      <c r="G275" s="974"/>
      <c r="H275" s="974">
        <v>43770</v>
      </c>
      <c r="I275" s="974">
        <f>H275+30</f>
        <v>43800</v>
      </c>
      <c r="J275" s="974">
        <v>43820</v>
      </c>
      <c r="K275" s="977">
        <v>3.0070529999999998E-2</v>
      </c>
      <c r="L275" s="121"/>
      <c r="M275" s="977">
        <v>3.0070529999999998E-2</v>
      </c>
      <c r="N275" s="977">
        <v>3.0070529999999998E-2</v>
      </c>
    </row>
    <row r="276" spans="2:14" ht="28" x14ac:dyDescent="0.3">
      <c r="B276" s="973">
        <v>262</v>
      </c>
      <c r="C276" s="386" t="s">
        <v>1476</v>
      </c>
      <c r="D276" s="386" t="s">
        <v>1743</v>
      </c>
      <c r="E276" s="121" t="s">
        <v>1478</v>
      </c>
      <c r="F276" s="121"/>
      <c r="G276" s="974"/>
      <c r="H276" s="974">
        <v>43733</v>
      </c>
      <c r="I276" s="974">
        <f>H276+182</f>
        <v>43915</v>
      </c>
      <c r="J276" s="974">
        <v>43944</v>
      </c>
      <c r="K276" s="977">
        <v>2.9738676000000002E-2</v>
      </c>
      <c r="L276" s="121"/>
      <c r="M276" s="977">
        <v>2.9738676000000002E-2</v>
      </c>
      <c r="N276" s="977">
        <v>2.9738676000000006E-2</v>
      </c>
    </row>
    <row r="277" spans="2:14" ht="28" x14ac:dyDescent="0.3">
      <c r="B277" s="973">
        <v>263</v>
      </c>
      <c r="C277" s="386" t="s">
        <v>1476</v>
      </c>
      <c r="D277" s="386" t="s">
        <v>1744</v>
      </c>
      <c r="E277" s="121" t="s">
        <v>1478</v>
      </c>
      <c r="F277" s="121"/>
      <c r="G277" s="974"/>
      <c r="H277" s="974">
        <v>43699</v>
      </c>
      <c r="I277" s="974">
        <f t="shared" ref="I277:I282" si="0">H277+30</f>
        <v>43729</v>
      </c>
      <c r="J277" s="974">
        <v>43741</v>
      </c>
      <c r="K277" s="977">
        <v>1.18732E-2</v>
      </c>
      <c r="L277" s="121"/>
      <c r="M277" s="977">
        <v>1.18732E-2</v>
      </c>
      <c r="N277" s="977">
        <v>1.18732E-2</v>
      </c>
    </row>
    <row r="278" spans="2:14" ht="28" x14ac:dyDescent="0.3">
      <c r="B278" s="973">
        <v>264</v>
      </c>
      <c r="C278" s="386" t="s">
        <v>1476</v>
      </c>
      <c r="D278" s="386" t="s">
        <v>1745</v>
      </c>
      <c r="E278" s="121" t="s">
        <v>1478</v>
      </c>
      <c r="F278" s="121"/>
      <c r="G278" s="974"/>
      <c r="H278" s="974">
        <v>43703</v>
      </c>
      <c r="I278" s="974">
        <f t="shared" si="0"/>
        <v>43733</v>
      </c>
      <c r="J278" s="974">
        <v>43729</v>
      </c>
      <c r="K278" s="977">
        <v>1.8754448E-2</v>
      </c>
      <c r="L278" s="121"/>
      <c r="M278" s="977">
        <v>1.8754448E-2</v>
      </c>
      <c r="N278" s="977">
        <v>1.8754448000000003E-2</v>
      </c>
    </row>
    <row r="279" spans="2:14" ht="28" x14ac:dyDescent="0.3">
      <c r="B279" s="973">
        <v>265</v>
      </c>
      <c r="C279" s="386" t="s">
        <v>1476</v>
      </c>
      <c r="D279" s="386" t="s">
        <v>1746</v>
      </c>
      <c r="E279" s="121" t="s">
        <v>1478</v>
      </c>
      <c r="F279" s="121"/>
      <c r="G279" s="974"/>
      <c r="H279" s="974">
        <v>43703</v>
      </c>
      <c r="I279" s="974">
        <f t="shared" si="0"/>
        <v>43733</v>
      </c>
      <c r="J279" s="974">
        <v>43712</v>
      </c>
      <c r="K279" s="977">
        <v>2.9075199999999999E-2</v>
      </c>
      <c r="L279" s="121"/>
      <c r="M279" s="977">
        <v>2.9075199999999999E-2</v>
      </c>
      <c r="N279" s="977">
        <v>2.9075199999999999E-2</v>
      </c>
    </row>
    <row r="280" spans="2:14" ht="28" x14ac:dyDescent="0.3">
      <c r="B280" s="973">
        <v>266</v>
      </c>
      <c r="C280" s="386" t="s">
        <v>1476</v>
      </c>
      <c r="D280" s="386" t="s">
        <v>1747</v>
      </c>
      <c r="E280" s="121" t="s">
        <v>1478</v>
      </c>
      <c r="F280" s="121"/>
      <c r="G280" s="974"/>
      <c r="H280" s="974">
        <v>43685</v>
      </c>
      <c r="I280" s="974">
        <f t="shared" si="0"/>
        <v>43715</v>
      </c>
      <c r="J280" s="974">
        <v>43703</v>
      </c>
      <c r="K280" s="977">
        <v>2.2006999999999999E-2</v>
      </c>
      <c r="L280" s="121"/>
      <c r="M280" s="977">
        <v>2.2006999999999999E-2</v>
      </c>
      <c r="N280" s="977">
        <v>2.2006999999999999E-2</v>
      </c>
    </row>
    <row r="281" spans="2:14" ht="28" x14ac:dyDescent="0.3">
      <c r="B281" s="973">
        <v>267</v>
      </c>
      <c r="C281" s="386" t="s">
        <v>1476</v>
      </c>
      <c r="D281" s="386" t="s">
        <v>1748</v>
      </c>
      <c r="E281" s="121" t="s">
        <v>1478</v>
      </c>
      <c r="F281" s="121"/>
      <c r="G281" s="974"/>
      <c r="H281" s="974">
        <v>43712</v>
      </c>
      <c r="I281" s="974">
        <f t="shared" si="0"/>
        <v>43742</v>
      </c>
      <c r="J281" s="974">
        <v>43722</v>
      </c>
      <c r="K281" s="977">
        <v>3.4894370000000001E-2</v>
      </c>
      <c r="L281" s="121"/>
      <c r="M281" s="977">
        <v>3.4894370000000001E-2</v>
      </c>
      <c r="N281" s="977">
        <v>3.4894370000000001E-2</v>
      </c>
    </row>
    <row r="282" spans="2:14" ht="28" x14ac:dyDescent="0.3">
      <c r="B282" s="973">
        <v>268</v>
      </c>
      <c r="C282" s="386" t="s">
        <v>1476</v>
      </c>
      <c r="D282" s="386" t="s">
        <v>1749</v>
      </c>
      <c r="E282" s="121" t="s">
        <v>1478</v>
      </c>
      <c r="F282" s="121"/>
      <c r="G282" s="974"/>
      <c r="H282" s="974">
        <v>43685</v>
      </c>
      <c r="I282" s="974">
        <f t="shared" si="0"/>
        <v>43715</v>
      </c>
      <c r="J282" s="974">
        <v>43703</v>
      </c>
      <c r="K282" s="977">
        <v>3.4765631999999998E-2</v>
      </c>
      <c r="L282" s="121"/>
      <c r="M282" s="977">
        <v>3.4765631999999998E-2</v>
      </c>
      <c r="N282" s="977">
        <v>3.4765631999999998E-2</v>
      </c>
    </row>
    <row r="283" spans="2:14" ht="42" x14ac:dyDescent="0.3">
      <c r="B283" s="973">
        <v>269</v>
      </c>
      <c r="C283" s="386" t="s">
        <v>1476</v>
      </c>
      <c r="D283" s="386" t="s">
        <v>1750</v>
      </c>
      <c r="E283" s="121" t="s">
        <v>1478</v>
      </c>
      <c r="F283" s="121"/>
      <c r="G283" s="974"/>
      <c r="H283" s="974">
        <v>43617</v>
      </c>
      <c r="I283" s="974">
        <f>H283+365</f>
        <v>43982</v>
      </c>
      <c r="J283" s="974">
        <v>43921</v>
      </c>
      <c r="K283" s="977">
        <v>6.1349647E-2</v>
      </c>
      <c r="L283" s="121"/>
      <c r="M283" s="977">
        <v>6.1349647E-2</v>
      </c>
      <c r="N283" s="977">
        <v>6.0934999000000011E-2</v>
      </c>
    </row>
    <row r="284" spans="2:14" ht="28" x14ac:dyDescent="0.3">
      <c r="B284" s="973">
        <v>270</v>
      </c>
      <c r="C284" s="386" t="s">
        <v>1476</v>
      </c>
      <c r="D284" s="386" t="s">
        <v>1751</v>
      </c>
      <c r="E284" s="121" t="s">
        <v>1478</v>
      </c>
      <c r="F284" s="121"/>
      <c r="G284" s="974"/>
      <c r="H284" s="974">
        <v>43605</v>
      </c>
      <c r="I284" s="974">
        <f>H284+30</f>
        <v>43635</v>
      </c>
      <c r="J284" s="974">
        <v>43616</v>
      </c>
      <c r="K284" s="977">
        <v>2.988E-2</v>
      </c>
      <c r="L284" s="121"/>
      <c r="M284" s="977">
        <v>2.988E-2</v>
      </c>
      <c r="N284" s="977">
        <v>2.988E-2</v>
      </c>
    </row>
    <row r="285" spans="2:14" ht="28" x14ac:dyDescent="0.3">
      <c r="B285" s="973">
        <v>271</v>
      </c>
      <c r="C285" s="386" t="s">
        <v>1476</v>
      </c>
      <c r="D285" s="386" t="s">
        <v>1752</v>
      </c>
      <c r="E285" s="121" t="s">
        <v>1478</v>
      </c>
      <c r="F285" s="121"/>
      <c r="G285" s="974"/>
      <c r="H285" s="974">
        <v>43594</v>
      </c>
      <c r="I285" s="974">
        <f>H285+15</f>
        <v>43609</v>
      </c>
      <c r="J285" s="974">
        <v>43595</v>
      </c>
      <c r="K285" s="977">
        <v>2.7292253999999998E-2</v>
      </c>
      <c r="L285" s="121"/>
      <c r="M285" s="977">
        <v>2.7292253999999998E-2</v>
      </c>
      <c r="N285" s="977">
        <v>2.7292253999999998E-2</v>
      </c>
    </row>
    <row r="286" spans="2:14" ht="28" x14ac:dyDescent="0.3">
      <c r="B286" s="973">
        <v>272</v>
      </c>
      <c r="C286" s="386" t="s">
        <v>1476</v>
      </c>
      <c r="D286" s="386" t="s">
        <v>1753</v>
      </c>
      <c r="E286" s="121" t="s">
        <v>1478</v>
      </c>
      <c r="F286" s="121"/>
      <c r="G286" s="974"/>
      <c r="H286" s="974">
        <v>43592</v>
      </c>
      <c r="I286" s="974">
        <f>H286+365</f>
        <v>43957</v>
      </c>
      <c r="J286" s="974">
        <v>43982</v>
      </c>
      <c r="K286" s="977">
        <v>9.7079822999999996E-2</v>
      </c>
      <c r="L286" s="121"/>
      <c r="M286" s="977">
        <v>9.7079822999999996E-2</v>
      </c>
      <c r="N286" s="977">
        <v>9.7300175999999988E-2</v>
      </c>
    </row>
    <row r="287" spans="2:14" ht="28" x14ac:dyDescent="0.3">
      <c r="B287" s="973">
        <v>273</v>
      </c>
      <c r="C287" s="386" t="s">
        <v>1476</v>
      </c>
      <c r="D287" s="386" t="s">
        <v>1754</v>
      </c>
      <c r="E287" s="121" t="s">
        <v>1478</v>
      </c>
      <c r="F287" s="121"/>
      <c r="G287" s="974"/>
      <c r="H287" s="974">
        <v>43582</v>
      </c>
      <c r="I287" s="974">
        <f>H287+180</f>
        <v>43762</v>
      </c>
      <c r="J287" s="974">
        <v>43750</v>
      </c>
      <c r="K287" s="977">
        <v>0.129989932</v>
      </c>
      <c r="L287" s="121"/>
      <c r="M287" s="977">
        <v>0.129989932</v>
      </c>
      <c r="N287" s="977">
        <v>0.13648942999999999</v>
      </c>
    </row>
    <row r="288" spans="2:14" ht="28" x14ac:dyDescent="0.3">
      <c r="B288" s="973">
        <v>274</v>
      </c>
      <c r="C288" s="386" t="s">
        <v>1476</v>
      </c>
      <c r="D288" s="386" t="s">
        <v>1755</v>
      </c>
      <c r="E288" s="121" t="s">
        <v>1478</v>
      </c>
      <c r="F288" s="121"/>
      <c r="G288" s="974"/>
      <c r="H288" s="974">
        <v>43587</v>
      </c>
      <c r="I288" s="974">
        <f>H288+30</f>
        <v>43617</v>
      </c>
      <c r="J288" s="974">
        <v>43605</v>
      </c>
      <c r="K288" s="977">
        <v>3.5281882000000001E-2</v>
      </c>
      <c r="L288" s="121"/>
      <c r="M288" s="977">
        <v>3.5281882000000001E-2</v>
      </c>
      <c r="N288" s="977">
        <v>3.4927882E-2</v>
      </c>
    </row>
    <row r="289" spans="2:14" ht="28" x14ac:dyDescent="0.3">
      <c r="B289" s="973">
        <v>275</v>
      </c>
      <c r="C289" s="386" t="s">
        <v>1476</v>
      </c>
      <c r="D289" s="386" t="s">
        <v>1756</v>
      </c>
      <c r="E289" s="121" t="s">
        <v>1478</v>
      </c>
      <c r="F289" s="121"/>
      <c r="G289" s="974"/>
      <c r="H289" s="974">
        <v>43577</v>
      </c>
      <c r="I289" s="974">
        <f>H289+365</f>
        <v>43942</v>
      </c>
      <c r="J289" s="974">
        <v>43959</v>
      </c>
      <c r="K289" s="977">
        <v>0.28559067799999999</v>
      </c>
      <c r="L289" s="121"/>
      <c r="M289" s="977">
        <v>0.28559067799999999</v>
      </c>
      <c r="N289" s="977">
        <v>0.29800376599999995</v>
      </c>
    </row>
    <row r="290" spans="2:14" ht="28" x14ac:dyDescent="0.3">
      <c r="B290" s="973">
        <v>276</v>
      </c>
      <c r="C290" s="386" t="s">
        <v>1476</v>
      </c>
      <c r="D290" s="386" t="s">
        <v>1757</v>
      </c>
      <c r="E290" s="121" t="s">
        <v>1478</v>
      </c>
      <c r="F290" s="121"/>
      <c r="G290" s="974"/>
      <c r="H290" s="978"/>
      <c r="I290" s="974"/>
      <c r="J290" s="974">
        <v>43592</v>
      </c>
      <c r="K290" s="977">
        <v>8.5950000000000002E-3</v>
      </c>
      <c r="L290" s="121"/>
      <c r="M290" s="977">
        <v>8.5950000000000002E-3</v>
      </c>
      <c r="N290" s="977">
        <v>8.5950000000000002E-3</v>
      </c>
    </row>
    <row r="291" spans="2:14" ht="28" x14ac:dyDescent="0.3">
      <c r="B291" s="973">
        <v>277</v>
      </c>
      <c r="C291" s="386" t="s">
        <v>1476</v>
      </c>
      <c r="D291" s="386" t="s">
        <v>1758</v>
      </c>
      <c r="E291" s="121" t="s">
        <v>1478</v>
      </c>
      <c r="F291" s="121"/>
      <c r="G291" s="974"/>
      <c r="H291" s="978"/>
      <c r="I291" s="974"/>
      <c r="J291" s="974">
        <v>43587</v>
      </c>
      <c r="K291" s="977">
        <v>2.58006E-2</v>
      </c>
      <c r="L291" s="121"/>
      <c r="M291" s="977">
        <v>2.58006E-2</v>
      </c>
      <c r="N291" s="977">
        <v>2.58006E-2</v>
      </c>
    </row>
    <row r="292" spans="2:14" ht="28" x14ac:dyDescent="0.3">
      <c r="B292" s="973">
        <v>278</v>
      </c>
      <c r="C292" s="386" t="s">
        <v>1476</v>
      </c>
      <c r="D292" s="386" t="s">
        <v>1759</v>
      </c>
      <c r="E292" s="121" t="s">
        <v>1478</v>
      </c>
      <c r="F292" s="121"/>
      <c r="G292" s="974"/>
      <c r="H292" s="974">
        <v>43575</v>
      </c>
      <c r="I292" s="974">
        <f>H292+365</f>
        <v>43940</v>
      </c>
      <c r="J292" s="974">
        <v>43942</v>
      </c>
      <c r="K292" s="977">
        <v>0.20001055200000001</v>
      </c>
      <c r="L292" s="121"/>
      <c r="M292" s="977">
        <v>0.20001055200000001</v>
      </c>
      <c r="N292" s="977">
        <v>0.20001055200000001</v>
      </c>
    </row>
    <row r="293" spans="2:14" ht="28" x14ac:dyDescent="0.3">
      <c r="B293" s="973">
        <v>279</v>
      </c>
      <c r="C293" s="386" t="s">
        <v>1476</v>
      </c>
      <c r="D293" s="386" t="s">
        <v>1760</v>
      </c>
      <c r="E293" s="121" t="s">
        <v>1478</v>
      </c>
      <c r="F293" s="121"/>
      <c r="G293" s="974"/>
      <c r="H293" s="974">
        <v>43566</v>
      </c>
      <c r="I293" s="974">
        <f>H293+365</f>
        <v>43931</v>
      </c>
      <c r="J293" s="974">
        <v>43890</v>
      </c>
      <c r="K293" s="977">
        <v>7.7088900000000002E-2</v>
      </c>
      <c r="L293" s="121"/>
      <c r="M293" s="977">
        <v>7.7088900000000002E-2</v>
      </c>
      <c r="N293" s="977">
        <v>7.702526400000001E-2</v>
      </c>
    </row>
    <row r="294" spans="2:14" ht="28" x14ac:dyDescent="0.3">
      <c r="B294" s="973">
        <v>280</v>
      </c>
      <c r="C294" s="386" t="s">
        <v>1761</v>
      </c>
      <c r="D294" s="386" t="s">
        <v>1762</v>
      </c>
      <c r="E294" s="121" t="s">
        <v>1483</v>
      </c>
      <c r="F294" s="121"/>
      <c r="G294" s="974"/>
      <c r="H294" s="974">
        <v>43448</v>
      </c>
      <c r="I294" s="974"/>
      <c r="J294" s="974">
        <v>44694</v>
      </c>
      <c r="K294" s="977">
        <v>0.94711331199999993</v>
      </c>
      <c r="L294" s="121"/>
      <c r="M294" s="977">
        <v>0.94711331199999993</v>
      </c>
      <c r="N294" s="977">
        <v>0</v>
      </c>
    </row>
    <row r="295" spans="2:14" ht="28" x14ac:dyDescent="0.3">
      <c r="B295" s="973">
        <v>281</v>
      </c>
      <c r="C295" s="386" t="s">
        <v>1476</v>
      </c>
      <c r="D295" s="386" t="s">
        <v>1763</v>
      </c>
      <c r="E295" s="121" t="s">
        <v>1478</v>
      </c>
      <c r="F295" s="121"/>
      <c r="G295" s="974"/>
      <c r="H295" s="974">
        <v>43564</v>
      </c>
      <c r="I295" s="974"/>
      <c r="J295" s="974">
        <v>43625</v>
      </c>
      <c r="K295" s="977">
        <v>2.3557166000000001E-2</v>
      </c>
      <c r="L295" s="121"/>
      <c r="M295" s="977">
        <v>2.3557166000000001E-2</v>
      </c>
      <c r="N295" s="977">
        <v>2.3557166000000001E-2</v>
      </c>
    </row>
    <row r="296" spans="2:14" ht="28" x14ac:dyDescent="0.3">
      <c r="B296" s="973">
        <v>282</v>
      </c>
      <c r="C296" s="386" t="s">
        <v>1476</v>
      </c>
      <c r="D296" s="386" t="s">
        <v>1764</v>
      </c>
      <c r="E296" s="121" t="s">
        <v>1478</v>
      </c>
      <c r="F296" s="121"/>
      <c r="G296" s="974"/>
      <c r="H296" s="974"/>
      <c r="I296" s="974"/>
      <c r="J296" s="974">
        <v>43574</v>
      </c>
      <c r="K296" s="977">
        <v>3.2464750000000001E-2</v>
      </c>
      <c r="L296" s="121"/>
      <c r="M296" s="977">
        <v>3.2464750000000001E-2</v>
      </c>
      <c r="N296" s="977">
        <v>3.2464750000000001E-2</v>
      </c>
    </row>
    <row r="297" spans="2:14" ht="28" x14ac:dyDescent="0.3">
      <c r="B297" s="973">
        <v>283</v>
      </c>
      <c r="C297" s="386" t="s">
        <v>1476</v>
      </c>
      <c r="D297" s="386" t="s">
        <v>1765</v>
      </c>
      <c r="E297" s="121" t="s">
        <v>1478</v>
      </c>
      <c r="F297" s="121"/>
      <c r="G297" s="974"/>
      <c r="H297" s="974"/>
      <c r="I297" s="974"/>
      <c r="J297" s="974"/>
      <c r="K297" s="977">
        <v>2.6399550000000001E-2</v>
      </c>
      <c r="L297" s="121"/>
      <c r="M297" s="977">
        <v>2.6399550000000001E-2</v>
      </c>
      <c r="N297" s="977">
        <v>2.6399550000000001E-2</v>
      </c>
    </row>
    <row r="298" spans="2:14" ht="28" x14ac:dyDescent="0.3">
      <c r="B298" s="973">
        <v>284</v>
      </c>
      <c r="C298" s="386" t="s">
        <v>1761</v>
      </c>
      <c r="D298" s="386" t="s">
        <v>1766</v>
      </c>
      <c r="E298" s="121" t="s">
        <v>1483</v>
      </c>
      <c r="F298" s="121"/>
      <c r="G298" s="974"/>
      <c r="H298" s="974"/>
      <c r="I298" s="974"/>
      <c r="J298" s="974"/>
      <c r="K298" s="977">
        <v>1.545054122</v>
      </c>
      <c r="L298" s="121"/>
      <c r="M298" s="977">
        <v>1.545054122</v>
      </c>
      <c r="N298" s="977">
        <v>0</v>
      </c>
    </row>
    <row r="299" spans="2:14" ht="28" x14ac:dyDescent="0.3">
      <c r="B299" s="973">
        <v>285</v>
      </c>
      <c r="C299" s="386" t="s">
        <v>1476</v>
      </c>
      <c r="D299" s="386" t="s">
        <v>1767</v>
      </c>
      <c r="E299" s="121" t="s">
        <v>1478</v>
      </c>
      <c r="F299" s="121"/>
      <c r="G299" s="974"/>
      <c r="H299" s="974"/>
      <c r="I299" s="974"/>
      <c r="J299" s="974"/>
      <c r="K299" s="977">
        <v>3.1882420000000002E-2</v>
      </c>
      <c r="L299" s="121"/>
      <c r="M299" s="977">
        <v>3.1882420000000002E-2</v>
      </c>
      <c r="N299" s="977">
        <v>3.1882420000000002E-2</v>
      </c>
    </row>
    <row r="300" spans="2:14" ht="28" x14ac:dyDescent="0.3">
      <c r="B300" s="973">
        <v>286</v>
      </c>
      <c r="C300" s="386" t="s">
        <v>1476</v>
      </c>
      <c r="D300" s="386" t="s">
        <v>1768</v>
      </c>
      <c r="E300" s="121" t="s">
        <v>1478</v>
      </c>
      <c r="F300" s="121"/>
      <c r="G300" s="974"/>
      <c r="H300" s="974"/>
      <c r="I300" s="974"/>
      <c r="J300" s="974"/>
      <c r="K300" s="977">
        <v>3.2030208000000004E-2</v>
      </c>
      <c r="L300" s="121"/>
      <c r="M300" s="977">
        <v>3.2030208000000004E-2</v>
      </c>
      <c r="N300" s="977">
        <v>3.2030208000000004E-2</v>
      </c>
    </row>
    <row r="301" spans="2:14" ht="28" x14ac:dyDescent="0.3">
      <c r="B301" s="973">
        <v>287</v>
      </c>
      <c r="C301" s="386" t="s">
        <v>1476</v>
      </c>
      <c r="D301" s="386" t="s">
        <v>1769</v>
      </c>
      <c r="E301" s="121" t="s">
        <v>1478</v>
      </c>
      <c r="F301" s="121"/>
      <c r="G301" s="974"/>
      <c r="H301" s="974"/>
      <c r="I301" s="974"/>
      <c r="J301" s="974"/>
      <c r="K301" s="977">
        <v>1.2142317E-2</v>
      </c>
      <c r="L301" s="121"/>
      <c r="M301" s="977">
        <v>1.2142317E-2</v>
      </c>
      <c r="N301" s="977">
        <v>1.2142317E-2</v>
      </c>
    </row>
    <row r="302" spans="2:14" ht="28" x14ac:dyDescent="0.3">
      <c r="B302" s="973">
        <v>288</v>
      </c>
      <c r="C302" s="386" t="s">
        <v>1485</v>
      </c>
      <c r="D302" s="386" t="s">
        <v>1770</v>
      </c>
      <c r="E302" s="121" t="s">
        <v>1478</v>
      </c>
      <c r="F302" s="121"/>
      <c r="G302" s="974"/>
      <c r="H302" s="974"/>
      <c r="I302" s="974"/>
      <c r="J302" s="974"/>
      <c r="K302" s="977">
        <v>0.13297302</v>
      </c>
      <c r="L302" s="121"/>
      <c r="M302" s="977">
        <v>0.13297302</v>
      </c>
      <c r="N302" s="977">
        <v>0.13297302000000003</v>
      </c>
    </row>
    <row r="303" spans="2:14" ht="28" x14ac:dyDescent="0.3">
      <c r="B303" s="973">
        <v>289</v>
      </c>
      <c r="C303" s="386" t="s">
        <v>1476</v>
      </c>
      <c r="D303" s="386" t="s">
        <v>1771</v>
      </c>
      <c r="E303" s="121" t="s">
        <v>1478</v>
      </c>
      <c r="F303" s="121"/>
      <c r="G303" s="974"/>
      <c r="H303" s="974"/>
      <c r="I303" s="974"/>
      <c r="J303" s="974"/>
      <c r="K303" s="977">
        <v>3.1007756000000001E-2</v>
      </c>
      <c r="L303" s="121"/>
      <c r="M303" s="977">
        <v>3.1007756000000001E-2</v>
      </c>
      <c r="N303" s="977">
        <v>2.2521423999999998E-2</v>
      </c>
    </row>
    <row r="304" spans="2:14" ht="28" x14ac:dyDescent="0.3">
      <c r="B304" s="973">
        <v>290</v>
      </c>
      <c r="C304" s="386" t="s">
        <v>1476</v>
      </c>
      <c r="D304" s="386" t="s">
        <v>1772</v>
      </c>
      <c r="E304" s="121" t="s">
        <v>1478</v>
      </c>
      <c r="F304" s="121"/>
      <c r="G304" s="974"/>
      <c r="H304" s="974"/>
      <c r="I304" s="974"/>
      <c r="J304" s="974"/>
      <c r="K304" s="977">
        <v>3.3748E-2</v>
      </c>
      <c r="L304" s="121"/>
      <c r="M304" s="977">
        <v>3.3748E-2</v>
      </c>
      <c r="N304" s="977">
        <v>3.366363E-2</v>
      </c>
    </row>
    <row r="305" spans="2:14" ht="28" x14ac:dyDescent="0.3">
      <c r="B305" s="973">
        <v>291</v>
      </c>
      <c r="C305" s="386" t="s">
        <v>1476</v>
      </c>
      <c r="D305" s="386" t="s">
        <v>1773</v>
      </c>
      <c r="E305" s="121" t="s">
        <v>1478</v>
      </c>
      <c r="F305" s="121"/>
      <c r="G305" s="974"/>
      <c r="H305" s="974"/>
      <c r="I305" s="974"/>
      <c r="J305" s="974"/>
      <c r="K305" s="977">
        <v>3.3792840000000005E-2</v>
      </c>
      <c r="L305" s="121"/>
      <c r="M305" s="977">
        <v>3.3792840000000005E-2</v>
      </c>
      <c r="N305" s="977">
        <v>3.3792840000000005E-2</v>
      </c>
    </row>
    <row r="306" spans="2:14" ht="28" x14ac:dyDescent="0.3">
      <c r="B306" s="973">
        <v>292</v>
      </c>
      <c r="C306" s="386" t="s">
        <v>1476</v>
      </c>
      <c r="D306" s="386" t="s">
        <v>1774</v>
      </c>
      <c r="E306" s="121" t="s">
        <v>1478</v>
      </c>
      <c r="F306" s="121"/>
      <c r="G306" s="974"/>
      <c r="H306" s="974"/>
      <c r="I306" s="974"/>
      <c r="J306" s="974"/>
      <c r="K306" s="977">
        <v>1.4361189999999999E-2</v>
      </c>
      <c r="L306" s="121"/>
      <c r="M306" s="977">
        <v>1.4361189999999999E-2</v>
      </c>
      <c r="N306" s="977">
        <v>1.4361189999999999E-2</v>
      </c>
    </row>
    <row r="307" spans="2:14" ht="28" x14ac:dyDescent="0.3">
      <c r="B307" s="973">
        <v>293</v>
      </c>
      <c r="C307" s="386" t="s">
        <v>1476</v>
      </c>
      <c r="D307" s="386" t="s">
        <v>1775</v>
      </c>
      <c r="E307" s="121" t="s">
        <v>1478</v>
      </c>
      <c r="F307" s="121"/>
      <c r="G307" s="974"/>
      <c r="H307" s="974"/>
      <c r="I307" s="974"/>
      <c r="J307" s="974"/>
      <c r="K307" s="977">
        <v>0.15127502800000001</v>
      </c>
      <c r="L307" s="121"/>
      <c r="M307" s="977">
        <v>0.15127502800000001</v>
      </c>
      <c r="N307" s="977">
        <v>0.15127502800000001</v>
      </c>
    </row>
    <row r="308" spans="2:14" ht="28" x14ac:dyDescent="0.3">
      <c r="B308" s="973">
        <v>294</v>
      </c>
      <c r="C308" s="386" t="s">
        <v>1476</v>
      </c>
      <c r="D308" s="386" t="s">
        <v>1776</v>
      </c>
      <c r="E308" s="121" t="s">
        <v>1478</v>
      </c>
      <c r="F308" s="121"/>
      <c r="G308" s="974"/>
      <c r="H308" s="974"/>
      <c r="I308" s="974"/>
      <c r="J308" s="974"/>
      <c r="K308" s="977">
        <v>3.2135117999999997E-2</v>
      </c>
      <c r="L308" s="121"/>
      <c r="M308" s="977">
        <v>3.2135117999999997E-2</v>
      </c>
      <c r="N308" s="977">
        <v>3.2135117999999997E-2</v>
      </c>
    </row>
    <row r="309" spans="2:14" ht="28" x14ac:dyDescent="0.3">
      <c r="B309" s="973">
        <v>295</v>
      </c>
      <c r="C309" s="386" t="s">
        <v>1476</v>
      </c>
      <c r="D309" s="386" t="s">
        <v>1777</v>
      </c>
      <c r="E309" s="121" t="s">
        <v>1478</v>
      </c>
      <c r="F309" s="121"/>
      <c r="G309" s="974"/>
      <c r="H309" s="974"/>
      <c r="I309" s="974"/>
      <c r="J309" s="974"/>
      <c r="K309" s="977">
        <v>3.2411473999999996E-2</v>
      </c>
      <c r="L309" s="121"/>
      <c r="M309" s="977">
        <v>3.2411473999999996E-2</v>
      </c>
      <c r="N309" s="977">
        <v>3.2411473999999996E-2</v>
      </c>
    </row>
    <row r="310" spans="2:14" ht="56" x14ac:dyDescent="0.3">
      <c r="B310" s="973">
        <v>296</v>
      </c>
      <c r="C310" s="386" t="s">
        <v>1485</v>
      </c>
      <c r="D310" s="386" t="s">
        <v>1778</v>
      </c>
      <c r="E310" s="121" t="s">
        <v>1478</v>
      </c>
      <c r="F310" s="121"/>
      <c r="G310" s="974"/>
      <c r="H310" s="974"/>
      <c r="I310" s="974"/>
      <c r="J310" s="974"/>
      <c r="K310" s="977">
        <v>0.20080862399999999</v>
      </c>
      <c r="L310" s="121"/>
      <c r="M310" s="977">
        <v>0.20080862399999999</v>
      </c>
      <c r="N310" s="977">
        <v>0.20080862399999999</v>
      </c>
    </row>
    <row r="311" spans="2:14" ht="28" x14ac:dyDescent="0.3">
      <c r="B311" s="973">
        <v>297</v>
      </c>
      <c r="C311" s="386" t="s">
        <v>1476</v>
      </c>
      <c r="D311" s="386" t="s">
        <v>1779</v>
      </c>
      <c r="E311" s="121" t="s">
        <v>1478</v>
      </c>
      <c r="F311" s="121"/>
      <c r="G311" s="974"/>
      <c r="H311" s="974"/>
      <c r="I311" s="974"/>
      <c r="J311" s="974"/>
      <c r="K311" s="977">
        <v>4.3499999999999997E-3</v>
      </c>
      <c r="L311" s="121"/>
      <c r="M311" s="977">
        <v>4.3499999999999997E-3</v>
      </c>
      <c r="N311" s="977">
        <v>1.5570099999999999E-3</v>
      </c>
    </row>
    <row r="312" spans="2:14" ht="28" x14ac:dyDescent="0.3">
      <c r="B312" s="973">
        <v>298</v>
      </c>
      <c r="C312" s="386" t="s">
        <v>1476</v>
      </c>
      <c r="D312" s="386" t="s">
        <v>1780</v>
      </c>
      <c r="E312" s="121" t="s">
        <v>1478</v>
      </c>
      <c r="F312" s="121"/>
      <c r="G312" s="974"/>
      <c r="H312" s="974"/>
      <c r="I312" s="974"/>
      <c r="J312" s="974"/>
      <c r="K312" s="977">
        <v>2.7830964E-2</v>
      </c>
      <c r="L312" s="121"/>
      <c r="M312" s="977">
        <v>2.7830964E-2</v>
      </c>
      <c r="N312" s="977">
        <v>2.7830964E-2</v>
      </c>
    </row>
    <row r="313" spans="2:14" ht="28" x14ac:dyDescent="0.3">
      <c r="B313" s="973">
        <v>299</v>
      </c>
      <c r="C313" s="386" t="s">
        <v>1485</v>
      </c>
      <c r="D313" s="386" t="s">
        <v>1781</v>
      </c>
      <c r="E313" s="121" t="s">
        <v>1478</v>
      </c>
      <c r="F313" s="121"/>
      <c r="G313" s="974"/>
      <c r="H313" s="974"/>
      <c r="I313" s="974"/>
      <c r="J313" s="974"/>
      <c r="K313" s="977">
        <v>2.03745E-2</v>
      </c>
      <c r="L313" s="121"/>
      <c r="M313" s="977">
        <v>2.03745E-2</v>
      </c>
      <c r="N313" s="977">
        <v>2.1673649999999999E-2</v>
      </c>
    </row>
    <row r="314" spans="2:14" ht="28" x14ac:dyDescent="0.3">
      <c r="B314" s="973">
        <v>300</v>
      </c>
      <c r="C314" s="386" t="s">
        <v>1476</v>
      </c>
      <c r="D314" s="386" t="s">
        <v>1782</v>
      </c>
      <c r="E314" s="121" t="s">
        <v>1478</v>
      </c>
      <c r="F314" s="121"/>
      <c r="G314" s="974"/>
      <c r="H314" s="974"/>
      <c r="I314" s="974"/>
      <c r="J314" s="974"/>
      <c r="K314" s="977">
        <v>1.220625E-2</v>
      </c>
      <c r="L314" s="121"/>
      <c r="M314" s="977">
        <v>1.220625E-2</v>
      </c>
      <c r="N314" s="977">
        <v>1.2206251999999999E-2</v>
      </c>
    </row>
    <row r="315" spans="2:14" ht="28" x14ac:dyDescent="0.3">
      <c r="B315" s="973">
        <v>301</v>
      </c>
      <c r="C315" s="386" t="s">
        <v>1476</v>
      </c>
      <c r="D315" s="386" t="s">
        <v>1783</v>
      </c>
      <c r="E315" s="121" t="s">
        <v>1478</v>
      </c>
      <c r="F315" s="121"/>
      <c r="G315" s="974"/>
      <c r="H315" s="974"/>
      <c r="I315" s="974"/>
      <c r="J315" s="974"/>
      <c r="K315" s="977">
        <v>9.89312E-3</v>
      </c>
      <c r="L315" s="121"/>
      <c r="M315" s="977">
        <v>9.89312E-3</v>
      </c>
      <c r="N315" s="977">
        <v>9.89312E-3</v>
      </c>
    </row>
    <row r="316" spans="2:14" ht="28" x14ac:dyDescent="0.3">
      <c r="B316" s="973">
        <v>302</v>
      </c>
      <c r="C316" s="386" t="s">
        <v>1485</v>
      </c>
      <c r="D316" s="386" t="s">
        <v>1784</v>
      </c>
      <c r="E316" s="121" t="s">
        <v>1478</v>
      </c>
      <c r="F316" s="121"/>
      <c r="G316" s="974"/>
      <c r="H316" s="974"/>
      <c r="I316" s="974"/>
      <c r="J316" s="974"/>
      <c r="K316" s="977">
        <v>0.27403928399999999</v>
      </c>
      <c r="L316" s="121"/>
      <c r="M316" s="977">
        <v>0.27403928399999999</v>
      </c>
      <c r="N316" s="977">
        <v>0.27403928399999994</v>
      </c>
    </row>
    <row r="317" spans="2:14" ht="28" x14ac:dyDescent="0.3">
      <c r="B317" s="973">
        <v>303</v>
      </c>
      <c r="C317" s="386" t="s">
        <v>1476</v>
      </c>
      <c r="D317" s="386" t="s">
        <v>1785</v>
      </c>
      <c r="E317" s="121" t="s">
        <v>1478</v>
      </c>
      <c r="F317" s="121"/>
      <c r="G317" s="974"/>
      <c r="H317" s="974"/>
      <c r="I317" s="974"/>
      <c r="J317" s="974"/>
      <c r="K317" s="977">
        <v>1.3668E-2</v>
      </c>
      <c r="L317" s="121"/>
      <c r="M317" s="977">
        <v>1.3668E-2</v>
      </c>
      <c r="N317" s="977">
        <v>1.6128239999999999E-2</v>
      </c>
    </row>
    <row r="318" spans="2:14" ht="28" x14ac:dyDescent="0.3">
      <c r="B318" s="973">
        <v>304</v>
      </c>
      <c r="C318" s="386" t="s">
        <v>1476</v>
      </c>
      <c r="D318" s="386" t="s">
        <v>1786</v>
      </c>
      <c r="E318" s="121" t="s">
        <v>1478</v>
      </c>
      <c r="F318" s="121"/>
      <c r="G318" s="974"/>
      <c r="H318" s="974"/>
      <c r="I318" s="974"/>
      <c r="J318" s="974"/>
      <c r="K318" s="977">
        <v>2.6934023999999997E-2</v>
      </c>
      <c r="L318" s="121"/>
      <c r="M318" s="977">
        <v>2.6934023999999997E-2</v>
      </c>
      <c r="N318" s="977">
        <v>2.6708008999999998E-2</v>
      </c>
    </row>
    <row r="319" spans="2:14" ht="28" x14ac:dyDescent="0.3">
      <c r="B319" s="973">
        <v>305</v>
      </c>
      <c r="C319" s="386" t="s">
        <v>1476</v>
      </c>
      <c r="D319" s="386" t="s">
        <v>1787</v>
      </c>
      <c r="E319" s="121" t="s">
        <v>1478</v>
      </c>
      <c r="F319" s="121"/>
      <c r="G319" s="974"/>
      <c r="H319" s="974"/>
      <c r="I319" s="974"/>
      <c r="J319" s="974"/>
      <c r="K319" s="977">
        <v>2.80656E-2</v>
      </c>
      <c r="L319" s="121"/>
      <c r="M319" s="977">
        <v>2.80656E-2</v>
      </c>
      <c r="N319" s="977">
        <v>3.3117408000000001E-2</v>
      </c>
    </row>
    <row r="320" spans="2:14" ht="28" x14ac:dyDescent="0.3">
      <c r="B320" s="973">
        <v>306</v>
      </c>
      <c r="C320" s="386" t="s">
        <v>1476</v>
      </c>
      <c r="D320" s="386" t="s">
        <v>1788</v>
      </c>
      <c r="E320" s="121" t="s">
        <v>1478</v>
      </c>
      <c r="F320" s="121"/>
      <c r="G320" s="974"/>
      <c r="H320" s="974"/>
      <c r="I320" s="974"/>
      <c r="J320" s="974"/>
      <c r="K320" s="977">
        <v>2.7808056000000001E-2</v>
      </c>
      <c r="L320" s="121"/>
      <c r="M320" s="977">
        <v>2.7808056000000001E-2</v>
      </c>
      <c r="N320" s="977">
        <v>3.2733078999999998E-2</v>
      </c>
    </row>
    <row r="321" spans="2:14" ht="28" x14ac:dyDescent="0.3">
      <c r="B321" s="973">
        <v>307</v>
      </c>
      <c r="C321" s="386" t="s">
        <v>1485</v>
      </c>
      <c r="D321" s="386" t="s">
        <v>1789</v>
      </c>
      <c r="E321" s="121" t="s">
        <v>1478</v>
      </c>
      <c r="F321" s="121"/>
      <c r="G321" s="974"/>
      <c r="H321" s="974"/>
      <c r="I321" s="974"/>
      <c r="J321" s="974"/>
      <c r="K321" s="977">
        <v>2.1671879999999998E-2</v>
      </c>
      <c r="L321" s="121"/>
      <c r="M321" s="977">
        <v>2.1671879999999998E-2</v>
      </c>
      <c r="N321" s="977">
        <v>2.1671879999999998E-2</v>
      </c>
    </row>
    <row r="322" spans="2:14" ht="28" x14ac:dyDescent="0.3">
      <c r="B322" s="973">
        <v>308</v>
      </c>
      <c r="C322" s="386" t="s">
        <v>1476</v>
      </c>
      <c r="D322" s="386" t="s">
        <v>1790</v>
      </c>
      <c r="E322" s="121" t="s">
        <v>1478</v>
      </c>
      <c r="F322" s="121"/>
      <c r="G322" s="974"/>
      <c r="H322" s="974"/>
      <c r="I322" s="974"/>
      <c r="J322" s="974"/>
      <c r="K322" s="977">
        <v>2.3009999999999999E-2</v>
      </c>
      <c r="L322" s="121"/>
      <c r="M322" s="977">
        <v>2.3009999999999999E-2</v>
      </c>
      <c r="N322" s="977">
        <v>2.3009999999999999E-2</v>
      </c>
    </row>
    <row r="323" spans="2:14" ht="28" x14ac:dyDescent="0.3">
      <c r="B323" s="973">
        <v>309</v>
      </c>
      <c r="C323" s="386" t="s">
        <v>1476</v>
      </c>
      <c r="D323" s="386" t="s">
        <v>1791</v>
      </c>
      <c r="E323" s="121" t="s">
        <v>1478</v>
      </c>
      <c r="F323" s="121"/>
      <c r="G323" s="974"/>
      <c r="H323" s="974"/>
      <c r="I323" s="974"/>
      <c r="J323" s="974"/>
      <c r="K323" s="977">
        <v>1.8930079999999998E-2</v>
      </c>
      <c r="L323" s="121"/>
      <c r="M323" s="977">
        <v>1.8930079999999998E-2</v>
      </c>
      <c r="N323" s="977">
        <v>2.2337494000000003E-2</v>
      </c>
    </row>
    <row r="324" spans="2:14" ht="28" x14ac:dyDescent="0.3">
      <c r="B324" s="973">
        <v>310</v>
      </c>
      <c r="C324" s="386" t="s">
        <v>1476</v>
      </c>
      <c r="D324" s="386" t="s">
        <v>1792</v>
      </c>
      <c r="E324" s="121" t="s">
        <v>1478</v>
      </c>
      <c r="F324" s="121"/>
      <c r="G324" s="974"/>
      <c r="H324" s="974"/>
      <c r="I324" s="974"/>
      <c r="J324" s="974"/>
      <c r="K324" s="977">
        <v>2.3458400000000001E-2</v>
      </c>
      <c r="L324" s="121"/>
      <c r="M324" s="977">
        <v>2.3458400000000001E-2</v>
      </c>
      <c r="N324" s="977">
        <v>2.3458400000000001E-2</v>
      </c>
    </row>
    <row r="325" spans="2:14" ht="28" x14ac:dyDescent="0.3">
      <c r="B325" s="973">
        <v>311</v>
      </c>
      <c r="C325" s="386" t="s">
        <v>1476</v>
      </c>
      <c r="D325" s="386" t="s">
        <v>1793</v>
      </c>
      <c r="E325" s="121" t="s">
        <v>1478</v>
      </c>
      <c r="F325" s="121"/>
      <c r="G325" s="974"/>
      <c r="H325" s="974"/>
      <c r="I325" s="974"/>
      <c r="J325" s="974"/>
      <c r="K325" s="977">
        <v>2.1558600000000001E-2</v>
      </c>
      <c r="L325" s="121"/>
      <c r="M325" s="977">
        <v>2.1558600000000001E-2</v>
      </c>
      <c r="N325" s="977">
        <v>2.1558600000000001E-2</v>
      </c>
    </row>
    <row r="326" spans="2:14" ht="28" x14ac:dyDescent="0.3">
      <c r="B326" s="973">
        <v>312</v>
      </c>
      <c r="C326" s="386" t="s">
        <v>1476</v>
      </c>
      <c r="D326" s="386" t="s">
        <v>1794</v>
      </c>
      <c r="E326" s="121" t="s">
        <v>1478</v>
      </c>
      <c r="F326" s="121"/>
      <c r="G326" s="974"/>
      <c r="H326" s="974"/>
      <c r="I326" s="974"/>
      <c r="J326" s="974"/>
      <c r="K326" s="977">
        <v>2.2185773999999998E-2</v>
      </c>
      <c r="L326" s="121"/>
      <c r="M326" s="977">
        <v>2.2185773999999998E-2</v>
      </c>
      <c r="N326" s="977">
        <v>2.2185773999999998E-2</v>
      </c>
    </row>
    <row r="327" spans="2:14" ht="28" x14ac:dyDescent="0.3">
      <c r="B327" s="973">
        <v>313</v>
      </c>
      <c r="C327" s="386" t="s">
        <v>1476</v>
      </c>
      <c r="D327" s="386" t="s">
        <v>1795</v>
      </c>
      <c r="E327" s="121" t="s">
        <v>1478</v>
      </c>
      <c r="F327" s="121"/>
      <c r="G327" s="974"/>
      <c r="H327" s="974"/>
      <c r="I327" s="974"/>
      <c r="J327" s="974"/>
      <c r="K327" s="977">
        <v>2.1711999999999999E-2</v>
      </c>
      <c r="L327" s="121"/>
      <c r="M327" s="977">
        <v>2.1711999999999999E-2</v>
      </c>
      <c r="N327" s="977">
        <v>2.1711999999999999E-2</v>
      </c>
    </row>
    <row r="328" spans="2:14" ht="28" x14ac:dyDescent="0.3">
      <c r="B328" s="973">
        <v>314</v>
      </c>
      <c r="C328" s="386" t="s">
        <v>1476</v>
      </c>
      <c r="D328" s="386" t="s">
        <v>1796</v>
      </c>
      <c r="E328" s="121" t="s">
        <v>1478</v>
      </c>
      <c r="F328" s="121"/>
      <c r="G328" s="974"/>
      <c r="H328" s="974"/>
      <c r="I328" s="974"/>
      <c r="J328" s="974"/>
      <c r="K328" s="977">
        <v>2.2683848E-2</v>
      </c>
      <c r="L328" s="121"/>
      <c r="M328" s="977">
        <v>2.2683848E-2</v>
      </c>
      <c r="N328" s="977">
        <v>2.1530400000000002E-2</v>
      </c>
    </row>
    <row r="329" spans="2:14" ht="28" x14ac:dyDescent="0.3">
      <c r="B329" s="973">
        <v>315</v>
      </c>
      <c r="C329" s="386" t="s">
        <v>1476</v>
      </c>
      <c r="D329" s="386" t="s">
        <v>1797</v>
      </c>
      <c r="E329" s="121" t="s">
        <v>1478</v>
      </c>
      <c r="F329" s="121"/>
      <c r="G329" s="974"/>
      <c r="H329" s="974"/>
      <c r="I329" s="974"/>
      <c r="J329" s="974"/>
      <c r="K329" s="977">
        <v>1.9975E-2</v>
      </c>
      <c r="L329" s="121"/>
      <c r="M329" s="977">
        <v>1.9975E-2</v>
      </c>
      <c r="N329" s="977">
        <v>2.3570500000000001E-2</v>
      </c>
    </row>
    <row r="330" spans="2:14" ht="28" x14ac:dyDescent="0.3">
      <c r="B330" s="973">
        <v>316</v>
      </c>
      <c r="C330" s="386" t="s">
        <v>1476</v>
      </c>
      <c r="D330" s="386" t="s">
        <v>1798</v>
      </c>
      <c r="E330" s="121" t="s">
        <v>1478</v>
      </c>
      <c r="F330" s="121"/>
      <c r="G330" s="974"/>
      <c r="H330" s="974"/>
      <c r="I330" s="974"/>
      <c r="J330" s="974"/>
      <c r="K330" s="977">
        <v>1.9800000000000002E-2</v>
      </c>
      <c r="L330" s="121"/>
      <c r="M330" s="977">
        <v>1.9800000000000002E-2</v>
      </c>
      <c r="N330" s="977">
        <v>2.3363999999999999E-2</v>
      </c>
    </row>
    <row r="331" spans="2:14" ht="28" x14ac:dyDescent="0.3">
      <c r="B331" s="973">
        <v>317</v>
      </c>
      <c r="C331" s="386" t="s">
        <v>1476</v>
      </c>
      <c r="D331" s="386" t="s">
        <v>1799</v>
      </c>
      <c r="E331" s="121" t="s">
        <v>1478</v>
      </c>
      <c r="F331" s="121"/>
      <c r="G331" s="974"/>
      <c r="H331" s="974"/>
      <c r="I331" s="974"/>
      <c r="J331" s="974"/>
      <c r="K331" s="977">
        <v>1.6526254000000001E-2</v>
      </c>
      <c r="L331" s="121"/>
      <c r="M331" s="977">
        <v>1.6526254000000001E-2</v>
      </c>
      <c r="N331" s="977">
        <v>1.6526254000000001E-2</v>
      </c>
    </row>
    <row r="332" spans="2:14" ht="28" x14ac:dyDescent="0.3">
      <c r="B332" s="973">
        <v>318</v>
      </c>
      <c r="C332" s="386" t="s">
        <v>1476</v>
      </c>
      <c r="D332" s="386" t="s">
        <v>1800</v>
      </c>
      <c r="E332" s="121" t="s">
        <v>1478</v>
      </c>
      <c r="F332" s="121"/>
      <c r="G332" s="974"/>
      <c r="H332" s="974"/>
      <c r="I332" s="974"/>
      <c r="J332" s="974"/>
      <c r="K332" s="977">
        <v>2.2921500000000001E-2</v>
      </c>
      <c r="L332" s="121"/>
      <c r="M332" s="977">
        <v>2.2921500000000001E-2</v>
      </c>
      <c r="N332" s="977">
        <v>2.2921500000000001E-2</v>
      </c>
    </row>
    <row r="333" spans="2:14" ht="28" x14ac:dyDescent="0.3">
      <c r="B333" s="973">
        <v>319</v>
      </c>
      <c r="C333" s="386" t="s">
        <v>1476</v>
      </c>
      <c r="D333" s="386" t="s">
        <v>1801</v>
      </c>
      <c r="E333" s="121" t="s">
        <v>1483</v>
      </c>
      <c r="F333" s="121"/>
      <c r="G333" s="974"/>
      <c r="H333" s="974"/>
      <c r="I333" s="974"/>
      <c r="J333" s="974"/>
      <c r="K333" s="977">
        <v>1.18E-2</v>
      </c>
      <c r="L333" s="121"/>
      <c r="M333" s="977">
        <v>1.18E-2</v>
      </c>
      <c r="N333" s="977">
        <v>0.01</v>
      </c>
    </row>
    <row r="334" spans="2:14" ht="28" x14ac:dyDescent="0.3">
      <c r="B334" s="973">
        <v>320</v>
      </c>
      <c r="C334" s="386" t="s">
        <v>1476</v>
      </c>
      <c r="D334" s="386" t="s">
        <v>1802</v>
      </c>
      <c r="E334" s="121" t="s">
        <v>1478</v>
      </c>
      <c r="F334" s="121"/>
      <c r="G334" s="974"/>
      <c r="H334" s="974"/>
      <c r="I334" s="974"/>
      <c r="J334" s="974"/>
      <c r="K334" s="977">
        <v>2.1729700000000001E-2</v>
      </c>
      <c r="L334" s="121"/>
      <c r="M334" s="977">
        <v>2.1729700000000001E-2</v>
      </c>
      <c r="N334" s="977">
        <v>2.1729700000000001E-2</v>
      </c>
    </row>
    <row r="335" spans="2:14" ht="42" x14ac:dyDescent="0.3">
      <c r="B335" s="973">
        <v>321</v>
      </c>
      <c r="C335" s="386" t="s">
        <v>1476</v>
      </c>
      <c r="D335" s="386" t="s">
        <v>1803</v>
      </c>
      <c r="E335" s="121" t="s">
        <v>1478</v>
      </c>
      <c r="F335" s="121"/>
      <c r="G335" s="974"/>
      <c r="H335" s="974"/>
      <c r="I335" s="974"/>
      <c r="J335" s="974"/>
      <c r="K335" s="977">
        <v>2.3249539999999999E-2</v>
      </c>
      <c r="L335" s="121"/>
      <c r="M335" s="977">
        <v>2.3249539999999999E-2</v>
      </c>
      <c r="N335" s="977">
        <v>2.3246113999999998E-2</v>
      </c>
    </row>
    <row r="336" spans="2:14" ht="28" x14ac:dyDescent="0.3">
      <c r="B336" s="973">
        <v>322</v>
      </c>
      <c r="C336" s="386" t="s">
        <v>1476</v>
      </c>
      <c r="D336" s="386" t="s">
        <v>1804</v>
      </c>
      <c r="E336" s="121" t="s">
        <v>1478</v>
      </c>
      <c r="F336" s="121"/>
      <c r="G336" s="974"/>
      <c r="H336" s="974"/>
      <c r="I336" s="974"/>
      <c r="J336" s="974"/>
      <c r="K336" s="977">
        <v>3.1326488E-2</v>
      </c>
      <c r="L336" s="121"/>
      <c r="M336" s="977">
        <v>3.1326488E-2</v>
      </c>
      <c r="N336" s="977">
        <v>2.7151058000000002E-2</v>
      </c>
    </row>
    <row r="337" spans="2:14" ht="28" x14ac:dyDescent="0.3">
      <c r="B337" s="973">
        <v>323</v>
      </c>
      <c r="C337" s="386" t="s">
        <v>1476</v>
      </c>
      <c r="D337" s="386" t="s">
        <v>1805</v>
      </c>
      <c r="E337" s="121" t="s">
        <v>1478</v>
      </c>
      <c r="F337" s="121"/>
      <c r="G337" s="974"/>
      <c r="H337" s="974"/>
      <c r="I337" s="974"/>
      <c r="J337" s="974"/>
      <c r="K337" s="977">
        <v>3.0889949999999999E-2</v>
      </c>
      <c r="L337" s="121"/>
      <c r="M337" s="977">
        <v>3.0889949999999999E-2</v>
      </c>
      <c r="N337" s="977">
        <v>2.8693036000000005E-2</v>
      </c>
    </row>
    <row r="338" spans="2:14" ht="28" x14ac:dyDescent="0.3">
      <c r="B338" s="973">
        <v>324</v>
      </c>
      <c r="C338" s="386" t="s">
        <v>1485</v>
      </c>
      <c r="D338" s="386" t="s">
        <v>1806</v>
      </c>
      <c r="E338" s="121" t="s">
        <v>1478</v>
      </c>
      <c r="F338" s="121"/>
      <c r="G338" s="974"/>
      <c r="H338" s="974"/>
      <c r="I338" s="974"/>
      <c r="J338" s="974"/>
      <c r="K338" s="977">
        <v>2.3578917000000001E-2</v>
      </c>
      <c r="L338" s="121"/>
      <c r="M338" s="977">
        <v>2.3578917000000001E-2</v>
      </c>
      <c r="N338" s="977">
        <v>2.3578917000000001E-2</v>
      </c>
    </row>
    <row r="339" spans="2:14" ht="28" x14ac:dyDescent="0.3">
      <c r="B339" s="973">
        <v>325</v>
      </c>
      <c r="C339" s="386" t="s">
        <v>1485</v>
      </c>
      <c r="D339" s="386" t="s">
        <v>1807</v>
      </c>
      <c r="E339" s="121" t="s">
        <v>1478</v>
      </c>
      <c r="F339" s="121"/>
      <c r="G339" s="974"/>
      <c r="H339" s="974"/>
      <c r="I339" s="974"/>
      <c r="J339" s="974"/>
      <c r="K339" s="977">
        <v>0.20910780000000001</v>
      </c>
      <c r="L339" s="121"/>
      <c r="M339" s="977">
        <v>0.20910780000000001</v>
      </c>
      <c r="N339" s="977">
        <v>0.21024838799999998</v>
      </c>
    </row>
    <row r="340" spans="2:14" ht="28" x14ac:dyDescent="0.3">
      <c r="B340" s="973">
        <v>326</v>
      </c>
      <c r="C340" s="386" t="s">
        <v>1485</v>
      </c>
      <c r="D340" s="386" t="s">
        <v>1808</v>
      </c>
      <c r="E340" s="121" t="s">
        <v>1478</v>
      </c>
      <c r="F340" s="121"/>
      <c r="G340" s="974"/>
      <c r="H340" s="974"/>
      <c r="I340" s="974"/>
      <c r="J340" s="974"/>
      <c r="K340" s="977">
        <v>2.0808710000000001E-2</v>
      </c>
      <c r="L340" s="121"/>
      <c r="M340" s="977">
        <v>2.0808710000000001E-2</v>
      </c>
      <c r="N340" s="977">
        <v>2.0808710000000001E-2</v>
      </c>
    </row>
    <row r="341" spans="2:14" ht="28" x14ac:dyDescent="0.3">
      <c r="B341" s="973">
        <v>327</v>
      </c>
      <c r="C341" s="386" t="s">
        <v>1485</v>
      </c>
      <c r="D341" s="386" t="s">
        <v>1809</v>
      </c>
      <c r="E341" s="121" t="s">
        <v>1478</v>
      </c>
      <c r="F341" s="121"/>
      <c r="G341" s="974"/>
      <c r="H341" s="974"/>
      <c r="I341" s="974"/>
      <c r="J341" s="974"/>
      <c r="K341" s="977">
        <v>1.2835803999999998E-2</v>
      </c>
      <c r="L341" s="121"/>
      <c r="M341" s="977">
        <v>1.2835803999999998E-2</v>
      </c>
      <c r="N341" s="977">
        <v>1.2835803999999998E-2</v>
      </c>
    </row>
    <row r="342" spans="2:14" ht="28" x14ac:dyDescent="0.3">
      <c r="B342" s="973">
        <v>328</v>
      </c>
      <c r="C342" s="386" t="s">
        <v>1476</v>
      </c>
      <c r="D342" s="386" t="s">
        <v>1810</v>
      </c>
      <c r="E342" s="121" t="s">
        <v>1478</v>
      </c>
      <c r="F342" s="121"/>
      <c r="G342" s="974"/>
      <c r="H342" s="974"/>
      <c r="I342" s="974"/>
      <c r="J342" s="974"/>
      <c r="K342" s="977">
        <v>1.9005000000000001E-2</v>
      </c>
      <c r="L342" s="121"/>
      <c r="M342" s="977">
        <v>1.9005000000000001E-2</v>
      </c>
      <c r="N342" s="977">
        <v>1.9005000000000001E-2</v>
      </c>
    </row>
    <row r="343" spans="2:14" ht="28" x14ac:dyDescent="0.3">
      <c r="B343" s="973">
        <v>329</v>
      </c>
      <c r="C343" s="386" t="s">
        <v>1476</v>
      </c>
      <c r="D343" s="386" t="s">
        <v>1811</v>
      </c>
      <c r="E343" s="121" t="s">
        <v>1478</v>
      </c>
      <c r="F343" s="121"/>
      <c r="G343" s="974"/>
      <c r="H343" s="974"/>
      <c r="I343" s="974"/>
      <c r="J343" s="974"/>
      <c r="K343" s="977">
        <v>2.3322935999999999E-2</v>
      </c>
      <c r="L343" s="121"/>
      <c r="M343" s="977">
        <v>2.3322935999999999E-2</v>
      </c>
      <c r="N343" s="977">
        <v>2.3322935999999999E-2</v>
      </c>
    </row>
    <row r="344" spans="2:14" ht="28" x14ac:dyDescent="0.3">
      <c r="B344" s="973">
        <v>330</v>
      </c>
      <c r="C344" s="386" t="s">
        <v>1476</v>
      </c>
      <c r="D344" s="386" t="s">
        <v>1812</v>
      </c>
      <c r="E344" s="121" t="s">
        <v>1478</v>
      </c>
      <c r="F344" s="121"/>
      <c r="G344" s="974"/>
      <c r="H344" s="974"/>
      <c r="I344" s="974"/>
      <c r="J344" s="974"/>
      <c r="K344" s="977">
        <v>2.3304999999999999E-2</v>
      </c>
      <c r="L344" s="121"/>
      <c r="M344" s="977">
        <v>2.3304999999999999E-2</v>
      </c>
      <c r="N344" s="977">
        <v>2.3304999999999999E-2</v>
      </c>
    </row>
    <row r="345" spans="2:14" ht="28" x14ac:dyDescent="0.3">
      <c r="B345" s="973">
        <v>331</v>
      </c>
      <c r="C345" s="386" t="s">
        <v>1476</v>
      </c>
      <c r="D345" s="386" t="s">
        <v>1813</v>
      </c>
      <c r="E345" s="121" t="s">
        <v>1478</v>
      </c>
      <c r="F345" s="121"/>
      <c r="G345" s="974"/>
      <c r="H345" s="974"/>
      <c r="I345" s="974"/>
      <c r="J345" s="974"/>
      <c r="K345" s="977">
        <v>2.2896720000000002E-2</v>
      </c>
      <c r="L345" s="121"/>
      <c r="M345" s="977">
        <v>2.2896720000000002E-2</v>
      </c>
      <c r="N345" s="977">
        <v>2.2896720000000002E-2</v>
      </c>
    </row>
    <row r="346" spans="2:14" ht="28" x14ac:dyDescent="0.3">
      <c r="B346" s="973">
        <v>332</v>
      </c>
      <c r="C346" s="386" t="s">
        <v>1476</v>
      </c>
      <c r="D346" s="386" t="s">
        <v>1814</v>
      </c>
      <c r="E346" s="121" t="s">
        <v>1478</v>
      </c>
      <c r="F346" s="121"/>
      <c r="G346" s="974"/>
      <c r="H346" s="974"/>
      <c r="I346" s="974"/>
      <c r="J346" s="974"/>
      <c r="K346" s="977">
        <v>2.3102747999999999E-2</v>
      </c>
      <c r="L346" s="121"/>
      <c r="M346" s="977">
        <v>2.3102747999999999E-2</v>
      </c>
      <c r="N346" s="977">
        <v>2.3102747999999999E-2</v>
      </c>
    </row>
    <row r="347" spans="2:14" ht="28" x14ac:dyDescent="0.3">
      <c r="B347" s="973">
        <v>333</v>
      </c>
      <c r="C347" s="386" t="s">
        <v>1476</v>
      </c>
      <c r="D347" s="386" t="s">
        <v>1815</v>
      </c>
      <c r="E347" s="121" t="s">
        <v>1478</v>
      </c>
      <c r="F347" s="121"/>
      <c r="G347" s="974"/>
      <c r="H347" s="974"/>
      <c r="I347" s="974"/>
      <c r="J347" s="974"/>
      <c r="K347" s="977">
        <v>2.1976320000000001E-2</v>
      </c>
      <c r="L347" s="121"/>
      <c r="M347" s="977">
        <v>2.1976320000000001E-2</v>
      </c>
      <c r="N347" s="977">
        <v>2.1976320000000001E-2</v>
      </c>
    </row>
    <row r="348" spans="2:14" ht="28" x14ac:dyDescent="0.3">
      <c r="B348" s="973">
        <v>334</v>
      </c>
      <c r="C348" s="386" t="s">
        <v>1476</v>
      </c>
      <c r="D348" s="386" t="s">
        <v>1816</v>
      </c>
      <c r="E348" s="121" t="s">
        <v>1478</v>
      </c>
      <c r="F348" s="121"/>
      <c r="G348" s="974"/>
      <c r="H348" s="974"/>
      <c r="I348" s="974"/>
      <c r="J348" s="974"/>
      <c r="K348" s="977">
        <v>2.1726160000000001E-2</v>
      </c>
      <c r="L348" s="121"/>
      <c r="M348" s="977">
        <v>2.1726160000000001E-2</v>
      </c>
      <c r="N348" s="977">
        <v>2.1726160000000001E-2</v>
      </c>
    </row>
    <row r="349" spans="2:14" ht="28" x14ac:dyDescent="0.3">
      <c r="B349" s="973">
        <v>335</v>
      </c>
      <c r="C349" s="386" t="s">
        <v>1476</v>
      </c>
      <c r="D349" s="386" t="s">
        <v>1817</v>
      </c>
      <c r="E349" s="121" t="s">
        <v>1478</v>
      </c>
      <c r="F349" s="121"/>
      <c r="G349" s="974"/>
      <c r="H349" s="974"/>
      <c r="I349" s="974"/>
      <c r="J349" s="974"/>
      <c r="K349" s="977">
        <v>2.356165E-2</v>
      </c>
      <c r="L349" s="121"/>
      <c r="M349" s="977">
        <v>2.356165E-2</v>
      </c>
      <c r="N349" s="977">
        <v>2.3561650000000003E-2</v>
      </c>
    </row>
    <row r="350" spans="2:14" ht="28" x14ac:dyDescent="0.3">
      <c r="B350" s="973">
        <v>336</v>
      </c>
      <c r="C350" s="386" t="s">
        <v>1476</v>
      </c>
      <c r="D350" s="386" t="s">
        <v>1818</v>
      </c>
      <c r="E350" s="121" t="s">
        <v>1478</v>
      </c>
      <c r="F350" s="121"/>
      <c r="G350" s="974"/>
      <c r="H350" s="974"/>
      <c r="I350" s="974"/>
      <c r="J350" s="974"/>
      <c r="K350" s="977">
        <v>1.6821254000000001E-2</v>
      </c>
      <c r="L350" s="121"/>
      <c r="M350" s="977">
        <v>1.6821254000000001E-2</v>
      </c>
      <c r="N350" s="977">
        <v>1.6821254000000001E-2</v>
      </c>
    </row>
    <row r="351" spans="2:14" ht="28" x14ac:dyDescent="0.3">
      <c r="B351" s="973">
        <v>337</v>
      </c>
      <c r="C351" s="386" t="s">
        <v>1476</v>
      </c>
      <c r="D351" s="386" t="s">
        <v>1819</v>
      </c>
      <c r="E351" s="121" t="s">
        <v>1478</v>
      </c>
      <c r="F351" s="121"/>
      <c r="G351" s="974"/>
      <c r="H351" s="974"/>
      <c r="I351" s="974"/>
      <c r="J351" s="974"/>
      <c r="K351" s="977">
        <v>2.32873E-2</v>
      </c>
      <c r="L351" s="121"/>
      <c r="M351" s="977">
        <v>2.32873E-2</v>
      </c>
      <c r="N351" s="977">
        <v>2.32873E-2</v>
      </c>
    </row>
    <row r="352" spans="2:14" ht="28" x14ac:dyDescent="0.3">
      <c r="B352" s="973">
        <v>338</v>
      </c>
      <c r="C352" s="386" t="s">
        <v>1476</v>
      </c>
      <c r="D352" s="386" t="s">
        <v>1820</v>
      </c>
      <c r="E352" s="121" t="s">
        <v>1478</v>
      </c>
      <c r="F352" s="121"/>
      <c r="G352" s="974"/>
      <c r="H352" s="974"/>
      <c r="I352" s="974"/>
      <c r="J352" s="974"/>
      <c r="K352" s="977">
        <v>2.1416999999999999E-2</v>
      </c>
      <c r="L352" s="121"/>
      <c r="M352" s="977">
        <v>2.1416999999999999E-2</v>
      </c>
      <c r="N352" s="977">
        <v>2.1416999999999999E-2</v>
      </c>
    </row>
    <row r="353" spans="2:14" ht="28" x14ac:dyDescent="0.3">
      <c r="B353" s="973">
        <v>339</v>
      </c>
      <c r="C353" s="386" t="s">
        <v>1476</v>
      </c>
      <c r="D353" s="386" t="s">
        <v>1821</v>
      </c>
      <c r="E353" s="121" t="s">
        <v>1478</v>
      </c>
      <c r="F353" s="121"/>
      <c r="G353" s="974"/>
      <c r="H353" s="974"/>
      <c r="I353" s="974"/>
      <c r="J353" s="974"/>
      <c r="K353" s="977">
        <v>2.1121999999999998E-2</v>
      </c>
      <c r="L353" s="121"/>
      <c r="M353" s="977">
        <v>2.1121999999999998E-2</v>
      </c>
      <c r="N353" s="977">
        <v>2.1121999999999998E-2</v>
      </c>
    </row>
    <row r="354" spans="2:14" ht="28" x14ac:dyDescent="0.3">
      <c r="B354" s="973">
        <v>340</v>
      </c>
      <c r="C354" s="386" t="s">
        <v>1476</v>
      </c>
      <c r="D354" s="386" t="s">
        <v>1822</v>
      </c>
      <c r="E354" s="121" t="s">
        <v>1478</v>
      </c>
      <c r="F354" s="121"/>
      <c r="G354" s="974"/>
      <c r="H354" s="974"/>
      <c r="I354" s="974"/>
      <c r="J354" s="974"/>
      <c r="K354" s="977">
        <v>1.239E-2</v>
      </c>
      <c r="L354" s="121"/>
      <c r="M354" s="977">
        <v>1.239E-2</v>
      </c>
      <c r="N354" s="977">
        <v>1.239E-2</v>
      </c>
    </row>
    <row r="355" spans="2:14" ht="28" x14ac:dyDescent="0.3">
      <c r="B355" s="973">
        <v>341</v>
      </c>
      <c r="C355" s="386" t="s">
        <v>1476</v>
      </c>
      <c r="D355" s="386" t="s">
        <v>1823</v>
      </c>
      <c r="E355" s="121" t="s">
        <v>1478</v>
      </c>
      <c r="F355" s="121"/>
      <c r="G355" s="974"/>
      <c r="H355" s="974"/>
      <c r="I355" s="974"/>
      <c r="J355" s="974"/>
      <c r="K355" s="977">
        <v>1.7098200000000001E-2</v>
      </c>
      <c r="L355" s="121"/>
      <c r="M355" s="977">
        <v>1.7098200000000001E-2</v>
      </c>
      <c r="N355" s="977">
        <v>1.7388000000000001E-2</v>
      </c>
    </row>
    <row r="356" spans="2:14" ht="28" x14ac:dyDescent="0.3">
      <c r="B356" s="973">
        <v>342</v>
      </c>
      <c r="C356" s="386" t="s">
        <v>1476</v>
      </c>
      <c r="D356" s="386" t="s">
        <v>1824</v>
      </c>
      <c r="E356" s="121" t="s">
        <v>1478</v>
      </c>
      <c r="F356" s="121"/>
      <c r="G356" s="974"/>
      <c r="H356" s="974"/>
      <c r="I356" s="974"/>
      <c r="J356" s="974"/>
      <c r="K356" s="977">
        <v>8.4428999999999993E-4</v>
      </c>
      <c r="L356" s="121"/>
      <c r="M356" s="977">
        <v>8.4428999999999993E-4</v>
      </c>
      <c r="N356" s="977">
        <v>8.4429199999999996E-4</v>
      </c>
    </row>
    <row r="357" spans="2:14" ht="28" x14ac:dyDescent="0.3">
      <c r="B357" s="973">
        <v>343</v>
      </c>
      <c r="C357" s="386" t="s">
        <v>1476</v>
      </c>
      <c r="D357" s="386" t="s">
        <v>1825</v>
      </c>
      <c r="E357" s="121" t="s">
        <v>1478</v>
      </c>
      <c r="F357" s="121"/>
      <c r="G357" s="974"/>
      <c r="H357" s="974"/>
      <c r="I357" s="974"/>
      <c r="J357" s="974"/>
      <c r="K357" s="977">
        <v>1.0524281E-2</v>
      </c>
      <c r="L357" s="121"/>
      <c r="M357" s="977">
        <v>1.0524281E-2</v>
      </c>
      <c r="N357" s="977">
        <v>9.941531E-3</v>
      </c>
    </row>
    <row r="358" spans="2:14" ht="28" x14ac:dyDescent="0.3">
      <c r="B358" s="973">
        <v>344</v>
      </c>
      <c r="C358" s="386" t="s">
        <v>1476</v>
      </c>
      <c r="D358" s="386" t="s">
        <v>1826</v>
      </c>
      <c r="E358" s="121" t="s">
        <v>1478</v>
      </c>
      <c r="F358" s="121"/>
      <c r="G358" s="974"/>
      <c r="H358" s="974"/>
      <c r="I358" s="974"/>
      <c r="J358" s="974"/>
      <c r="K358" s="977">
        <v>8.4998459999999984E-3</v>
      </c>
      <c r="L358" s="121"/>
      <c r="M358" s="977">
        <v>8.4998459999999984E-3</v>
      </c>
      <c r="N358" s="977">
        <v>8.4998260000000003E-3</v>
      </c>
    </row>
    <row r="359" spans="2:14" ht="28" x14ac:dyDescent="0.3">
      <c r="B359" s="973">
        <v>345</v>
      </c>
      <c r="C359" s="386" t="s">
        <v>1476</v>
      </c>
      <c r="D359" s="386" t="s">
        <v>1827</v>
      </c>
      <c r="E359" s="121" t="s">
        <v>1478</v>
      </c>
      <c r="F359" s="121"/>
      <c r="G359" s="974"/>
      <c r="H359" s="974"/>
      <c r="I359" s="974"/>
      <c r="J359" s="974"/>
      <c r="K359" s="977">
        <v>5.709206E-2</v>
      </c>
      <c r="L359" s="121"/>
      <c r="M359" s="977">
        <v>5.709206E-2</v>
      </c>
      <c r="N359" s="977">
        <v>5.9900961000000023E-2</v>
      </c>
    </row>
    <row r="360" spans="2:14" ht="28" x14ac:dyDescent="0.3">
      <c r="B360" s="973">
        <v>346</v>
      </c>
      <c r="C360" s="386" t="s">
        <v>1476</v>
      </c>
      <c r="D360" s="386" t="s">
        <v>1828</v>
      </c>
      <c r="E360" s="121" t="s">
        <v>1478</v>
      </c>
      <c r="F360" s="121"/>
      <c r="G360" s="974"/>
      <c r="H360" s="974"/>
      <c r="I360" s="974"/>
      <c r="J360" s="974"/>
      <c r="K360" s="977">
        <v>3.2607647999999996E-2</v>
      </c>
      <c r="L360" s="121"/>
      <c r="M360" s="977">
        <v>3.2607647999999996E-2</v>
      </c>
      <c r="N360" s="977">
        <v>2.6688059999999996E-2</v>
      </c>
    </row>
    <row r="361" spans="2:14" ht="28" x14ac:dyDescent="0.3">
      <c r="B361" s="973">
        <v>347</v>
      </c>
      <c r="C361" s="386" t="s">
        <v>1485</v>
      </c>
      <c r="D361" s="386" t="s">
        <v>1829</v>
      </c>
      <c r="E361" s="121" t="s">
        <v>1478</v>
      </c>
      <c r="F361" s="121"/>
      <c r="G361" s="974"/>
      <c r="H361" s="974"/>
      <c r="I361" s="974"/>
      <c r="J361" s="974"/>
      <c r="K361" s="977">
        <v>2.3145582000000001E-2</v>
      </c>
      <c r="L361" s="121"/>
      <c r="M361" s="977">
        <v>2.3145582000000001E-2</v>
      </c>
      <c r="N361" s="977">
        <v>2.3145582000000001E-2</v>
      </c>
    </row>
    <row r="362" spans="2:14" ht="28" x14ac:dyDescent="0.3">
      <c r="B362" s="973">
        <v>348</v>
      </c>
      <c r="C362" s="386" t="s">
        <v>1476</v>
      </c>
      <c r="D362" s="386" t="s">
        <v>1830</v>
      </c>
      <c r="E362" s="121" t="s">
        <v>1478</v>
      </c>
      <c r="F362" s="121"/>
      <c r="G362" s="974"/>
      <c r="H362" s="974"/>
      <c r="I362" s="974"/>
      <c r="J362" s="974"/>
      <c r="K362" s="977">
        <v>0.12949182000000001</v>
      </c>
      <c r="L362" s="121"/>
      <c r="M362" s="977">
        <v>0.12949182000000001</v>
      </c>
      <c r="N362" s="977">
        <v>0.13577815200000001</v>
      </c>
    </row>
    <row r="363" spans="2:14" ht="28" x14ac:dyDescent="0.3">
      <c r="B363" s="973">
        <v>349</v>
      </c>
      <c r="C363" s="386" t="s">
        <v>1485</v>
      </c>
      <c r="D363" s="386" t="s">
        <v>1831</v>
      </c>
      <c r="E363" s="121" t="s">
        <v>1478</v>
      </c>
      <c r="F363" s="121"/>
      <c r="G363" s="974"/>
      <c r="H363" s="974"/>
      <c r="I363" s="974"/>
      <c r="J363" s="974"/>
      <c r="K363" s="977">
        <v>3.056967E-2</v>
      </c>
      <c r="L363" s="121"/>
      <c r="M363" s="977">
        <v>3.056967E-2</v>
      </c>
      <c r="N363" s="977">
        <v>3.056967E-2</v>
      </c>
    </row>
    <row r="364" spans="2:14" ht="28" x14ac:dyDescent="0.3">
      <c r="B364" s="973">
        <v>350</v>
      </c>
      <c r="C364" s="386" t="s">
        <v>1485</v>
      </c>
      <c r="D364" s="386" t="s">
        <v>1832</v>
      </c>
      <c r="E364" s="121" t="s">
        <v>1478</v>
      </c>
      <c r="F364" s="121"/>
      <c r="G364" s="974"/>
      <c r="H364" s="974"/>
      <c r="I364" s="974"/>
      <c r="J364" s="974"/>
      <c r="K364" s="977">
        <v>1.9094523999999998E-2</v>
      </c>
      <c r="L364" s="121"/>
      <c r="M364" s="977">
        <v>1.9094523999999998E-2</v>
      </c>
      <c r="N364" s="977">
        <v>1.9094523999999995E-2</v>
      </c>
    </row>
    <row r="365" spans="2:14" ht="28" x14ac:dyDescent="0.3">
      <c r="B365" s="973">
        <v>351</v>
      </c>
      <c r="C365" s="386" t="s">
        <v>1476</v>
      </c>
      <c r="D365" s="386" t="s">
        <v>1833</v>
      </c>
      <c r="E365" s="121" t="s">
        <v>1478</v>
      </c>
      <c r="F365" s="121"/>
      <c r="G365" s="974"/>
      <c r="H365" s="974"/>
      <c r="I365" s="974"/>
      <c r="J365" s="974"/>
      <c r="K365" s="977">
        <v>2.3542948000000001E-2</v>
      </c>
      <c r="L365" s="121"/>
      <c r="M365" s="977">
        <v>2.3542948000000001E-2</v>
      </c>
      <c r="N365" s="977">
        <v>2.3542947999999998E-2</v>
      </c>
    </row>
    <row r="366" spans="2:14" ht="28" x14ac:dyDescent="0.3">
      <c r="B366" s="973">
        <v>352</v>
      </c>
      <c r="C366" s="386" t="s">
        <v>1476</v>
      </c>
      <c r="D366" s="386" t="s">
        <v>1834</v>
      </c>
      <c r="E366" s="121" t="s">
        <v>1478</v>
      </c>
      <c r="F366" s="121"/>
      <c r="G366" s="974"/>
      <c r="H366" s="974"/>
      <c r="I366" s="974"/>
      <c r="J366" s="974"/>
      <c r="K366" s="977">
        <v>1.03132E-2</v>
      </c>
      <c r="L366" s="121"/>
      <c r="M366" s="977">
        <v>1.03132E-2</v>
      </c>
      <c r="N366" s="977">
        <v>5.243999999999993E-4</v>
      </c>
    </row>
    <row r="367" spans="2:14" ht="28" x14ac:dyDescent="0.3">
      <c r="B367" s="973">
        <v>353</v>
      </c>
      <c r="C367" s="386" t="s">
        <v>1476</v>
      </c>
      <c r="D367" s="386" t="s">
        <v>1835</v>
      </c>
      <c r="E367" s="121" t="s">
        <v>1478</v>
      </c>
      <c r="F367" s="121"/>
      <c r="G367" s="974"/>
      <c r="H367" s="974"/>
      <c r="I367" s="974"/>
      <c r="J367" s="974"/>
      <c r="K367" s="977">
        <v>1.9810000000000001E-2</v>
      </c>
      <c r="L367" s="121"/>
      <c r="M367" s="977">
        <v>1.9810000000000001E-2</v>
      </c>
      <c r="N367" s="977">
        <v>2.3375799999999999E-2</v>
      </c>
    </row>
    <row r="368" spans="2:14" ht="28" x14ac:dyDescent="0.3">
      <c r="B368" s="973">
        <v>354</v>
      </c>
      <c r="C368" s="386" t="s">
        <v>1476</v>
      </c>
      <c r="D368" s="386" t="s">
        <v>1836</v>
      </c>
      <c r="E368" s="121" t="s">
        <v>1478</v>
      </c>
      <c r="F368" s="121"/>
      <c r="G368" s="974"/>
      <c r="H368" s="974"/>
      <c r="I368" s="974"/>
      <c r="J368" s="974"/>
      <c r="K368" s="977">
        <v>1.99195E-2</v>
      </c>
      <c r="L368" s="121"/>
      <c r="M368" s="977">
        <v>1.99195E-2</v>
      </c>
      <c r="N368" s="977">
        <v>2.350501E-2</v>
      </c>
    </row>
    <row r="369" spans="2:14" ht="28" x14ac:dyDescent="0.3">
      <c r="B369" s="973">
        <v>355</v>
      </c>
      <c r="C369" s="386" t="s">
        <v>1476</v>
      </c>
      <c r="D369" s="386" t="s">
        <v>1837</v>
      </c>
      <c r="E369" s="121" t="s">
        <v>1478</v>
      </c>
      <c r="F369" s="121"/>
      <c r="G369" s="974"/>
      <c r="H369" s="974"/>
      <c r="I369" s="974"/>
      <c r="J369" s="974"/>
      <c r="K369" s="977">
        <v>1.4898E-2</v>
      </c>
      <c r="L369" s="121"/>
      <c r="M369" s="977">
        <v>1.4898E-2</v>
      </c>
      <c r="N369" s="977">
        <v>1.7579640000000001E-2</v>
      </c>
    </row>
    <row r="370" spans="2:14" ht="28" x14ac:dyDescent="0.3">
      <c r="B370" s="973">
        <v>356</v>
      </c>
      <c r="C370" s="386" t="s">
        <v>1476</v>
      </c>
      <c r="D370" s="386" t="s">
        <v>1838</v>
      </c>
      <c r="E370" s="121" t="s">
        <v>1478</v>
      </c>
      <c r="F370" s="121"/>
      <c r="G370" s="974"/>
      <c r="H370" s="974"/>
      <c r="I370" s="974"/>
      <c r="J370" s="974"/>
      <c r="K370" s="977">
        <v>7.0720000000000002E-3</v>
      </c>
      <c r="L370" s="121"/>
      <c r="M370" s="977">
        <v>7.0720000000000002E-3</v>
      </c>
      <c r="N370" s="977">
        <v>8.3449600000000002E-3</v>
      </c>
    </row>
    <row r="371" spans="2:14" ht="28" x14ac:dyDescent="0.3">
      <c r="B371" s="973">
        <v>357</v>
      </c>
      <c r="C371" s="386" t="s">
        <v>1476</v>
      </c>
      <c r="D371" s="386" t="s">
        <v>1839</v>
      </c>
      <c r="E371" s="121" t="s">
        <v>1478</v>
      </c>
      <c r="F371" s="121"/>
      <c r="G371" s="974"/>
      <c r="H371" s="974"/>
      <c r="I371" s="974"/>
      <c r="J371" s="974"/>
      <c r="K371" s="977">
        <v>1.8547999999999999E-2</v>
      </c>
      <c r="L371" s="121"/>
      <c r="M371" s="977">
        <v>1.8547999999999999E-2</v>
      </c>
      <c r="N371" s="977">
        <v>2.1886639999999999E-2</v>
      </c>
    </row>
    <row r="372" spans="2:14" ht="28" x14ac:dyDescent="0.3">
      <c r="B372" s="973">
        <v>358</v>
      </c>
      <c r="C372" s="386" t="s">
        <v>1476</v>
      </c>
      <c r="D372" s="386" t="s">
        <v>1840</v>
      </c>
      <c r="E372" s="121" t="s">
        <v>1478</v>
      </c>
      <c r="F372" s="121"/>
      <c r="G372" s="974"/>
      <c r="H372" s="974"/>
      <c r="I372" s="974"/>
      <c r="J372" s="974"/>
      <c r="K372" s="977">
        <v>2.3009999999999999E-2</v>
      </c>
      <c r="L372" s="121"/>
      <c r="M372" s="977">
        <v>2.3009999999999999E-2</v>
      </c>
      <c r="N372" s="977">
        <v>2.3009999999999999E-2</v>
      </c>
    </row>
    <row r="373" spans="2:14" ht="28" x14ac:dyDescent="0.3">
      <c r="B373" s="973">
        <v>359</v>
      </c>
      <c r="C373" s="386" t="s">
        <v>1476</v>
      </c>
      <c r="D373" s="386" t="s">
        <v>1841</v>
      </c>
      <c r="E373" s="121" t="s">
        <v>1478</v>
      </c>
      <c r="F373" s="121"/>
      <c r="G373" s="974"/>
      <c r="H373" s="974"/>
      <c r="I373" s="974"/>
      <c r="J373" s="974"/>
      <c r="K373" s="977">
        <v>1.9546000000000001E-2</v>
      </c>
      <c r="L373" s="121"/>
      <c r="M373" s="977">
        <v>1.9546000000000001E-2</v>
      </c>
      <c r="N373" s="977">
        <v>1.5906400000000001E-2</v>
      </c>
    </row>
    <row r="374" spans="2:14" ht="28" x14ac:dyDescent="0.3">
      <c r="B374" s="973">
        <v>360</v>
      </c>
      <c r="C374" s="386" t="s">
        <v>1476</v>
      </c>
      <c r="D374" s="386" t="s">
        <v>1842</v>
      </c>
      <c r="E374" s="121" t="s">
        <v>1478</v>
      </c>
      <c r="F374" s="121"/>
      <c r="G374" s="974"/>
      <c r="H374" s="974"/>
      <c r="I374" s="974"/>
      <c r="J374" s="974"/>
      <c r="K374" s="977">
        <v>8.7939999999999997E-3</v>
      </c>
      <c r="L374" s="121"/>
      <c r="M374" s="977">
        <v>8.7939999999999997E-3</v>
      </c>
      <c r="N374" s="977">
        <v>1.0376920000000001E-2</v>
      </c>
    </row>
    <row r="375" spans="2:14" ht="28" x14ac:dyDescent="0.3">
      <c r="B375" s="973">
        <v>361</v>
      </c>
      <c r="C375" s="386" t="s">
        <v>1476</v>
      </c>
      <c r="D375" s="386" t="s">
        <v>1843</v>
      </c>
      <c r="E375" s="121" t="s">
        <v>1478</v>
      </c>
      <c r="F375" s="121"/>
      <c r="G375" s="974"/>
      <c r="H375" s="974"/>
      <c r="I375" s="974"/>
      <c r="J375" s="974"/>
      <c r="K375" s="977">
        <v>1.9844500000000001E-2</v>
      </c>
      <c r="L375" s="121"/>
      <c r="M375" s="977">
        <v>1.9844500000000001E-2</v>
      </c>
      <c r="N375" s="977">
        <v>2.3416509999999998E-2</v>
      </c>
    </row>
    <row r="376" spans="2:14" ht="28" x14ac:dyDescent="0.3">
      <c r="B376" s="973">
        <v>362</v>
      </c>
      <c r="C376" s="386" t="s">
        <v>1476</v>
      </c>
      <c r="D376" s="386" t="s">
        <v>1844</v>
      </c>
      <c r="E376" s="121" t="s">
        <v>1478</v>
      </c>
      <c r="F376" s="121"/>
      <c r="G376" s="974"/>
      <c r="H376" s="974"/>
      <c r="I376" s="974"/>
      <c r="J376" s="974"/>
      <c r="K376" s="977">
        <v>1.7706E-2</v>
      </c>
      <c r="L376" s="121"/>
      <c r="M376" s="977">
        <v>1.7706E-2</v>
      </c>
      <c r="N376" s="977">
        <v>2.0893079999999998E-2</v>
      </c>
    </row>
    <row r="377" spans="2:14" ht="28" x14ac:dyDescent="0.3">
      <c r="B377" s="973">
        <v>363</v>
      </c>
      <c r="C377" s="386" t="s">
        <v>1476</v>
      </c>
      <c r="D377" s="386" t="s">
        <v>1845</v>
      </c>
      <c r="E377" s="121" t="s">
        <v>1478</v>
      </c>
      <c r="F377" s="121"/>
      <c r="G377" s="974"/>
      <c r="H377" s="974"/>
      <c r="I377" s="974"/>
      <c r="J377" s="974"/>
      <c r="K377" s="977">
        <v>1.9973999999999999E-2</v>
      </c>
      <c r="L377" s="121"/>
      <c r="M377" s="977">
        <v>1.9973999999999999E-2</v>
      </c>
      <c r="N377" s="977">
        <v>2.3569320000000001E-2</v>
      </c>
    </row>
    <row r="378" spans="2:14" ht="28" x14ac:dyDescent="0.3">
      <c r="B378" s="973">
        <v>364</v>
      </c>
      <c r="C378" s="386" t="s">
        <v>1476</v>
      </c>
      <c r="D378" s="386" t="s">
        <v>1846</v>
      </c>
      <c r="E378" s="121" t="s">
        <v>1478</v>
      </c>
      <c r="F378" s="121"/>
      <c r="G378" s="974"/>
      <c r="H378" s="974"/>
      <c r="I378" s="974"/>
      <c r="J378" s="974"/>
      <c r="K378" s="977">
        <v>1.7950000000000001E-2</v>
      </c>
      <c r="L378" s="121"/>
      <c r="M378" s="977">
        <v>1.7950000000000001E-2</v>
      </c>
      <c r="N378" s="977">
        <v>1.4606655999999999E-2</v>
      </c>
    </row>
    <row r="379" spans="2:14" ht="28" x14ac:dyDescent="0.3">
      <c r="B379" s="973">
        <v>365</v>
      </c>
      <c r="C379" s="386" t="s">
        <v>1476</v>
      </c>
      <c r="D379" s="386" t="s">
        <v>1847</v>
      </c>
      <c r="E379" s="121" t="s">
        <v>1483</v>
      </c>
      <c r="F379" s="121"/>
      <c r="G379" s="974">
        <v>45702</v>
      </c>
      <c r="H379" s="974"/>
      <c r="I379" s="974"/>
      <c r="J379" s="974"/>
      <c r="K379" s="977">
        <v>5.2545999999999999E-3</v>
      </c>
      <c r="L379" s="121"/>
      <c r="M379" s="977">
        <v>5.2545999999999999E-3</v>
      </c>
      <c r="N379" s="977">
        <v>5.2545999999999999E-3</v>
      </c>
    </row>
    <row r="380" spans="2:14" ht="28" x14ac:dyDescent="0.3">
      <c r="B380" s="973">
        <v>366</v>
      </c>
      <c r="C380" s="386" t="s">
        <v>1476</v>
      </c>
      <c r="D380" s="386" t="s">
        <v>1848</v>
      </c>
      <c r="E380" s="121" t="s">
        <v>1483</v>
      </c>
      <c r="F380" s="121"/>
      <c r="G380" s="974">
        <v>45685</v>
      </c>
      <c r="H380" s="974"/>
      <c r="I380" s="974"/>
      <c r="J380" s="974"/>
      <c r="K380" s="977">
        <v>1.1328E-2</v>
      </c>
      <c r="L380" s="121"/>
      <c r="M380" s="977">
        <v>1.1328E-2</v>
      </c>
      <c r="N380" s="977">
        <v>1.1328E-2</v>
      </c>
    </row>
    <row r="381" spans="2:14" ht="28" x14ac:dyDescent="0.3">
      <c r="B381" s="973">
        <v>367</v>
      </c>
      <c r="C381" s="386" t="s">
        <v>1476</v>
      </c>
      <c r="D381" s="386" t="s">
        <v>1849</v>
      </c>
      <c r="E381" s="121" t="s">
        <v>1483</v>
      </c>
      <c r="F381" s="121"/>
      <c r="G381" s="974">
        <v>45679</v>
      </c>
      <c r="H381" s="974"/>
      <c r="I381" s="974"/>
      <c r="J381" s="974"/>
      <c r="K381" s="977">
        <v>8.0908799999999999E-3</v>
      </c>
      <c r="L381" s="121"/>
      <c r="M381" s="977">
        <v>8.0908799999999999E-3</v>
      </c>
      <c r="N381" s="977">
        <v>8.0908799999999999E-3</v>
      </c>
    </row>
    <row r="382" spans="2:14" ht="28" x14ac:dyDescent="0.3">
      <c r="B382" s="973">
        <v>368</v>
      </c>
      <c r="C382" s="386" t="s">
        <v>1476</v>
      </c>
      <c r="D382" s="386" t="s">
        <v>1850</v>
      </c>
      <c r="E382" s="121" t="s">
        <v>1483</v>
      </c>
      <c r="F382" s="121"/>
      <c r="G382" s="974">
        <v>45679</v>
      </c>
      <c r="H382" s="974"/>
      <c r="I382" s="974"/>
      <c r="J382" s="974"/>
      <c r="K382" s="977">
        <v>3.7406000000000002E-3</v>
      </c>
      <c r="L382" s="121"/>
      <c r="M382" s="977">
        <v>3.7406000000000002E-3</v>
      </c>
      <c r="N382" s="977">
        <v>3.7406000000000002E-3</v>
      </c>
    </row>
    <row r="383" spans="2:14" ht="28" x14ac:dyDescent="0.3">
      <c r="B383" s="973">
        <v>369</v>
      </c>
      <c r="C383" s="386" t="s">
        <v>1476</v>
      </c>
      <c r="D383" s="386" t="s">
        <v>1851</v>
      </c>
      <c r="E383" s="121" t="s">
        <v>1483</v>
      </c>
      <c r="F383" s="121"/>
      <c r="G383" s="974">
        <v>45672</v>
      </c>
      <c r="H383" s="974"/>
      <c r="I383" s="974"/>
      <c r="J383" s="974"/>
      <c r="K383" s="977">
        <v>5.1412599999999999E-3</v>
      </c>
      <c r="L383" s="121"/>
      <c r="M383" s="977">
        <v>5.1412599999999999E-3</v>
      </c>
      <c r="N383" s="977">
        <v>5.1412599999999999E-3</v>
      </c>
    </row>
    <row r="384" spans="2:14" ht="28" x14ac:dyDescent="0.3">
      <c r="B384" s="973">
        <v>370</v>
      </c>
      <c r="C384" s="386" t="s">
        <v>1485</v>
      </c>
      <c r="D384" s="386" t="s">
        <v>1852</v>
      </c>
      <c r="E384" s="121" t="s">
        <v>1483</v>
      </c>
      <c r="F384" s="121"/>
      <c r="G384" s="974">
        <v>45630</v>
      </c>
      <c r="H384" s="974"/>
      <c r="I384" s="974"/>
      <c r="J384" s="974"/>
      <c r="K384" s="977">
        <v>8.7732999999999995E-3</v>
      </c>
      <c r="L384" s="121"/>
      <c r="M384" s="977">
        <v>8.7732999999999995E-3</v>
      </c>
      <c r="N384" s="977">
        <v>8.7732999999999995E-3</v>
      </c>
    </row>
    <row r="385" spans="2:14" ht="28" x14ac:dyDescent="0.3">
      <c r="B385" s="973">
        <v>371</v>
      </c>
      <c r="C385" s="386" t="s">
        <v>1485</v>
      </c>
      <c r="D385" s="386" t="s">
        <v>1853</v>
      </c>
      <c r="E385" s="121" t="s">
        <v>1483</v>
      </c>
      <c r="F385" s="121"/>
      <c r="G385" s="974">
        <v>45630</v>
      </c>
      <c r="H385" s="974"/>
      <c r="I385" s="974"/>
      <c r="J385" s="974"/>
      <c r="K385" s="977">
        <v>8.8500000000000002E-3</v>
      </c>
      <c r="L385" s="121"/>
      <c r="M385" s="977">
        <v>8.8500000000000002E-3</v>
      </c>
      <c r="N385" s="977">
        <v>8.8500000000000002E-3</v>
      </c>
    </row>
    <row r="386" spans="2:14" ht="28" x14ac:dyDescent="0.3">
      <c r="B386" s="973">
        <v>372</v>
      </c>
      <c r="C386" s="386" t="s">
        <v>1476</v>
      </c>
      <c r="D386" s="386" t="s">
        <v>1854</v>
      </c>
      <c r="E386" s="121" t="s">
        <v>1483</v>
      </c>
      <c r="F386" s="121"/>
      <c r="G386" s="974">
        <v>45624</v>
      </c>
      <c r="H386" s="974"/>
      <c r="I386" s="974"/>
      <c r="J386" s="974"/>
      <c r="K386" s="977">
        <v>2.12105E-2</v>
      </c>
      <c r="L386" s="121"/>
      <c r="M386" s="977">
        <v>2.12105E-2</v>
      </c>
      <c r="N386" s="977">
        <v>2.12105E-2</v>
      </c>
    </row>
    <row r="387" spans="2:14" ht="28" x14ac:dyDescent="0.3">
      <c r="B387" s="973">
        <v>373</v>
      </c>
      <c r="C387" s="386" t="s">
        <v>1476</v>
      </c>
      <c r="D387" s="386" t="s">
        <v>1855</v>
      </c>
      <c r="E387" s="121" t="s">
        <v>1483</v>
      </c>
      <c r="F387" s="121"/>
      <c r="G387" s="974">
        <v>45545</v>
      </c>
      <c r="H387" s="974"/>
      <c r="I387" s="974"/>
      <c r="J387" s="974"/>
      <c r="K387" s="977">
        <v>3.1624000000000001E-3</v>
      </c>
      <c r="L387" s="121"/>
      <c r="M387" s="977">
        <v>3.1624000000000001E-3</v>
      </c>
      <c r="N387" s="977">
        <v>3.1624000000000001E-3</v>
      </c>
    </row>
    <row r="388" spans="2:14" ht="28" x14ac:dyDescent="0.3">
      <c r="B388" s="973">
        <v>374</v>
      </c>
      <c r="C388" s="386" t="s">
        <v>1481</v>
      </c>
      <c r="D388" s="386" t="s">
        <v>1856</v>
      </c>
      <c r="E388" s="121" t="s">
        <v>1483</v>
      </c>
      <c r="F388" s="121"/>
      <c r="G388" s="974">
        <v>45539</v>
      </c>
      <c r="H388" s="974"/>
      <c r="I388" s="974"/>
      <c r="J388" s="974"/>
      <c r="K388" s="977">
        <v>4.5312E-3</v>
      </c>
      <c r="L388" s="121"/>
      <c r="M388" s="977">
        <v>4.5312E-3</v>
      </c>
      <c r="N388" s="977">
        <v>4.5312E-3</v>
      </c>
    </row>
    <row r="389" spans="2:14" ht="28" x14ac:dyDescent="0.3">
      <c r="B389" s="973">
        <v>375</v>
      </c>
      <c r="C389" s="386" t="s">
        <v>1476</v>
      </c>
      <c r="D389" s="386" t="s">
        <v>1857</v>
      </c>
      <c r="E389" s="121" t="s">
        <v>1483</v>
      </c>
      <c r="F389" s="121"/>
      <c r="G389" s="974">
        <v>45528</v>
      </c>
      <c r="H389" s="974"/>
      <c r="I389" s="974"/>
      <c r="J389" s="974"/>
      <c r="K389" s="977">
        <v>1.0855999999999999E-2</v>
      </c>
      <c r="L389" s="121"/>
      <c r="M389" s="977">
        <v>1.0855999999999999E-2</v>
      </c>
      <c r="N389" s="977">
        <v>1.0855999999999999E-2</v>
      </c>
    </row>
    <row r="390" spans="2:14" ht="42" x14ac:dyDescent="0.3">
      <c r="B390" s="973">
        <v>376</v>
      </c>
      <c r="C390" s="386" t="s">
        <v>1476</v>
      </c>
      <c r="D390" s="386" t="s">
        <v>1858</v>
      </c>
      <c r="E390" s="121" t="s">
        <v>1483</v>
      </c>
      <c r="F390" s="121"/>
      <c r="G390" s="974">
        <v>45512</v>
      </c>
      <c r="H390" s="974"/>
      <c r="I390" s="974"/>
      <c r="J390" s="974"/>
      <c r="K390" s="977">
        <v>4.9061260000000002E-3</v>
      </c>
      <c r="L390" s="121"/>
      <c r="M390" s="977">
        <v>4.9061260000000002E-3</v>
      </c>
      <c r="N390" s="977">
        <v>4.898566E-3</v>
      </c>
    </row>
    <row r="391" spans="2:14" ht="28" x14ac:dyDescent="0.3">
      <c r="B391" s="973">
        <v>377</v>
      </c>
      <c r="C391" s="386" t="s">
        <v>1476</v>
      </c>
      <c r="D391" s="386" t="s">
        <v>1859</v>
      </c>
      <c r="E391" s="121" t="s">
        <v>1483</v>
      </c>
      <c r="F391" s="121"/>
      <c r="G391" s="974">
        <v>45478</v>
      </c>
      <c r="H391" s="974"/>
      <c r="I391" s="974"/>
      <c r="J391" s="974"/>
      <c r="K391" s="977">
        <v>5.6639999999999998E-3</v>
      </c>
      <c r="L391" s="121"/>
      <c r="M391" s="977">
        <v>5.6639999999999998E-3</v>
      </c>
      <c r="N391" s="977">
        <v>5.6639999999999998E-3</v>
      </c>
    </row>
    <row r="392" spans="2:14" ht="28" x14ac:dyDescent="0.3">
      <c r="B392" s="973">
        <v>378</v>
      </c>
      <c r="C392" s="386" t="s">
        <v>1476</v>
      </c>
      <c r="D392" s="386" t="s">
        <v>1860</v>
      </c>
      <c r="E392" s="121" t="s">
        <v>1483</v>
      </c>
      <c r="F392" s="121"/>
      <c r="G392" s="974">
        <v>45457</v>
      </c>
      <c r="H392" s="974"/>
      <c r="I392" s="974"/>
      <c r="J392" s="974"/>
      <c r="K392" s="977">
        <v>4.5665999999999997E-3</v>
      </c>
      <c r="L392" s="121"/>
      <c r="M392" s="977">
        <v>4.5665999999999997E-3</v>
      </c>
      <c r="N392" s="977">
        <v>4.5665999999999997E-3</v>
      </c>
    </row>
    <row r="393" spans="2:14" ht="28" x14ac:dyDescent="0.3">
      <c r="B393" s="973">
        <v>379</v>
      </c>
      <c r="C393" s="386" t="s">
        <v>1476</v>
      </c>
      <c r="D393" s="386" t="s">
        <v>1861</v>
      </c>
      <c r="E393" s="121" t="s">
        <v>1483</v>
      </c>
      <c r="F393" s="121"/>
      <c r="G393" s="974">
        <v>45442</v>
      </c>
      <c r="H393" s="974"/>
      <c r="I393" s="974"/>
      <c r="J393" s="974"/>
      <c r="K393" s="977">
        <v>1.8461099999999998E-3</v>
      </c>
      <c r="L393" s="121"/>
      <c r="M393" s="977">
        <v>1.8461099999999998E-3</v>
      </c>
      <c r="N393" s="977">
        <v>1.8461099999999998E-3</v>
      </c>
    </row>
    <row r="394" spans="2:14" ht="28" x14ac:dyDescent="0.3">
      <c r="B394" s="973">
        <v>380</v>
      </c>
      <c r="C394" s="386" t="s">
        <v>1476</v>
      </c>
      <c r="D394" s="386" t="s">
        <v>1862</v>
      </c>
      <c r="E394" s="121" t="s">
        <v>1483</v>
      </c>
      <c r="F394" s="121"/>
      <c r="G394" s="974">
        <v>45442</v>
      </c>
      <c r="H394" s="974"/>
      <c r="I394" s="974"/>
      <c r="J394" s="974"/>
      <c r="K394" s="977">
        <v>4.9581E-3</v>
      </c>
      <c r="L394" s="121"/>
      <c r="M394" s="977">
        <v>4.9581E-3</v>
      </c>
      <c r="N394" s="977">
        <v>5.206006E-3</v>
      </c>
    </row>
    <row r="395" spans="2:14" ht="42" x14ac:dyDescent="0.3">
      <c r="B395" s="973">
        <v>381</v>
      </c>
      <c r="C395" s="386" t="s">
        <v>1476</v>
      </c>
      <c r="D395" s="386" t="s">
        <v>1863</v>
      </c>
      <c r="E395" s="121" t="s">
        <v>1483</v>
      </c>
      <c r="F395" s="121"/>
      <c r="G395" s="974">
        <v>45411</v>
      </c>
      <c r="H395" s="974"/>
      <c r="I395" s="974"/>
      <c r="J395" s="974"/>
      <c r="K395" s="977">
        <v>4.8143999999999999E-3</v>
      </c>
      <c r="L395" s="121"/>
      <c r="M395" s="977">
        <v>4.8143999999999999E-3</v>
      </c>
      <c r="N395" s="977">
        <v>4.8143999999999999E-3</v>
      </c>
    </row>
    <row r="396" spans="2:14" ht="28" x14ac:dyDescent="0.3">
      <c r="B396" s="973">
        <v>382</v>
      </c>
      <c r="C396" s="386" t="s">
        <v>1476</v>
      </c>
      <c r="D396" s="386" t="s">
        <v>1864</v>
      </c>
      <c r="E396" s="121" t="s">
        <v>1483</v>
      </c>
      <c r="F396" s="121"/>
      <c r="G396" s="974">
        <v>45397</v>
      </c>
      <c r="H396" s="974"/>
      <c r="I396" s="974"/>
      <c r="J396" s="974"/>
      <c r="K396" s="977">
        <v>5.3972019999999994E-3</v>
      </c>
      <c r="L396" s="121"/>
      <c r="M396" s="977">
        <v>5.3972019999999994E-3</v>
      </c>
      <c r="N396" s="977">
        <v>5.3972019999999994E-3</v>
      </c>
    </row>
    <row r="397" spans="2:14" ht="28" x14ac:dyDescent="0.3">
      <c r="B397" s="973">
        <v>383</v>
      </c>
      <c r="C397" s="386" t="s">
        <v>1476</v>
      </c>
      <c r="D397" s="386" t="s">
        <v>1865</v>
      </c>
      <c r="E397" s="121" t="s">
        <v>1483</v>
      </c>
      <c r="F397" s="121"/>
      <c r="G397" s="974">
        <v>45373</v>
      </c>
      <c r="H397" s="974"/>
      <c r="I397" s="974"/>
      <c r="J397" s="974"/>
      <c r="K397" s="977">
        <v>5.8528E-3</v>
      </c>
      <c r="L397" s="121"/>
      <c r="M397" s="977">
        <v>5.8528E-3</v>
      </c>
      <c r="N397" s="977">
        <v>5.8528E-3</v>
      </c>
    </row>
    <row r="398" spans="2:14" ht="28" x14ac:dyDescent="0.3">
      <c r="B398" s="973">
        <v>384</v>
      </c>
      <c r="C398" s="386" t="s">
        <v>1481</v>
      </c>
      <c r="D398" s="386" t="s">
        <v>1866</v>
      </c>
      <c r="E398" s="121" t="s">
        <v>1483</v>
      </c>
      <c r="F398" s="121"/>
      <c r="G398" s="974">
        <v>45373</v>
      </c>
      <c r="H398" s="974"/>
      <c r="I398" s="974"/>
      <c r="J398" s="974"/>
      <c r="K398" s="977">
        <v>5.5342000000000004E-3</v>
      </c>
      <c r="L398" s="121"/>
      <c r="M398" s="977">
        <v>5.5342000000000004E-3</v>
      </c>
      <c r="N398" s="977">
        <v>5.5342000000000004E-3</v>
      </c>
    </row>
    <row r="399" spans="2:14" ht="28" x14ac:dyDescent="0.3">
      <c r="B399" s="973">
        <v>385</v>
      </c>
      <c r="C399" s="386" t="s">
        <v>1485</v>
      </c>
      <c r="D399" s="386" t="s">
        <v>1867</v>
      </c>
      <c r="E399" s="121" t="s">
        <v>1483</v>
      </c>
      <c r="F399" s="121"/>
      <c r="G399" s="974">
        <v>45371</v>
      </c>
      <c r="H399" s="974"/>
      <c r="I399" s="974"/>
      <c r="J399" s="974"/>
      <c r="K399" s="977">
        <v>1.7806826000000001E-2</v>
      </c>
      <c r="L399" s="121"/>
      <c r="M399" s="977">
        <v>1.7806826000000001E-2</v>
      </c>
      <c r="N399" s="977">
        <v>1.7806826000000001E-2</v>
      </c>
    </row>
    <row r="400" spans="2:14" ht="28" x14ac:dyDescent="0.3">
      <c r="B400" s="973">
        <v>386</v>
      </c>
      <c r="C400" s="386" t="s">
        <v>1476</v>
      </c>
      <c r="D400" s="386" t="s">
        <v>1868</v>
      </c>
      <c r="E400" s="121" t="s">
        <v>1483</v>
      </c>
      <c r="F400" s="121"/>
      <c r="G400" s="974">
        <v>45358</v>
      </c>
      <c r="H400" s="974"/>
      <c r="I400" s="974"/>
      <c r="J400" s="974"/>
      <c r="K400" s="977">
        <v>3.8135999999999999E-3</v>
      </c>
      <c r="L400" s="121"/>
      <c r="M400" s="977">
        <v>3.8135999999999999E-3</v>
      </c>
      <c r="N400" s="977">
        <v>4.0042800000000007E-3</v>
      </c>
    </row>
    <row r="401" spans="2:14" ht="28" x14ac:dyDescent="0.3">
      <c r="B401" s="973">
        <v>387</v>
      </c>
      <c r="C401" s="386" t="s">
        <v>1476</v>
      </c>
      <c r="D401" s="386" t="s">
        <v>1869</v>
      </c>
      <c r="E401" s="121" t="s">
        <v>1483</v>
      </c>
      <c r="F401" s="121"/>
      <c r="G401" s="974">
        <v>45358</v>
      </c>
      <c r="H401" s="974"/>
      <c r="I401" s="974"/>
      <c r="J401" s="974"/>
      <c r="K401" s="977">
        <v>5.2500000000000003E-3</v>
      </c>
      <c r="L401" s="121"/>
      <c r="M401" s="977">
        <v>5.2500000000000003E-3</v>
      </c>
      <c r="N401" s="977">
        <v>5.24349E-3</v>
      </c>
    </row>
    <row r="402" spans="2:14" ht="28" x14ac:dyDescent="0.3">
      <c r="B402" s="973">
        <v>388</v>
      </c>
      <c r="C402" s="386" t="s">
        <v>1476</v>
      </c>
      <c r="D402" s="386" t="s">
        <v>1870</v>
      </c>
      <c r="E402" s="121" t="s">
        <v>1483</v>
      </c>
      <c r="F402" s="121"/>
      <c r="G402" s="974">
        <v>45358</v>
      </c>
      <c r="H402" s="974"/>
      <c r="I402" s="974"/>
      <c r="J402" s="974"/>
      <c r="K402" s="977">
        <v>5.0400000000000002E-3</v>
      </c>
      <c r="L402" s="121"/>
      <c r="M402" s="977">
        <v>5.0400000000000002E-3</v>
      </c>
      <c r="N402" s="977">
        <v>5.0360099999999996E-3</v>
      </c>
    </row>
    <row r="403" spans="2:14" ht="28" x14ac:dyDescent="0.3">
      <c r="B403" s="973">
        <v>389</v>
      </c>
      <c r="C403" s="386" t="s">
        <v>1476</v>
      </c>
      <c r="D403" s="386" t="s">
        <v>1871</v>
      </c>
      <c r="E403" s="121" t="s">
        <v>1483</v>
      </c>
      <c r="F403" s="121"/>
      <c r="G403" s="974">
        <v>45352</v>
      </c>
      <c r="H403" s="974"/>
      <c r="I403" s="974"/>
      <c r="J403" s="974"/>
      <c r="K403" s="977">
        <v>5.8409999999999998E-3</v>
      </c>
      <c r="L403" s="121"/>
      <c r="M403" s="977">
        <v>5.8409999999999998E-3</v>
      </c>
      <c r="N403" s="977">
        <v>5.8409999999999998E-3</v>
      </c>
    </row>
    <row r="404" spans="2:14" ht="28" x14ac:dyDescent="0.3">
      <c r="B404" s="973">
        <v>390</v>
      </c>
      <c r="C404" s="386" t="s">
        <v>1476</v>
      </c>
      <c r="D404" s="386" t="s">
        <v>1872</v>
      </c>
      <c r="E404" s="121" t="s">
        <v>1483</v>
      </c>
      <c r="F404" s="121"/>
      <c r="G404" s="974">
        <v>45301</v>
      </c>
      <c r="H404" s="974"/>
      <c r="I404" s="974"/>
      <c r="J404" s="974"/>
      <c r="K404" s="977">
        <v>5.8528E-3</v>
      </c>
      <c r="L404" s="121"/>
      <c r="M404" s="977">
        <v>5.8528E-3</v>
      </c>
      <c r="N404" s="977">
        <v>5.8528E-3</v>
      </c>
    </row>
    <row r="405" spans="2:14" ht="28" x14ac:dyDescent="0.3">
      <c r="B405" s="973">
        <v>391</v>
      </c>
      <c r="C405" s="386" t="s">
        <v>1476</v>
      </c>
      <c r="D405" s="386" t="s">
        <v>1873</v>
      </c>
      <c r="E405" s="121" t="s">
        <v>1483</v>
      </c>
      <c r="F405" s="121"/>
      <c r="G405" s="974">
        <v>45299</v>
      </c>
      <c r="H405" s="974"/>
      <c r="I405" s="974"/>
      <c r="J405" s="974"/>
      <c r="K405" s="977">
        <v>4.9581E-3</v>
      </c>
      <c r="L405" s="121"/>
      <c r="M405" s="977">
        <v>4.9581E-3</v>
      </c>
      <c r="N405" s="977">
        <v>5.206006E-3</v>
      </c>
    </row>
    <row r="406" spans="2:14" ht="42" x14ac:dyDescent="0.3">
      <c r="B406" s="973">
        <v>392</v>
      </c>
      <c r="C406" s="386" t="s">
        <v>1476</v>
      </c>
      <c r="D406" s="386" t="s">
        <v>1874</v>
      </c>
      <c r="E406" s="121" t="s">
        <v>1483</v>
      </c>
      <c r="F406" s="121"/>
      <c r="G406" s="974">
        <v>45294</v>
      </c>
      <c r="H406" s="974"/>
      <c r="I406" s="974"/>
      <c r="J406" s="974"/>
      <c r="K406" s="977">
        <v>4.6108E-3</v>
      </c>
      <c r="L406" s="121"/>
      <c r="M406" s="977">
        <v>4.6108E-3</v>
      </c>
      <c r="N406" s="977">
        <v>4.8413400000000004E-3</v>
      </c>
    </row>
    <row r="407" spans="2:14" ht="42" x14ac:dyDescent="0.3">
      <c r="B407" s="973">
        <v>393</v>
      </c>
      <c r="C407" s="386" t="s">
        <v>1476</v>
      </c>
      <c r="D407" s="386" t="s">
        <v>1875</v>
      </c>
      <c r="E407" s="121" t="s">
        <v>1483</v>
      </c>
      <c r="F407" s="121"/>
      <c r="G407" s="974">
        <v>45287</v>
      </c>
      <c r="H407" s="974"/>
      <c r="I407" s="974"/>
      <c r="J407" s="974"/>
      <c r="K407" s="977">
        <v>4.7543999999999998E-3</v>
      </c>
      <c r="L407" s="121"/>
      <c r="M407" s="977">
        <v>4.7543999999999998E-3</v>
      </c>
      <c r="N407" s="977">
        <v>4.9921200000000001E-3</v>
      </c>
    </row>
    <row r="408" spans="2:14" ht="28" x14ac:dyDescent="0.3">
      <c r="B408" s="973">
        <v>394</v>
      </c>
      <c r="C408" s="386" t="s">
        <v>1476</v>
      </c>
      <c r="D408" s="386" t="s">
        <v>1876</v>
      </c>
      <c r="E408" s="121" t="s">
        <v>1483</v>
      </c>
      <c r="F408" s="121"/>
      <c r="G408" s="974">
        <v>45279</v>
      </c>
      <c r="H408" s="974"/>
      <c r="I408" s="974"/>
      <c r="J408" s="974"/>
      <c r="K408" s="977">
        <v>4.9581E-3</v>
      </c>
      <c r="L408" s="121"/>
      <c r="M408" s="977">
        <v>4.9581E-3</v>
      </c>
      <c r="N408" s="977">
        <v>5.206006E-3</v>
      </c>
    </row>
    <row r="409" spans="2:14" ht="28" x14ac:dyDescent="0.3">
      <c r="B409" s="973">
        <v>395</v>
      </c>
      <c r="C409" s="386" t="s">
        <v>1485</v>
      </c>
      <c r="D409" s="386" t="s">
        <v>1877</v>
      </c>
      <c r="E409" s="121" t="s">
        <v>1483</v>
      </c>
      <c r="F409" s="121"/>
      <c r="G409" s="974">
        <v>45209</v>
      </c>
      <c r="H409" s="974"/>
      <c r="I409" s="974"/>
      <c r="J409" s="974"/>
      <c r="K409" s="977">
        <v>5.8409999999999998E-3</v>
      </c>
      <c r="L409" s="121"/>
      <c r="M409" s="977">
        <v>5.8409999999999998E-3</v>
      </c>
      <c r="N409" s="977">
        <v>5.8409999999999998E-3</v>
      </c>
    </row>
    <row r="410" spans="2:14" ht="28" x14ac:dyDescent="0.3">
      <c r="B410" s="973">
        <v>396</v>
      </c>
      <c r="C410" s="386" t="s">
        <v>1476</v>
      </c>
      <c r="D410" s="386" t="s">
        <v>1878</v>
      </c>
      <c r="E410" s="121" t="s">
        <v>1483</v>
      </c>
      <c r="F410" s="121"/>
      <c r="G410" s="974">
        <v>45205</v>
      </c>
      <c r="H410" s="974"/>
      <c r="I410" s="974"/>
      <c r="J410" s="974"/>
      <c r="K410" s="977">
        <v>5.5342000000000004E-3</v>
      </c>
      <c r="L410" s="121"/>
      <c r="M410" s="977">
        <v>5.5342000000000004E-3</v>
      </c>
      <c r="N410" s="977">
        <v>5.5342000000000004E-3</v>
      </c>
    </row>
    <row r="411" spans="2:14" ht="28" x14ac:dyDescent="0.3">
      <c r="B411" s="973">
        <v>397</v>
      </c>
      <c r="C411" s="386" t="s">
        <v>1476</v>
      </c>
      <c r="D411" s="386" t="s">
        <v>1879</v>
      </c>
      <c r="E411" s="121" t="s">
        <v>1483</v>
      </c>
      <c r="F411" s="121"/>
      <c r="G411" s="974">
        <v>45204</v>
      </c>
      <c r="H411" s="974"/>
      <c r="I411" s="974"/>
      <c r="J411" s="974"/>
      <c r="K411" s="977">
        <v>2.5184259999999998E-3</v>
      </c>
      <c r="L411" s="121"/>
      <c r="M411" s="977">
        <v>2.5184259999999998E-3</v>
      </c>
      <c r="N411" s="977">
        <v>2.5135999999999999E-3</v>
      </c>
    </row>
    <row r="412" spans="2:14" ht="42" x14ac:dyDescent="0.3">
      <c r="B412" s="973">
        <v>398</v>
      </c>
      <c r="C412" s="386" t="s">
        <v>1880</v>
      </c>
      <c r="D412" s="386" t="s">
        <v>1881</v>
      </c>
      <c r="E412" s="121" t="s">
        <v>1483</v>
      </c>
      <c r="F412" s="121"/>
      <c r="G412" s="974">
        <v>45197</v>
      </c>
      <c r="H412" s="974"/>
      <c r="I412" s="974"/>
      <c r="J412" s="974"/>
      <c r="K412" s="977">
        <v>4.8143999999999999E-3</v>
      </c>
      <c r="L412" s="121"/>
      <c r="M412" s="977">
        <v>4.8143999999999999E-3</v>
      </c>
      <c r="N412" s="977">
        <v>4.8143999999999999E-3</v>
      </c>
    </row>
    <row r="413" spans="2:14" ht="28" x14ac:dyDescent="0.3">
      <c r="B413" s="973">
        <v>399</v>
      </c>
      <c r="C413" s="386" t="s">
        <v>1476</v>
      </c>
      <c r="D413" s="386" t="s">
        <v>1882</v>
      </c>
      <c r="E413" s="121" t="s">
        <v>1483</v>
      </c>
      <c r="F413" s="121"/>
      <c r="G413" s="974">
        <v>45197</v>
      </c>
      <c r="H413" s="974"/>
      <c r="I413" s="974"/>
      <c r="J413" s="974"/>
      <c r="K413" s="977">
        <v>4.9709000000000003E-3</v>
      </c>
      <c r="L413" s="121"/>
      <c r="M413" s="977">
        <v>4.9709000000000003E-3</v>
      </c>
      <c r="N413" s="977">
        <v>5.219446E-3</v>
      </c>
    </row>
    <row r="414" spans="2:14" ht="28" x14ac:dyDescent="0.3">
      <c r="B414" s="973">
        <v>400</v>
      </c>
      <c r="C414" s="386" t="s">
        <v>1476</v>
      </c>
      <c r="D414" s="386" t="s">
        <v>1883</v>
      </c>
      <c r="E414" s="121" t="s">
        <v>1483</v>
      </c>
      <c r="F414" s="121"/>
      <c r="G414" s="974">
        <v>45100</v>
      </c>
      <c r="H414" s="974"/>
      <c r="I414" s="974"/>
      <c r="J414" s="974"/>
      <c r="K414" s="977">
        <v>3.0798000000000002E-3</v>
      </c>
      <c r="L414" s="121"/>
      <c r="M414" s="977">
        <v>3.0798000000000002E-3</v>
      </c>
      <c r="N414" s="977">
        <v>3.0798000000000002E-3</v>
      </c>
    </row>
    <row r="415" spans="2:14" ht="28" x14ac:dyDescent="0.3">
      <c r="B415" s="973">
        <v>401</v>
      </c>
      <c r="C415" s="386" t="s">
        <v>1476</v>
      </c>
      <c r="D415" s="386" t="s">
        <v>1884</v>
      </c>
      <c r="E415" s="121" t="s">
        <v>1483</v>
      </c>
      <c r="F415" s="121"/>
      <c r="G415" s="974">
        <v>45100</v>
      </c>
      <c r="H415" s="974"/>
      <c r="I415" s="974"/>
      <c r="J415" s="974"/>
      <c r="K415" s="977">
        <v>5.8881999999999997E-3</v>
      </c>
      <c r="L415" s="121"/>
      <c r="M415" s="977">
        <v>5.8881999999999997E-3</v>
      </c>
      <c r="N415" s="977">
        <v>5.8881999999999997E-3</v>
      </c>
    </row>
    <row r="416" spans="2:14" ht="28" x14ac:dyDescent="0.3">
      <c r="B416" s="973">
        <v>402</v>
      </c>
      <c r="C416" s="386" t="s">
        <v>1476</v>
      </c>
      <c r="D416" s="386" t="s">
        <v>1885</v>
      </c>
      <c r="E416" s="121" t="s">
        <v>1483</v>
      </c>
      <c r="F416" s="121"/>
      <c r="G416" s="974">
        <v>45014</v>
      </c>
      <c r="H416" s="974"/>
      <c r="I416" s="974"/>
      <c r="J416" s="974"/>
      <c r="K416" s="977">
        <v>2.6250000000000002E-3</v>
      </c>
      <c r="L416" s="121"/>
      <c r="M416" s="977">
        <v>2.6250000000000002E-3</v>
      </c>
      <c r="N416" s="977">
        <v>2.6250000000000002E-3</v>
      </c>
    </row>
    <row r="417" spans="2:14" ht="28" x14ac:dyDescent="0.3">
      <c r="B417" s="973">
        <v>403</v>
      </c>
      <c r="C417" s="386" t="s">
        <v>1476</v>
      </c>
      <c r="D417" s="386" t="s">
        <v>1886</v>
      </c>
      <c r="E417" s="121" t="s">
        <v>1483</v>
      </c>
      <c r="F417" s="121"/>
      <c r="G417" s="974">
        <v>45014</v>
      </c>
      <c r="H417" s="974"/>
      <c r="I417" s="974"/>
      <c r="J417" s="974"/>
      <c r="K417" s="977">
        <v>4.9299979999999997E-3</v>
      </c>
      <c r="L417" s="121"/>
      <c r="M417" s="977">
        <v>4.9299979999999997E-3</v>
      </c>
      <c r="N417" s="977">
        <v>4.9299979999999997E-3</v>
      </c>
    </row>
    <row r="418" spans="2:14" ht="28" x14ac:dyDescent="0.3">
      <c r="B418" s="973">
        <v>404</v>
      </c>
      <c r="C418" s="386" t="s">
        <v>1485</v>
      </c>
      <c r="D418" s="386" t="s">
        <v>1887</v>
      </c>
      <c r="E418" s="121" t="s">
        <v>1483</v>
      </c>
      <c r="F418" s="121"/>
      <c r="G418" s="974">
        <v>45013</v>
      </c>
      <c r="H418" s="974"/>
      <c r="I418" s="974"/>
      <c r="J418" s="974"/>
      <c r="K418" s="977">
        <v>5.7819999999999998E-3</v>
      </c>
      <c r="L418" s="121"/>
      <c r="M418" s="977">
        <v>5.7819999999999998E-3</v>
      </c>
      <c r="N418" s="977">
        <v>5.7819999999999998E-3</v>
      </c>
    </row>
    <row r="419" spans="2:14" ht="28" x14ac:dyDescent="0.3">
      <c r="B419" s="973">
        <v>405</v>
      </c>
      <c r="C419" s="386" t="s">
        <v>1485</v>
      </c>
      <c r="D419" s="386" t="s">
        <v>1888</v>
      </c>
      <c r="E419" s="121" t="s">
        <v>1483</v>
      </c>
      <c r="F419" s="121"/>
      <c r="G419" s="974">
        <v>44932</v>
      </c>
      <c r="H419" s="974"/>
      <c r="I419" s="974"/>
      <c r="J419" s="974"/>
      <c r="K419" s="977">
        <v>4.13E-3</v>
      </c>
      <c r="L419" s="121"/>
      <c r="M419" s="977">
        <v>4.13E-3</v>
      </c>
      <c r="N419" s="977">
        <v>4.13E-3</v>
      </c>
    </row>
    <row r="420" spans="2:14" ht="28" x14ac:dyDescent="0.3">
      <c r="B420" s="973">
        <v>406</v>
      </c>
      <c r="C420" s="386" t="s">
        <v>1485</v>
      </c>
      <c r="D420" s="386" t="s">
        <v>1889</v>
      </c>
      <c r="E420" s="121" t="s">
        <v>1483</v>
      </c>
      <c r="F420" s="121"/>
      <c r="G420" s="974">
        <v>44904</v>
      </c>
      <c r="H420" s="974"/>
      <c r="I420" s="974"/>
      <c r="J420" s="974"/>
      <c r="K420" s="977">
        <v>5.8516200000000001E-3</v>
      </c>
      <c r="L420" s="121"/>
      <c r="M420" s="977">
        <v>5.8516200000000001E-3</v>
      </c>
      <c r="N420" s="977">
        <v>5.8516200000000001E-3</v>
      </c>
    </row>
    <row r="421" spans="2:14" ht="28" x14ac:dyDescent="0.3">
      <c r="B421" s="973">
        <v>407</v>
      </c>
      <c r="C421" s="386" t="s">
        <v>1476</v>
      </c>
      <c r="D421" s="386" t="s">
        <v>1890</v>
      </c>
      <c r="E421" s="121" t="s">
        <v>1483</v>
      </c>
      <c r="F421" s="121"/>
      <c r="G421" s="974">
        <v>44894</v>
      </c>
      <c r="H421" s="974"/>
      <c r="I421" s="974"/>
      <c r="J421" s="974"/>
      <c r="K421" s="977">
        <v>3.3007199999999996E-3</v>
      </c>
      <c r="L421" s="121"/>
      <c r="M421" s="977">
        <v>3.3007199999999996E-3</v>
      </c>
      <c r="N421" s="977">
        <v>3.3007199999999996E-3</v>
      </c>
    </row>
    <row r="422" spans="2:14" ht="28" x14ac:dyDescent="0.3">
      <c r="B422" s="973">
        <v>408</v>
      </c>
      <c r="C422" s="386" t="s">
        <v>1476</v>
      </c>
      <c r="D422" s="386" t="s">
        <v>1891</v>
      </c>
      <c r="E422" s="121" t="s">
        <v>1483</v>
      </c>
      <c r="F422" s="121"/>
      <c r="G422" s="974">
        <v>44890</v>
      </c>
      <c r="H422" s="974"/>
      <c r="I422" s="974"/>
      <c r="J422" s="974"/>
      <c r="K422" s="977">
        <v>3.80314E-3</v>
      </c>
      <c r="L422" s="121"/>
      <c r="M422" s="977">
        <v>3.80314E-3</v>
      </c>
      <c r="N422" s="977">
        <v>3.80314E-3</v>
      </c>
    </row>
    <row r="423" spans="2:14" ht="28" x14ac:dyDescent="0.3">
      <c r="B423" s="973">
        <v>409</v>
      </c>
      <c r="C423" s="386" t="s">
        <v>1476</v>
      </c>
      <c r="D423" s="386" t="s">
        <v>1892</v>
      </c>
      <c r="E423" s="121" t="s">
        <v>1483</v>
      </c>
      <c r="F423" s="121"/>
      <c r="G423" s="974">
        <v>44887</v>
      </c>
      <c r="H423" s="974"/>
      <c r="I423" s="974"/>
      <c r="J423" s="974">
        <v>44876</v>
      </c>
      <c r="K423" s="977">
        <v>4.1250000000000002E-3</v>
      </c>
      <c r="L423" s="121"/>
      <c r="M423" s="977">
        <v>4.1250000000000002E-3</v>
      </c>
      <c r="N423" s="977">
        <v>4.1250000000000002E-3</v>
      </c>
    </row>
    <row r="424" spans="2:14" ht="28" x14ac:dyDescent="0.3">
      <c r="B424" s="973">
        <v>410</v>
      </c>
      <c r="C424" s="386" t="s">
        <v>1476</v>
      </c>
      <c r="D424" s="386" t="s">
        <v>1893</v>
      </c>
      <c r="E424" s="121" t="s">
        <v>1483</v>
      </c>
      <c r="F424" s="121"/>
      <c r="G424" s="974">
        <v>44728</v>
      </c>
      <c r="H424" s="974"/>
      <c r="I424" s="974"/>
      <c r="J424" s="974">
        <v>44694</v>
      </c>
      <c r="K424" s="977">
        <v>5.2834500000000003E-3</v>
      </c>
      <c r="L424" s="121"/>
      <c r="M424" s="977">
        <v>5.2834500000000003E-3</v>
      </c>
      <c r="N424" s="977">
        <v>5.2834500000000003E-3</v>
      </c>
    </row>
    <row r="425" spans="2:14" ht="28" x14ac:dyDescent="0.3">
      <c r="B425" s="973">
        <v>411</v>
      </c>
      <c r="C425" s="386" t="s">
        <v>1476</v>
      </c>
      <c r="D425" s="386" t="s">
        <v>1894</v>
      </c>
      <c r="E425" s="121" t="s">
        <v>1483</v>
      </c>
      <c r="F425" s="121"/>
      <c r="G425" s="974">
        <v>44718</v>
      </c>
      <c r="H425" s="974"/>
      <c r="I425" s="974"/>
      <c r="J425" s="974">
        <v>44694</v>
      </c>
      <c r="K425" s="977">
        <v>3.5388199999999998E-3</v>
      </c>
      <c r="L425" s="121"/>
      <c r="M425" s="977">
        <v>3.5388199999999998E-3</v>
      </c>
      <c r="N425" s="977">
        <v>3.5388199999999998E-3</v>
      </c>
    </row>
    <row r="426" spans="2:14" ht="28" x14ac:dyDescent="0.3">
      <c r="B426" s="973">
        <v>412</v>
      </c>
      <c r="C426" s="386" t="s">
        <v>1476</v>
      </c>
      <c r="D426" s="386" t="s">
        <v>1895</v>
      </c>
      <c r="E426" s="121" t="s">
        <v>1483</v>
      </c>
      <c r="F426" s="121"/>
      <c r="G426" s="974">
        <v>44718</v>
      </c>
      <c r="H426" s="974"/>
      <c r="I426" s="974"/>
      <c r="J426" s="974">
        <v>44466</v>
      </c>
      <c r="K426" s="977">
        <v>1.199E-3</v>
      </c>
      <c r="L426" s="121"/>
      <c r="M426" s="977">
        <v>1.199E-3</v>
      </c>
      <c r="N426" s="977">
        <v>1.199E-3</v>
      </c>
    </row>
    <row r="427" spans="2:14" ht="28" x14ac:dyDescent="0.3">
      <c r="B427" s="973">
        <v>413</v>
      </c>
      <c r="C427" s="386" t="s">
        <v>1476</v>
      </c>
      <c r="D427" s="386" t="s">
        <v>1896</v>
      </c>
      <c r="E427" s="121" t="s">
        <v>1483</v>
      </c>
      <c r="F427" s="121"/>
      <c r="G427" s="974">
        <v>44636</v>
      </c>
      <c r="H427" s="974">
        <v>44578</v>
      </c>
      <c r="I427" s="974"/>
      <c r="J427" s="974">
        <v>44604</v>
      </c>
      <c r="K427" s="977">
        <v>1.5671999999999999E-3</v>
      </c>
      <c r="L427" s="121"/>
      <c r="M427" s="977">
        <v>1.5671999999999999E-3</v>
      </c>
      <c r="N427" s="977">
        <v>1.5671999999999999E-3</v>
      </c>
    </row>
    <row r="428" spans="2:14" ht="28" x14ac:dyDescent="0.3">
      <c r="B428" s="973">
        <v>414</v>
      </c>
      <c r="C428" s="386" t="s">
        <v>1476</v>
      </c>
      <c r="D428" s="386" t="s">
        <v>1897</v>
      </c>
      <c r="E428" s="121" t="s">
        <v>1483</v>
      </c>
      <c r="F428" s="121"/>
      <c r="G428" s="974">
        <v>44636</v>
      </c>
      <c r="H428" s="974">
        <v>44579</v>
      </c>
      <c r="I428" s="974"/>
      <c r="J428" s="974">
        <v>44582</v>
      </c>
      <c r="K428" s="977">
        <v>2.4524999999999998E-3</v>
      </c>
      <c r="L428" s="121"/>
      <c r="M428" s="977">
        <v>2.4524999999999998E-3</v>
      </c>
      <c r="N428" s="977">
        <v>2.4524999999999998E-3</v>
      </c>
    </row>
    <row r="429" spans="2:14" ht="28" x14ac:dyDescent="0.3">
      <c r="B429" s="973">
        <v>415</v>
      </c>
      <c r="C429" s="386" t="s">
        <v>1476</v>
      </c>
      <c r="D429" s="386" t="s">
        <v>1898</v>
      </c>
      <c r="E429" s="121" t="s">
        <v>1483</v>
      </c>
      <c r="F429" s="121"/>
      <c r="G429" s="974">
        <v>44103</v>
      </c>
      <c r="H429" s="974">
        <v>44049</v>
      </c>
      <c r="I429" s="974">
        <f>H429+45</f>
        <v>44094</v>
      </c>
      <c r="J429" s="974">
        <v>44053</v>
      </c>
      <c r="K429" s="977">
        <v>2.6059959999999997E-3</v>
      </c>
      <c r="L429" s="121"/>
      <c r="M429" s="977">
        <v>2.6059959999999997E-3</v>
      </c>
      <c r="N429" s="977">
        <v>2.605998E-3</v>
      </c>
    </row>
    <row r="430" spans="2:14" ht="28" x14ac:dyDescent="0.3">
      <c r="B430" s="973">
        <v>416</v>
      </c>
      <c r="C430" s="386" t="s">
        <v>1476</v>
      </c>
      <c r="D430" s="386" t="s">
        <v>1899</v>
      </c>
      <c r="E430" s="121" t="s">
        <v>1483</v>
      </c>
      <c r="F430" s="121"/>
      <c r="G430" s="974">
        <v>44025</v>
      </c>
      <c r="H430" s="974">
        <v>43932</v>
      </c>
      <c r="I430" s="974">
        <f>H430+45</f>
        <v>43977</v>
      </c>
      <c r="J430" s="974">
        <v>43934</v>
      </c>
      <c r="K430" s="977">
        <v>5.7819999999999998E-3</v>
      </c>
      <c r="L430" s="121"/>
      <c r="M430" s="977">
        <v>5.7819999999999998E-3</v>
      </c>
      <c r="N430" s="977">
        <v>5.7819999999999998E-3</v>
      </c>
    </row>
    <row r="431" spans="2:14" ht="28" x14ac:dyDescent="0.3">
      <c r="B431" s="973">
        <v>417</v>
      </c>
      <c r="C431" s="386" t="s">
        <v>1476</v>
      </c>
      <c r="D431" s="386" t="s">
        <v>1900</v>
      </c>
      <c r="E431" s="121" t="s">
        <v>1483</v>
      </c>
      <c r="F431" s="121"/>
      <c r="G431" s="974">
        <v>43796</v>
      </c>
      <c r="H431" s="974">
        <v>43584</v>
      </c>
      <c r="I431" s="974">
        <f>H431+45</f>
        <v>43629</v>
      </c>
      <c r="J431" s="974">
        <v>43586</v>
      </c>
      <c r="K431" s="977">
        <v>2.8909999999999999E-3</v>
      </c>
      <c r="L431" s="121"/>
      <c r="M431" s="977">
        <v>2.8909999999999999E-3</v>
      </c>
      <c r="N431" s="977">
        <v>2.8909999999999999E-3</v>
      </c>
    </row>
    <row r="432" spans="2:14" ht="28" x14ac:dyDescent="0.3">
      <c r="B432" s="973">
        <v>418</v>
      </c>
      <c r="C432" s="386" t="s">
        <v>1476</v>
      </c>
      <c r="D432" s="386" t="s">
        <v>1901</v>
      </c>
      <c r="E432" s="121" t="s">
        <v>1483</v>
      </c>
      <c r="F432" s="121"/>
      <c r="G432" s="974"/>
      <c r="H432" s="974">
        <v>43797</v>
      </c>
      <c r="I432" s="974"/>
      <c r="J432" s="974">
        <v>43797</v>
      </c>
      <c r="K432" s="977">
        <v>2.193132E-3</v>
      </c>
      <c r="L432" s="121"/>
      <c r="M432" s="977">
        <v>2.193132E-3</v>
      </c>
      <c r="N432" s="977">
        <v>2.1931400000000001E-3</v>
      </c>
    </row>
    <row r="433" spans="2:14" ht="28" x14ac:dyDescent="0.3">
      <c r="B433" s="973">
        <v>419</v>
      </c>
      <c r="C433" s="386" t="s">
        <v>1476</v>
      </c>
      <c r="D433" s="386" t="s">
        <v>1902</v>
      </c>
      <c r="E433" s="121" t="s">
        <v>1483</v>
      </c>
      <c r="F433" s="121"/>
      <c r="G433" s="974"/>
      <c r="H433" s="974">
        <v>43794</v>
      </c>
      <c r="I433" s="974">
        <f>H433+45</f>
        <v>43839</v>
      </c>
      <c r="J433" s="974">
        <v>43796</v>
      </c>
      <c r="K433" s="977">
        <v>2.9323000000000001E-3</v>
      </c>
      <c r="L433" s="121"/>
      <c r="M433" s="977">
        <v>2.9323000000000001E-3</v>
      </c>
      <c r="N433" s="977">
        <v>2.9323000000000001E-3</v>
      </c>
    </row>
    <row r="434" spans="2:14" ht="28" x14ac:dyDescent="0.3">
      <c r="B434" s="973">
        <v>420</v>
      </c>
      <c r="C434" s="386" t="s">
        <v>1476</v>
      </c>
      <c r="D434" s="386" t="s">
        <v>1903</v>
      </c>
      <c r="E434" s="121" t="s">
        <v>1483</v>
      </c>
      <c r="F434" s="121"/>
      <c r="G434" s="974"/>
      <c r="H434" s="974">
        <v>43794</v>
      </c>
      <c r="I434" s="974">
        <f>H434+45</f>
        <v>43839</v>
      </c>
      <c r="J434" s="974">
        <v>43799</v>
      </c>
      <c r="K434" s="977">
        <v>1.7171979999999999E-3</v>
      </c>
      <c r="L434" s="121"/>
      <c r="M434" s="977">
        <v>1.7171979999999999E-3</v>
      </c>
      <c r="N434" s="977">
        <v>1.7171959999999998E-3</v>
      </c>
    </row>
    <row r="435" spans="2:14" ht="28" x14ac:dyDescent="0.3">
      <c r="B435" s="973">
        <v>421</v>
      </c>
      <c r="C435" s="386" t="s">
        <v>1476</v>
      </c>
      <c r="D435" s="386" t="s">
        <v>1904</v>
      </c>
      <c r="E435" s="121" t="s">
        <v>1483</v>
      </c>
      <c r="F435" s="121"/>
      <c r="G435" s="974"/>
      <c r="H435" s="974">
        <v>43795</v>
      </c>
      <c r="I435" s="974">
        <f>H435+45</f>
        <v>43840</v>
      </c>
      <c r="J435" s="974">
        <v>43827</v>
      </c>
      <c r="K435" s="977">
        <v>2.8904099999999999E-3</v>
      </c>
      <c r="L435" s="121"/>
      <c r="M435" s="977">
        <v>2.8904099999999999E-3</v>
      </c>
      <c r="N435" s="977">
        <v>2.8904099999999999E-3</v>
      </c>
    </row>
    <row r="436" spans="2:14" ht="28" x14ac:dyDescent="0.3">
      <c r="B436" s="973">
        <v>422</v>
      </c>
      <c r="C436" s="386" t="s">
        <v>1485</v>
      </c>
      <c r="D436" s="386" t="s">
        <v>1905</v>
      </c>
      <c r="E436" s="121" t="s">
        <v>1483</v>
      </c>
      <c r="F436" s="121"/>
      <c r="G436" s="974"/>
      <c r="H436" s="974">
        <v>43669</v>
      </c>
      <c r="I436" s="974"/>
      <c r="J436" s="974">
        <v>43673</v>
      </c>
      <c r="K436" s="977">
        <v>2.4131000000000001E-3</v>
      </c>
      <c r="L436" s="121"/>
      <c r="M436" s="977">
        <v>2.4131000000000001E-3</v>
      </c>
      <c r="N436" s="977">
        <v>2.4131000000000001E-3</v>
      </c>
    </row>
    <row r="437" spans="2:14" ht="28" x14ac:dyDescent="0.3">
      <c r="B437" s="973">
        <v>423</v>
      </c>
      <c r="C437" s="386" t="s">
        <v>1476</v>
      </c>
      <c r="D437" s="386" t="s">
        <v>1906</v>
      </c>
      <c r="E437" s="121" t="s">
        <v>1483</v>
      </c>
      <c r="F437" s="121"/>
      <c r="G437" s="974"/>
      <c r="H437" s="121"/>
      <c r="I437" s="974"/>
      <c r="J437" s="974"/>
      <c r="K437" s="977">
        <v>2.8084E-3</v>
      </c>
      <c r="L437" s="121"/>
      <c r="M437" s="977">
        <v>2.8084E-3</v>
      </c>
      <c r="N437" s="977">
        <v>2.8084E-3</v>
      </c>
    </row>
    <row r="438" spans="2:14" ht="42" x14ac:dyDescent="0.3">
      <c r="B438" s="973">
        <v>424</v>
      </c>
      <c r="C438" s="386" t="s">
        <v>1476</v>
      </c>
      <c r="D438" s="386" t="s">
        <v>1907</v>
      </c>
      <c r="E438" s="121" t="s">
        <v>1483</v>
      </c>
      <c r="F438" s="121"/>
      <c r="G438" s="974"/>
      <c r="H438" s="121"/>
      <c r="I438" s="974"/>
      <c r="J438" s="974"/>
      <c r="K438" s="977">
        <v>4.1476999999999998E-3</v>
      </c>
      <c r="L438" s="121"/>
      <c r="M438" s="977">
        <v>4.1476999999999998E-3</v>
      </c>
      <c r="N438" s="977">
        <v>4.1476999999999998E-3</v>
      </c>
    </row>
    <row r="439" spans="2:14" ht="28" x14ac:dyDescent="0.3">
      <c r="B439" s="973">
        <v>425</v>
      </c>
      <c r="C439" s="386" t="s">
        <v>1476</v>
      </c>
      <c r="D439" s="386" t="s">
        <v>1908</v>
      </c>
      <c r="E439" s="121" t="s">
        <v>1483</v>
      </c>
      <c r="F439" s="121"/>
      <c r="G439" s="974"/>
      <c r="H439" s="121"/>
      <c r="I439" s="974"/>
      <c r="J439" s="974"/>
      <c r="K439" s="977">
        <v>2.2499999999999998E-3</v>
      </c>
      <c r="L439" s="121"/>
      <c r="M439" s="977">
        <v>2.2499999999999998E-3</v>
      </c>
      <c r="N439" s="977">
        <v>2.3625E-3</v>
      </c>
    </row>
    <row r="440" spans="2:14" x14ac:dyDescent="0.3">
      <c r="B440" s="973"/>
      <c r="C440" s="386"/>
      <c r="D440" s="386"/>
      <c r="E440" s="121"/>
      <c r="F440" s="121"/>
      <c r="G440" s="974"/>
      <c r="H440" s="121"/>
      <c r="I440" s="121"/>
      <c r="J440" s="121"/>
      <c r="K440" s="975"/>
      <c r="L440" s="121"/>
      <c r="M440" s="976"/>
      <c r="N440" s="979"/>
    </row>
    <row r="441" spans="2:14" ht="28" x14ac:dyDescent="0.3">
      <c r="B441" s="973">
        <v>426</v>
      </c>
      <c r="C441" s="386" t="s">
        <v>1909</v>
      </c>
      <c r="D441" s="386" t="s">
        <v>1910</v>
      </c>
      <c r="E441" s="121" t="s">
        <v>1478</v>
      </c>
      <c r="F441" s="121"/>
      <c r="G441" s="974" t="s">
        <v>1911</v>
      </c>
      <c r="H441" s="121">
        <v>4500093464</v>
      </c>
      <c r="I441" s="121"/>
      <c r="J441" s="121"/>
      <c r="K441" s="977">
        <v>3.0417332000000002E-2</v>
      </c>
      <c r="L441" s="121"/>
      <c r="M441" s="977">
        <v>3.0417332000000002E-2</v>
      </c>
      <c r="N441" s="979"/>
    </row>
    <row r="442" spans="2:14" ht="28" x14ac:dyDescent="0.3">
      <c r="B442" s="973">
        <v>427</v>
      </c>
      <c r="C442" s="386" t="s">
        <v>1909</v>
      </c>
      <c r="D442" s="386" t="s">
        <v>1912</v>
      </c>
      <c r="E442" s="121" t="s">
        <v>1478</v>
      </c>
      <c r="F442" s="121"/>
      <c r="G442" s="974" t="s">
        <v>1913</v>
      </c>
      <c r="H442" s="121">
        <v>4500094493</v>
      </c>
      <c r="I442" s="121"/>
      <c r="J442" s="121"/>
      <c r="K442" s="977">
        <v>3.4868999999999997E-2</v>
      </c>
      <c r="L442" s="121"/>
      <c r="M442" s="977">
        <v>3.4868999999999997E-2</v>
      </c>
      <c r="N442" s="979"/>
    </row>
    <row r="443" spans="2:14" x14ac:dyDescent="0.3">
      <c r="B443" s="973">
        <v>428</v>
      </c>
      <c r="C443" s="386" t="s">
        <v>1909</v>
      </c>
      <c r="D443" s="386" t="s">
        <v>1914</v>
      </c>
      <c r="E443" s="121" t="s">
        <v>1478</v>
      </c>
      <c r="F443" s="121"/>
      <c r="G443" s="974" t="s">
        <v>1913</v>
      </c>
      <c r="H443" s="121">
        <v>4500094491</v>
      </c>
      <c r="I443" s="121"/>
      <c r="J443" s="121"/>
      <c r="K443" s="977">
        <v>1.1232656000000001E-2</v>
      </c>
      <c r="L443" s="121"/>
      <c r="M443" s="977">
        <v>1.1232656000000001E-2</v>
      </c>
      <c r="N443" s="979"/>
    </row>
    <row r="444" spans="2:14" ht="28" x14ac:dyDescent="0.3">
      <c r="B444" s="973">
        <v>429</v>
      </c>
      <c r="C444" s="386" t="s">
        <v>1909</v>
      </c>
      <c r="D444" s="386" t="s">
        <v>1915</v>
      </c>
      <c r="E444" s="121" t="s">
        <v>1478</v>
      </c>
      <c r="F444" s="121"/>
      <c r="G444" s="974" t="s">
        <v>1916</v>
      </c>
      <c r="H444" s="121">
        <v>4500094832</v>
      </c>
      <c r="I444" s="121"/>
      <c r="J444" s="121"/>
      <c r="K444" s="977">
        <v>3.3739975999999998E-2</v>
      </c>
      <c r="L444" s="121"/>
      <c r="M444" s="977">
        <v>3.3739975999999998E-2</v>
      </c>
      <c r="N444" s="979"/>
    </row>
    <row r="445" spans="2:14" ht="28" x14ac:dyDescent="0.3">
      <c r="B445" s="973">
        <v>430</v>
      </c>
      <c r="C445" s="386" t="s">
        <v>1909</v>
      </c>
      <c r="D445" s="386" t="s">
        <v>1917</v>
      </c>
      <c r="E445" s="121" t="s">
        <v>1483</v>
      </c>
      <c r="F445" s="121"/>
      <c r="G445" s="974" t="s">
        <v>1916</v>
      </c>
      <c r="H445" s="121">
        <v>4500094675</v>
      </c>
      <c r="I445" s="121"/>
      <c r="J445" s="121"/>
      <c r="K445" s="977">
        <v>2.0635839999999998E-3</v>
      </c>
      <c r="L445" s="121"/>
      <c r="M445" s="977">
        <v>2.0635839999999998E-3</v>
      </c>
      <c r="N445" s="979"/>
    </row>
    <row r="446" spans="2:14" ht="28" x14ac:dyDescent="0.3">
      <c r="B446" s="973">
        <v>431</v>
      </c>
      <c r="C446" s="386" t="s">
        <v>1909</v>
      </c>
      <c r="D446" s="386" t="s">
        <v>1918</v>
      </c>
      <c r="E446" s="121" t="s">
        <v>1478</v>
      </c>
      <c r="F446" s="121"/>
      <c r="G446" s="974" t="s">
        <v>1919</v>
      </c>
      <c r="H446" s="121">
        <v>4500096024</v>
      </c>
      <c r="I446" s="121"/>
      <c r="J446" s="121"/>
      <c r="K446" s="977">
        <v>3.3739975999999998E-2</v>
      </c>
      <c r="L446" s="121"/>
      <c r="M446" s="977">
        <v>3.3739975999999998E-2</v>
      </c>
      <c r="N446" s="979"/>
    </row>
    <row r="447" spans="2:14" x14ac:dyDescent="0.3">
      <c r="B447" s="973">
        <v>432</v>
      </c>
      <c r="C447" s="386" t="s">
        <v>1920</v>
      </c>
      <c r="D447" s="386" t="s">
        <v>1921</v>
      </c>
      <c r="E447" s="121" t="s">
        <v>1483</v>
      </c>
      <c r="F447" s="121"/>
      <c r="G447" s="974" t="s">
        <v>1919</v>
      </c>
      <c r="H447" s="121">
        <v>4500096025</v>
      </c>
      <c r="I447" s="121"/>
      <c r="J447" s="121"/>
      <c r="K447" s="977">
        <v>8.4960000000000001E-3</v>
      </c>
      <c r="L447" s="121"/>
      <c r="M447" s="977">
        <v>8.4960000000000001E-3</v>
      </c>
      <c r="N447" s="979"/>
    </row>
    <row r="448" spans="2:14" x14ac:dyDescent="0.3">
      <c r="B448" s="973">
        <v>433</v>
      </c>
      <c r="C448" s="386" t="s">
        <v>1909</v>
      </c>
      <c r="D448" s="386" t="s">
        <v>1922</v>
      </c>
      <c r="E448" s="121" t="s">
        <v>1478</v>
      </c>
      <c r="F448" s="121"/>
      <c r="G448" s="974" t="s">
        <v>1923</v>
      </c>
      <c r="H448" s="121">
        <v>4500096643</v>
      </c>
      <c r="I448" s="121"/>
      <c r="J448" s="121"/>
      <c r="K448" s="977">
        <v>3.2532600000000002E-2</v>
      </c>
      <c r="L448" s="121"/>
      <c r="M448" s="977">
        <v>3.2532600000000002E-2</v>
      </c>
      <c r="N448" s="979"/>
    </row>
    <row r="449" spans="2:14" ht="28" x14ac:dyDescent="0.3">
      <c r="B449" s="973">
        <v>434</v>
      </c>
      <c r="C449" s="386" t="s">
        <v>1924</v>
      </c>
      <c r="D449" s="386" t="s">
        <v>1925</v>
      </c>
      <c r="E449" s="121" t="s">
        <v>1483</v>
      </c>
      <c r="F449" s="121"/>
      <c r="G449" s="974" t="s">
        <v>1926</v>
      </c>
      <c r="H449" s="121">
        <v>4500097921</v>
      </c>
      <c r="I449" s="121"/>
      <c r="J449" s="121"/>
      <c r="K449" s="977">
        <v>0</v>
      </c>
      <c r="L449" s="121"/>
      <c r="M449" s="977">
        <v>0</v>
      </c>
      <c r="N449" s="979"/>
    </row>
    <row r="450" spans="2:14" x14ac:dyDescent="0.3">
      <c r="B450" s="973">
        <v>435</v>
      </c>
      <c r="C450" s="386" t="s">
        <v>1927</v>
      </c>
      <c r="D450" s="386" t="s">
        <v>1928</v>
      </c>
      <c r="E450" s="121" t="s">
        <v>1478</v>
      </c>
      <c r="F450" s="121"/>
      <c r="G450" s="974" t="s">
        <v>1929</v>
      </c>
      <c r="H450" s="121">
        <v>4500098490</v>
      </c>
      <c r="I450" s="121"/>
      <c r="J450" s="121"/>
      <c r="K450" s="977">
        <v>3.5015909999999997E-2</v>
      </c>
      <c r="L450" s="121"/>
      <c r="M450" s="977">
        <v>3.5015909999999997E-2</v>
      </c>
      <c r="N450" s="979"/>
    </row>
    <row r="451" spans="2:14" ht="28" x14ac:dyDescent="0.3">
      <c r="B451" s="973">
        <v>436</v>
      </c>
      <c r="C451" s="386" t="s">
        <v>1927</v>
      </c>
      <c r="D451" s="386" t="s">
        <v>1930</v>
      </c>
      <c r="E451" s="121" t="s">
        <v>1478</v>
      </c>
      <c r="F451" s="121"/>
      <c r="G451" s="974" t="s">
        <v>1931</v>
      </c>
      <c r="H451" s="121">
        <v>4500098486</v>
      </c>
      <c r="I451" s="121"/>
      <c r="J451" s="121"/>
      <c r="K451" s="977">
        <v>3.3772544000000002E-2</v>
      </c>
      <c r="L451" s="121"/>
      <c r="M451" s="977">
        <v>3.3772544000000002E-2</v>
      </c>
      <c r="N451" s="979"/>
    </row>
    <row r="452" spans="2:14" ht="28" x14ac:dyDescent="0.3">
      <c r="B452" s="973">
        <v>437</v>
      </c>
      <c r="C452" s="386" t="s">
        <v>1927</v>
      </c>
      <c r="D452" s="386" t="s">
        <v>1932</v>
      </c>
      <c r="E452" s="121" t="s">
        <v>1478</v>
      </c>
      <c r="F452" s="121"/>
      <c r="G452" s="974" t="s">
        <v>1933</v>
      </c>
      <c r="H452" s="121">
        <v>4500099614</v>
      </c>
      <c r="I452" s="121"/>
      <c r="J452" s="121"/>
      <c r="K452" s="977">
        <v>2.3546545999999998E-2</v>
      </c>
      <c r="L452" s="121"/>
      <c r="M452" s="977">
        <v>2.3546545999999998E-2</v>
      </c>
      <c r="N452" s="979"/>
    </row>
    <row r="453" spans="2:14" ht="28" x14ac:dyDescent="0.3">
      <c r="B453" s="973">
        <v>438</v>
      </c>
      <c r="C453" s="386" t="s">
        <v>1927</v>
      </c>
      <c r="D453" s="386" t="s">
        <v>1934</v>
      </c>
      <c r="E453" s="121" t="s">
        <v>1478</v>
      </c>
      <c r="F453" s="121"/>
      <c r="G453" s="974" t="s">
        <v>1933</v>
      </c>
      <c r="H453" s="121">
        <v>4500098485</v>
      </c>
      <c r="I453" s="121"/>
      <c r="J453" s="121"/>
      <c r="K453" s="977">
        <v>5.8319139999999997E-3</v>
      </c>
      <c r="L453" s="121"/>
      <c r="M453" s="977">
        <v>5.8319139999999997E-3</v>
      </c>
      <c r="N453" s="979"/>
    </row>
    <row r="454" spans="2:14" ht="28" x14ac:dyDescent="0.3">
      <c r="B454" s="973">
        <v>439</v>
      </c>
      <c r="C454" s="386" t="s">
        <v>1909</v>
      </c>
      <c r="D454" s="386" t="s">
        <v>1935</v>
      </c>
      <c r="E454" s="121" t="s">
        <v>1478</v>
      </c>
      <c r="F454" s="121"/>
      <c r="G454" s="974" t="s">
        <v>1933</v>
      </c>
      <c r="H454" s="121">
        <v>4500098487</v>
      </c>
      <c r="I454" s="121"/>
      <c r="J454" s="121"/>
      <c r="K454" s="977">
        <v>2.2317222000000001E-2</v>
      </c>
      <c r="L454" s="121"/>
      <c r="M454" s="977">
        <v>2.2317222000000001E-2</v>
      </c>
      <c r="N454" s="979"/>
    </row>
    <row r="455" spans="2:14" ht="28" x14ac:dyDescent="0.3">
      <c r="B455" s="973">
        <v>440</v>
      </c>
      <c r="C455" s="386" t="s">
        <v>1909</v>
      </c>
      <c r="D455" s="386" t="s">
        <v>1936</v>
      </c>
      <c r="E455" s="121" t="s">
        <v>1483</v>
      </c>
      <c r="F455" s="121"/>
      <c r="G455" s="974" t="s">
        <v>1937</v>
      </c>
      <c r="H455" s="121">
        <v>4500098890</v>
      </c>
      <c r="I455" s="121"/>
      <c r="J455" s="121"/>
      <c r="K455" s="977">
        <v>2.269376E-3</v>
      </c>
      <c r="L455" s="121"/>
      <c r="M455" s="977">
        <v>2.269376E-3</v>
      </c>
      <c r="N455" s="979"/>
    </row>
    <row r="456" spans="2:14" x14ac:dyDescent="0.3">
      <c r="B456" s="973">
        <v>441</v>
      </c>
      <c r="C456" s="386" t="s">
        <v>1909</v>
      </c>
      <c r="D456" s="386" t="s">
        <v>1938</v>
      </c>
      <c r="E456" s="121" t="s">
        <v>1483</v>
      </c>
      <c r="F456" s="121"/>
      <c r="G456" s="974" t="s">
        <v>1937</v>
      </c>
      <c r="H456" s="121">
        <v>4500098891</v>
      </c>
      <c r="I456" s="121"/>
      <c r="J456" s="121"/>
      <c r="K456" s="977">
        <v>1.8246340000000001E-3</v>
      </c>
      <c r="L456" s="121"/>
      <c r="M456" s="977">
        <v>1.8246340000000001E-3</v>
      </c>
      <c r="N456" s="979"/>
    </row>
    <row r="457" spans="2:14" x14ac:dyDescent="0.3">
      <c r="B457" s="973">
        <v>442</v>
      </c>
      <c r="C457" s="386" t="s">
        <v>1909</v>
      </c>
      <c r="D457" s="386" t="s">
        <v>1939</v>
      </c>
      <c r="E457" s="121" t="s">
        <v>1478</v>
      </c>
      <c r="F457" s="121"/>
      <c r="G457" s="974" t="s">
        <v>1940</v>
      </c>
      <c r="H457" s="121">
        <v>4500098489</v>
      </c>
      <c r="I457" s="121"/>
      <c r="J457" s="121"/>
      <c r="K457" s="977">
        <v>3.5325895999999996E-2</v>
      </c>
      <c r="L457" s="121"/>
      <c r="M457" s="977">
        <v>3.5325895999999996E-2</v>
      </c>
      <c r="N457" s="979"/>
    </row>
    <row r="458" spans="2:14" ht="28" x14ac:dyDescent="0.3">
      <c r="B458" s="973">
        <v>443</v>
      </c>
      <c r="C458" s="386" t="s">
        <v>1909</v>
      </c>
      <c r="D458" s="386" t="s">
        <v>1941</v>
      </c>
      <c r="E458" s="121" t="s">
        <v>1478</v>
      </c>
      <c r="F458" s="121"/>
      <c r="G458" s="974" t="s">
        <v>1942</v>
      </c>
      <c r="H458" s="121">
        <v>4500099152</v>
      </c>
      <c r="I458" s="121"/>
      <c r="J458" s="121"/>
      <c r="K458" s="977">
        <v>3.5378524000000001E-2</v>
      </c>
      <c r="L458" s="121"/>
      <c r="M458" s="977">
        <v>3.5378524000000001E-2</v>
      </c>
      <c r="N458" s="979"/>
    </row>
    <row r="459" spans="2:14" x14ac:dyDescent="0.3">
      <c r="B459" s="973">
        <v>444</v>
      </c>
      <c r="C459" s="386" t="s">
        <v>1927</v>
      </c>
      <c r="D459" s="386" t="s">
        <v>1943</v>
      </c>
      <c r="E459" s="121" t="s">
        <v>1478</v>
      </c>
      <c r="F459" s="121"/>
      <c r="G459" s="974" t="s">
        <v>1942</v>
      </c>
      <c r="H459" s="121">
        <v>4500099156</v>
      </c>
      <c r="I459" s="121"/>
      <c r="J459" s="121"/>
      <c r="K459" s="977">
        <v>3.5214621999999994E-2</v>
      </c>
      <c r="L459" s="121"/>
      <c r="M459" s="977">
        <v>3.5214621999999994E-2</v>
      </c>
      <c r="N459" s="979"/>
    </row>
    <row r="460" spans="2:14" x14ac:dyDescent="0.3">
      <c r="B460" s="973">
        <v>445</v>
      </c>
      <c r="C460" s="386" t="s">
        <v>1927</v>
      </c>
      <c r="D460" s="386" t="s">
        <v>1944</v>
      </c>
      <c r="E460" s="121" t="s">
        <v>1478</v>
      </c>
      <c r="F460" s="121"/>
      <c r="G460" s="974" t="s">
        <v>1942</v>
      </c>
      <c r="H460" s="121">
        <v>4500099148</v>
      </c>
      <c r="I460" s="121"/>
      <c r="J460" s="121"/>
      <c r="K460" s="977">
        <v>3.5308078E-2</v>
      </c>
      <c r="L460" s="121"/>
      <c r="M460" s="977">
        <v>3.5308078E-2</v>
      </c>
      <c r="N460" s="979"/>
    </row>
    <row r="461" spans="2:14" x14ac:dyDescent="0.3">
      <c r="B461" s="973">
        <v>446</v>
      </c>
      <c r="C461" s="386" t="s">
        <v>1927</v>
      </c>
      <c r="D461" s="386" t="s">
        <v>1945</v>
      </c>
      <c r="E461" s="121" t="s">
        <v>1478</v>
      </c>
      <c r="F461" s="121"/>
      <c r="G461" s="974" t="s">
        <v>1942</v>
      </c>
      <c r="H461" s="121">
        <v>4500099155</v>
      </c>
      <c r="I461" s="121"/>
      <c r="J461" s="121"/>
      <c r="K461" s="977">
        <v>3.5321765999999997E-2</v>
      </c>
      <c r="L461" s="121"/>
      <c r="M461" s="977">
        <v>3.5321765999999997E-2</v>
      </c>
      <c r="N461" s="979"/>
    </row>
    <row r="462" spans="2:14" x14ac:dyDescent="0.3">
      <c r="B462" s="973">
        <v>447</v>
      </c>
      <c r="C462" s="386" t="s">
        <v>1927</v>
      </c>
      <c r="D462" s="386" t="s">
        <v>1946</v>
      </c>
      <c r="E462" s="121" t="s">
        <v>1478</v>
      </c>
      <c r="F462" s="121"/>
      <c r="G462" s="974" t="s">
        <v>1947</v>
      </c>
      <c r="H462" s="121">
        <v>4500099726</v>
      </c>
      <c r="I462" s="121"/>
      <c r="J462" s="121"/>
      <c r="K462" s="977">
        <v>2.3280927999999999E-2</v>
      </c>
      <c r="L462" s="121"/>
      <c r="M462" s="977">
        <v>2.3280927999999999E-2</v>
      </c>
      <c r="N462" s="979"/>
    </row>
    <row r="463" spans="2:14" ht="28" x14ac:dyDescent="0.3">
      <c r="B463" s="973">
        <v>448</v>
      </c>
      <c r="C463" s="386" t="s">
        <v>1927</v>
      </c>
      <c r="D463" s="386" t="s">
        <v>1948</v>
      </c>
      <c r="E463" s="121" t="s">
        <v>1478</v>
      </c>
      <c r="F463" s="121"/>
      <c r="G463" s="974" t="s">
        <v>1947</v>
      </c>
      <c r="H463" s="121">
        <v>4500099720</v>
      </c>
      <c r="I463" s="121"/>
      <c r="J463" s="121"/>
      <c r="K463" s="977">
        <v>1.11333E-2</v>
      </c>
      <c r="L463" s="121"/>
      <c r="M463" s="977">
        <v>1.11333E-2</v>
      </c>
      <c r="N463" s="979"/>
    </row>
    <row r="464" spans="2:14" ht="28" x14ac:dyDescent="0.3">
      <c r="B464" s="973">
        <v>449</v>
      </c>
      <c r="C464" s="386" t="s">
        <v>1927</v>
      </c>
      <c r="D464" s="386" t="s">
        <v>1949</v>
      </c>
      <c r="E464" s="121" t="s">
        <v>1478</v>
      </c>
      <c r="F464" s="121"/>
      <c r="G464" s="974" t="s">
        <v>1947</v>
      </c>
      <c r="H464" s="121">
        <v>4500099729</v>
      </c>
      <c r="I464" s="121"/>
      <c r="J464" s="121"/>
      <c r="K464" s="977">
        <v>2.1995672000000001E-2</v>
      </c>
      <c r="L464" s="121"/>
      <c r="M464" s="977">
        <v>2.1995672000000001E-2</v>
      </c>
      <c r="N464" s="979"/>
    </row>
    <row r="465" spans="2:14" ht="28" x14ac:dyDescent="0.3">
      <c r="B465" s="973">
        <v>450</v>
      </c>
      <c r="C465" s="386" t="s">
        <v>1909</v>
      </c>
      <c r="D465" s="386" t="s">
        <v>1950</v>
      </c>
      <c r="E465" s="121" t="s">
        <v>1478</v>
      </c>
      <c r="F465" s="121"/>
      <c r="G465" s="974" t="s">
        <v>1947</v>
      </c>
      <c r="H465" s="121">
        <v>4500099728</v>
      </c>
      <c r="I465" s="121"/>
      <c r="J465" s="121"/>
      <c r="K465" s="977">
        <v>2.2474279999999999E-2</v>
      </c>
      <c r="L465" s="121"/>
      <c r="M465" s="977">
        <v>2.2474279999999999E-2</v>
      </c>
      <c r="N465" s="979"/>
    </row>
    <row r="466" spans="2:14" ht="28" x14ac:dyDescent="0.3">
      <c r="B466" s="973">
        <v>451</v>
      </c>
      <c r="C466" s="386" t="s">
        <v>1927</v>
      </c>
      <c r="D466" s="386" t="s">
        <v>1951</v>
      </c>
      <c r="E466" s="121" t="s">
        <v>1478</v>
      </c>
      <c r="F466" s="121"/>
      <c r="G466" s="974" t="s">
        <v>1947</v>
      </c>
      <c r="H466" s="121">
        <v>4500099727</v>
      </c>
      <c r="I466" s="121"/>
      <c r="J466" s="121"/>
      <c r="K466" s="977">
        <v>2.2571040000000001E-2</v>
      </c>
      <c r="L466" s="121"/>
      <c r="M466" s="977">
        <v>2.2571040000000001E-2</v>
      </c>
      <c r="N466" s="979"/>
    </row>
    <row r="467" spans="2:14" ht="28" x14ac:dyDescent="0.3">
      <c r="B467" s="973">
        <v>452</v>
      </c>
      <c r="C467" s="386" t="s">
        <v>1909</v>
      </c>
      <c r="D467" s="386" t="s">
        <v>1952</v>
      </c>
      <c r="E467" s="121" t="s">
        <v>1478</v>
      </c>
      <c r="F467" s="121"/>
      <c r="G467" s="974" t="s">
        <v>1947</v>
      </c>
      <c r="H467" s="121">
        <v>4500099721</v>
      </c>
      <c r="I467" s="121"/>
      <c r="J467" s="121"/>
      <c r="K467" s="977">
        <v>3.4692000000000001E-2</v>
      </c>
      <c r="L467" s="121"/>
      <c r="M467" s="977">
        <v>3.4692000000000001E-2</v>
      </c>
      <c r="N467" s="979"/>
    </row>
    <row r="468" spans="2:14" ht="28" x14ac:dyDescent="0.3">
      <c r="B468" s="973">
        <v>453</v>
      </c>
      <c r="C468" s="386" t="s">
        <v>1909</v>
      </c>
      <c r="D468" s="386" t="s">
        <v>1953</v>
      </c>
      <c r="E468" s="121" t="s">
        <v>1478</v>
      </c>
      <c r="F468" s="121"/>
      <c r="G468" s="974" t="s">
        <v>1954</v>
      </c>
      <c r="H468" s="121">
        <v>4500099997</v>
      </c>
      <c r="I468" s="121"/>
      <c r="J468" s="121"/>
      <c r="K468" s="977">
        <v>2.3285529999999999E-2</v>
      </c>
      <c r="L468" s="121"/>
      <c r="M468" s="977">
        <v>2.3285529999999999E-2</v>
      </c>
      <c r="N468" s="979"/>
    </row>
    <row r="469" spans="2:14" ht="28" x14ac:dyDescent="0.3">
      <c r="B469" s="973">
        <v>454</v>
      </c>
      <c r="C469" s="386" t="s">
        <v>1927</v>
      </c>
      <c r="D469" s="386" t="s">
        <v>1955</v>
      </c>
      <c r="E469" s="121" t="s">
        <v>1478</v>
      </c>
      <c r="F469" s="121"/>
      <c r="G469" s="974" t="s">
        <v>1956</v>
      </c>
      <c r="H469" s="121">
        <v>4500100463</v>
      </c>
      <c r="I469" s="121"/>
      <c r="J469" s="121"/>
      <c r="K469" s="977">
        <v>0.12067216168400001</v>
      </c>
      <c r="L469" s="121"/>
      <c r="M469" s="977">
        <v>0.12067216168400001</v>
      </c>
      <c r="N469" s="979"/>
    </row>
    <row r="470" spans="2:14" ht="28" x14ac:dyDescent="0.3">
      <c r="B470" s="973">
        <v>455</v>
      </c>
      <c r="C470" s="386" t="s">
        <v>1909</v>
      </c>
      <c r="D470" s="386" t="s">
        <v>1957</v>
      </c>
      <c r="E470" s="121" t="s">
        <v>1478</v>
      </c>
      <c r="F470" s="121"/>
      <c r="G470" s="974" t="s">
        <v>1956</v>
      </c>
      <c r="H470" s="121">
        <v>4500100549</v>
      </c>
      <c r="I470" s="121"/>
      <c r="J470" s="121"/>
      <c r="K470" s="977">
        <v>3.5378524000000001E-2</v>
      </c>
      <c r="L470" s="121"/>
      <c r="M470" s="977">
        <v>3.5378524000000001E-2</v>
      </c>
      <c r="N470" s="979"/>
    </row>
    <row r="471" spans="2:14" x14ac:dyDescent="0.3">
      <c r="B471" s="973">
        <v>456</v>
      </c>
      <c r="C471" s="386" t="s">
        <v>1927</v>
      </c>
      <c r="D471" s="386" t="s">
        <v>1958</v>
      </c>
      <c r="E471" s="121" t="s">
        <v>1478</v>
      </c>
      <c r="F471" s="121"/>
      <c r="G471" s="974" t="s">
        <v>1959</v>
      </c>
      <c r="H471" s="121">
        <v>4500100665</v>
      </c>
      <c r="I471" s="121"/>
      <c r="J471" s="121"/>
      <c r="K471" s="977">
        <v>3.5106062E-2</v>
      </c>
      <c r="L471" s="121"/>
      <c r="M471" s="977">
        <v>3.5106062E-2</v>
      </c>
      <c r="N471" s="979"/>
    </row>
    <row r="472" spans="2:14" ht="28" x14ac:dyDescent="0.3">
      <c r="B472" s="973">
        <v>457</v>
      </c>
      <c r="C472" s="386" t="s">
        <v>1927</v>
      </c>
      <c r="D472" s="386" t="s">
        <v>1960</v>
      </c>
      <c r="E472" s="121" t="s">
        <v>1478</v>
      </c>
      <c r="F472" s="121"/>
      <c r="G472" s="974" t="s">
        <v>1959</v>
      </c>
      <c r="H472" s="121">
        <v>4500100678</v>
      </c>
      <c r="I472" s="121"/>
      <c r="J472" s="121"/>
      <c r="K472" s="977">
        <v>2.3512679999999998E-2</v>
      </c>
      <c r="L472" s="121"/>
      <c r="M472" s="977">
        <v>2.3512679999999998E-2</v>
      </c>
      <c r="N472" s="979"/>
    </row>
    <row r="473" spans="2:14" ht="28" x14ac:dyDescent="0.3">
      <c r="B473" s="973">
        <v>458</v>
      </c>
      <c r="C473" s="386" t="s">
        <v>1927</v>
      </c>
      <c r="D473" s="386" t="s">
        <v>1961</v>
      </c>
      <c r="E473" s="121" t="s">
        <v>1478</v>
      </c>
      <c r="F473" s="121"/>
      <c r="G473" s="974" t="s">
        <v>1959</v>
      </c>
      <c r="H473" s="121">
        <v>4500100677</v>
      </c>
      <c r="I473" s="121"/>
      <c r="J473" s="121"/>
      <c r="K473" s="977">
        <v>2.3286591999999998E-2</v>
      </c>
      <c r="L473" s="121"/>
      <c r="M473" s="977">
        <v>2.3286591999999998E-2</v>
      </c>
      <c r="N473" s="979"/>
    </row>
    <row r="474" spans="2:14" x14ac:dyDescent="0.3">
      <c r="B474" s="973">
        <v>459</v>
      </c>
      <c r="C474" s="386" t="s">
        <v>1927</v>
      </c>
      <c r="D474" s="386" t="s">
        <v>1962</v>
      </c>
      <c r="E474" s="121" t="s">
        <v>1478</v>
      </c>
      <c r="F474" s="121"/>
      <c r="G474" s="974" t="s">
        <v>1959</v>
      </c>
      <c r="H474" s="121">
        <v>4500100666</v>
      </c>
      <c r="I474" s="121"/>
      <c r="J474" s="121"/>
      <c r="K474" s="977">
        <v>3.5204827999999994E-2</v>
      </c>
      <c r="L474" s="121"/>
      <c r="M474" s="977">
        <v>3.5204827999999994E-2</v>
      </c>
      <c r="N474" s="979"/>
    </row>
    <row r="475" spans="2:14" ht="28" x14ac:dyDescent="0.3">
      <c r="B475" s="973">
        <v>460</v>
      </c>
      <c r="C475" s="386" t="s">
        <v>1909</v>
      </c>
      <c r="D475" s="386" t="s">
        <v>1963</v>
      </c>
      <c r="E475" s="121" t="s">
        <v>1478</v>
      </c>
      <c r="F475" s="121"/>
      <c r="G475" s="974" t="s">
        <v>1959</v>
      </c>
      <c r="H475" s="121">
        <v>4500100670</v>
      </c>
      <c r="I475" s="121"/>
      <c r="J475" s="121"/>
      <c r="K475" s="977">
        <v>3.2075232000000002E-2</v>
      </c>
      <c r="L475" s="121"/>
      <c r="M475" s="977">
        <v>3.2075232000000002E-2</v>
      </c>
      <c r="N475" s="979"/>
    </row>
    <row r="476" spans="2:14" ht="28" x14ac:dyDescent="0.3">
      <c r="B476" s="973">
        <v>461</v>
      </c>
      <c r="C476" s="386" t="s">
        <v>1927</v>
      </c>
      <c r="D476" s="386" t="s">
        <v>1964</v>
      </c>
      <c r="E476" s="121" t="s">
        <v>1478</v>
      </c>
      <c r="F476" s="121"/>
      <c r="G476" s="974" t="s">
        <v>1959</v>
      </c>
      <c r="H476" s="121">
        <v>4500100664</v>
      </c>
      <c r="I476" s="121"/>
      <c r="J476" s="121"/>
      <c r="K476" s="977">
        <v>3.5364600000000003E-2</v>
      </c>
      <c r="L476" s="121"/>
      <c r="M476" s="977">
        <v>3.5364600000000003E-2</v>
      </c>
      <c r="N476" s="979"/>
    </row>
    <row r="477" spans="2:14" x14ac:dyDescent="0.3">
      <c r="B477" s="973">
        <v>462</v>
      </c>
      <c r="C477" s="386" t="s">
        <v>1927</v>
      </c>
      <c r="D477" s="386" t="s">
        <v>1965</v>
      </c>
      <c r="E477" s="121" t="s">
        <v>1478</v>
      </c>
      <c r="F477" s="121"/>
      <c r="G477" s="974" t="s">
        <v>1966</v>
      </c>
      <c r="H477" s="121">
        <v>4500100944</v>
      </c>
      <c r="I477" s="121"/>
      <c r="J477" s="121"/>
      <c r="K477" s="977">
        <v>1.6947631999999997E-2</v>
      </c>
      <c r="L477" s="121"/>
      <c r="M477" s="977">
        <v>1.6947631999999997E-2</v>
      </c>
      <c r="N477" s="979"/>
    </row>
    <row r="478" spans="2:14" x14ac:dyDescent="0.3">
      <c r="B478" s="973">
        <v>463</v>
      </c>
      <c r="C478" s="386" t="s">
        <v>1927</v>
      </c>
      <c r="D478" s="386" t="s">
        <v>1967</v>
      </c>
      <c r="E478" s="121" t="s">
        <v>1478</v>
      </c>
      <c r="F478" s="121"/>
      <c r="G478" s="974" t="s">
        <v>1966</v>
      </c>
      <c r="H478" s="121">
        <v>4500100945</v>
      </c>
      <c r="I478" s="121"/>
      <c r="J478" s="121"/>
      <c r="K478" s="977">
        <v>1.1888971999999999E-2</v>
      </c>
      <c r="L478" s="121"/>
      <c r="M478" s="977">
        <v>1.1888971999999999E-2</v>
      </c>
      <c r="N478" s="979"/>
    </row>
    <row r="479" spans="2:14" x14ac:dyDescent="0.3">
      <c r="B479" s="973">
        <v>464</v>
      </c>
      <c r="C479" s="386" t="s">
        <v>1927</v>
      </c>
      <c r="D479" s="386" t="s">
        <v>1968</v>
      </c>
      <c r="E479" s="121" t="s">
        <v>1478</v>
      </c>
      <c r="F479" s="121"/>
      <c r="G479" s="974" t="s">
        <v>1966</v>
      </c>
      <c r="H479" s="121">
        <v>4500100947</v>
      </c>
      <c r="I479" s="121"/>
      <c r="J479" s="121"/>
      <c r="K479" s="977">
        <v>2.1674357999999998E-2</v>
      </c>
      <c r="L479" s="121"/>
      <c r="M479" s="977">
        <v>2.1674357999999998E-2</v>
      </c>
      <c r="N479" s="979"/>
    </row>
    <row r="480" spans="2:14" ht="28" x14ac:dyDescent="0.3">
      <c r="B480" s="973">
        <v>465</v>
      </c>
      <c r="C480" s="386" t="s">
        <v>1909</v>
      </c>
      <c r="D480" s="386" t="s">
        <v>1969</v>
      </c>
      <c r="E480" s="121" t="s">
        <v>1478</v>
      </c>
      <c r="F480" s="121"/>
      <c r="G480" s="974" t="s">
        <v>1966</v>
      </c>
      <c r="H480" s="121">
        <v>4500100946</v>
      </c>
      <c r="I480" s="121"/>
      <c r="J480" s="121"/>
      <c r="K480" s="977">
        <v>2.2359937999999996E-2</v>
      </c>
      <c r="L480" s="121"/>
      <c r="M480" s="977">
        <v>2.2359937999999996E-2</v>
      </c>
      <c r="N480" s="979"/>
    </row>
    <row r="481" spans="2:14" ht="28" x14ac:dyDescent="0.3">
      <c r="B481" s="973">
        <v>466</v>
      </c>
      <c r="C481" s="386" t="s">
        <v>1927</v>
      </c>
      <c r="D481" s="386" t="s">
        <v>1970</v>
      </c>
      <c r="E481" s="121" t="s">
        <v>1478</v>
      </c>
      <c r="F481" s="121"/>
      <c r="G481" s="974" t="s">
        <v>1966</v>
      </c>
      <c r="H481" s="121">
        <v>4500100955</v>
      </c>
      <c r="I481" s="121"/>
      <c r="J481" s="121"/>
      <c r="K481" s="977">
        <v>2.2655999999999999E-2</v>
      </c>
      <c r="L481" s="121"/>
      <c r="M481" s="977">
        <v>2.2655999999999999E-2</v>
      </c>
      <c r="N481" s="979"/>
    </row>
    <row r="482" spans="2:14" x14ac:dyDescent="0.3">
      <c r="B482" s="973">
        <v>467</v>
      </c>
      <c r="C482" s="386" t="s">
        <v>1927</v>
      </c>
      <c r="D482" s="386" t="s">
        <v>1971</v>
      </c>
      <c r="E482" s="121" t="s">
        <v>1478</v>
      </c>
      <c r="F482" s="121"/>
      <c r="G482" s="974" t="s">
        <v>1972</v>
      </c>
      <c r="H482" s="121">
        <v>4500100951</v>
      </c>
      <c r="I482" s="121"/>
      <c r="J482" s="121"/>
      <c r="K482" s="977">
        <v>2.872415E-2</v>
      </c>
      <c r="L482" s="121"/>
      <c r="M482" s="977">
        <v>2.872415E-2</v>
      </c>
      <c r="N482" s="979"/>
    </row>
    <row r="483" spans="2:14" ht="28" x14ac:dyDescent="0.3">
      <c r="B483" s="973">
        <v>468</v>
      </c>
      <c r="C483" s="386" t="s">
        <v>1927</v>
      </c>
      <c r="D483" s="386" t="s">
        <v>1973</v>
      </c>
      <c r="E483" s="121" t="s">
        <v>1478</v>
      </c>
      <c r="F483" s="121"/>
      <c r="G483" s="974" t="s">
        <v>1974</v>
      </c>
      <c r="H483" s="121">
        <v>4500102145</v>
      </c>
      <c r="I483" s="121"/>
      <c r="J483" s="121"/>
      <c r="K483" s="977">
        <v>0.14912214599999998</v>
      </c>
      <c r="L483" s="121"/>
      <c r="M483" s="977">
        <v>0.14912214599999998</v>
      </c>
      <c r="N483" s="979"/>
    </row>
    <row r="484" spans="2:14" ht="28" x14ac:dyDescent="0.3">
      <c r="B484" s="973">
        <v>469</v>
      </c>
      <c r="C484" s="386" t="s">
        <v>1927</v>
      </c>
      <c r="D484" s="386" t="s">
        <v>1975</v>
      </c>
      <c r="E484" s="121" t="s">
        <v>1478</v>
      </c>
      <c r="F484" s="121"/>
      <c r="G484" s="974" t="s">
        <v>1974</v>
      </c>
      <c r="H484" s="121">
        <v>4500101818</v>
      </c>
      <c r="I484" s="121"/>
      <c r="J484" s="121"/>
      <c r="K484" s="977">
        <v>3.3299127999999997E-2</v>
      </c>
      <c r="L484" s="121"/>
      <c r="M484" s="977">
        <v>3.3299127999999997E-2</v>
      </c>
      <c r="N484" s="979"/>
    </row>
    <row r="485" spans="2:14" x14ac:dyDescent="0.3">
      <c r="B485" s="973">
        <v>470</v>
      </c>
      <c r="C485" s="386" t="s">
        <v>1927</v>
      </c>
      <c r="D485" s="386" t="s">
        <v>1976</v>
      </c>
      <c r="E485" s="121" t="s">
        <v>1478</v>
      </c>
      <c r="F485" s="121"/>
      <c r="G485" s="974" t="s">
        <v>1977</v>
      </c>
      <c r="H485" s="121">
        <v>4500101822</v>
      </c>
      <c r="I485" s="121"/>
      <c r="J485" s="121"/>
      <c r="K485" s="977">
        <v>3.5086237999999999E-2</v>
      </c>
      <c r="L485" s="121"/>
      <c r="M485" s="977">
        <v>3.5086237999999999E-2</v>
      </c>
      <c r="N485" s="979"/>
    </row>
    <row r="486" spans="2:14" x14ac:dyDescent="0.3">
      <c r="B486" s="973">
        <v>471</v>
      </c>
      <c r="C486" s="386" t="s">
        <v>1927</v>
      </c>
      <c r="D486" s="386" t="s">
        <v>1978</v>
      </c>
      <c r="E486" s="121" t="s">
        <v>1478</v>
      </c>
      <c r="F486" s="121"/>
      <c r="G486" s="974" t="s">
        <v>1979</v>
      </c>
      <c r="H486" s="121">
        <v>4500102517</v>
      </c>
      <c r="I486" s="121"/>
      <c r="J486" s="121"/>
      <c r="K486" s="977">
        <v>2.3059441999999999E-2</v>
      </c>
      <c r="L486" s="121"/>
      <c r="M486" s="977">
        <v>2.3059441999999999E-2</v>
      </c>
      <c r="N486" s="979"/>
    </row>
    <row r="487" spans="2:14" ht="28" x14ac:dyDescent="0.3">
      <c r="B487" s="973">
        <v>472</v>
      </c>
      <c r="C487" s="386" t="s">
        <v>1927</v>
      </c>
      <c r="D487" s="386" t="s">
        <v>1980</v>
      </c>
      <c r="E487" s="121" t="s">
        <v>1478</v>
      </c>
      <c r="F487" s="121"/>
      <c r="G487" s="974" t="s">
        <v>1979</v>
      </c>
      <c r="H487" s="121">
        <v>4500101821</v>
      </c>
      <c r="I487" s="121"/>
      <c r="J487" s="121"/>
      <c r="K487" s="977">
        <v>2.1700199999999999E-2</v>
      </c>
      <c r="L487" s="121"/>
      <c r="M487" s="977">
        <v>2.1700199999999999E-2</v>
      </c>
      <c r="N487" s="979"/>
    </row>
    <row r="488" spans="2:14" x14ac:dyDescent="0.3">
      <c r="B488" s="973">
        <v>473</v>
      </c>
      <c r="C488" s="386" t="s">
        <v>1909</v>
      </c>
      <c r="D488" s="386" t="s">
        <v>1981</v>
      </c>
      <c r="E488" s="121" t="s">
        <v>1478</v>
      </c>
      <c r="F488" s="121"/>
      <c r="G488" s="974" t="s">
        <v>1982</v>
      </c>
      <c r="H488" s="121">
        <v>4500103429</v>
      </c>
      <c r="I488" s="121"/>
      <c r="J488" s="121"/>
      <c r="K488" s="977">
        <v>5.3099999999999996E-3</v>
      </c>
      <c r="L488" s="121"/>
      <c r="M488" s="977">
        <v>5.3099999999999996E-3</v>
      </c>
      <c r="N488" s="979"/>
    </row>
    <row r="489" spans="2:14" x14ac:dyDescent="0.3">
      <c r="B489" s="973">
        <v>474</v>
      </c>
      <c r="C489" s="386" t="s">
        <v>1927</v>
      </c>
      <c r="D489" s="386" t="s">
        <v>1983</v>
      </c>
      <c r="E489" s="121" t="s">
        <v>1478</v>
      </c>
      <c r="F489" s="121"/>
      <c r="G489" s="974" t="s">
        <v>1982</v>
      </c>
      <c r="H489" s="121">
        <v>4500103425</v>
      </c>
      <c r="I489" s="121"/>
      <c r="J489" s="121"/>
      <c r="K489" s="977">
        <v>2.3437159999999999E-2</v>
      </c>
      <c r="L489" s="121"/>
      <c r="M489" s="977">
        <v>2.3437159999999999E-2</v>
      </c>
      <c r="N489" s="979"/>
    </row>
    <row r="490" spans="2:14" ht="28" x14ac:dyDescent="0.3">
      <c r="B490" s="973">
        <v>475</v>
      </c>
      <c r="C490" s="386" t="s">
        <v>1909</v>
      </c>
      <c r="D490" s="386" t="s">
        <v>1984</v>
      </c>
      <c r="E490" s="121" t="s">
        <v>1478</v>
      </c>
      <c r="F490" s="121"/>
      <c r="G490" s="974" t="s">
        <v>1982</v>
      </c>
      <c r="H490" s="121">
        <v>4500103254</v>
      </c>
      <c r="I490" s="121"/>
      <c r="J490" s="121"/>
      <c r="K490" s="977">
        <v>0.15352480151999998</v>
      </c>
      <c r="L490" s="121"/>
      <c r="M490" s="977">
        <v>0.15352480151999998</v>
      </c>
      <c r="N490" s="979"/>
    </row>
    <row r="491" spans="2:14" x14ac:dyDescent="0.3">
      <c r="B491" s="973">
        <v>476</v>
      </c>
      <c r="C491" s="386" t="s">
        <v>1909</v>
      </c>
      <c r="D491" s="386" t="s">
        <v>1985</v>
      </c>
      <c r="E491" s="121" t="s">
        <v>1478</v>
      </c>
      <c r="F491" s="121"/>
      <c r="G491" s="974" t="s">
        <v>1982</v>
      </c>
      <c r="H491" s="121">
        <v>4500103257</v>
      </c>
      <c r="I491" s="121"/>
      <c r="J491" s="121"/>
      <c r="K491" s="977">
        <v>0.15352480151999998</v>
      </c>
      <c r="L491" s="121"/>
      <c r="M491" s="977">
        <v>0.15352480151999998</v>
      </c>
      <c r="N491" s="979"/>
    </row>
    <row r="492" spans="2:14" ht="28" x14ac:dyDescent="0.3">
      <c r="B492" s="973">
        <v>477</v>
      </c>
      <c r="C492" s="386" t="s">
        <v>1909</v>
      </c>
      <c r="D492" s="386" t="s">
        <v>1986</v>
      </c>
      <c r="E492" s="121" t="s">
        <v>1478</v>
      </c>
      <c r="F492" s="121"/>
      <c r="G492" s="974" t="s">
        <v>1982</v>
      </c>
      <c r="H492" s="121">
        <v>4500102566</v>
      </c>
      <c r="I492" s="121"/>
      <c r="J492" s="121"/>
      <c r="K492" s="977">
        <v>8.7531365375999995E-2</v>
      </c>
      <c r="L492" s="121"/>
      <c r="M492" s="977">
        <v>8.7531365375999995E-2</v>
      </c>
      <c r="N492" s="979"/>
    </row>
    <row r="493" spans="2:14" ht="28" x14ac:dyDescent="0.3">
      <c r="B493" s="973">
        <v>478</v>
      </c>
      <c r="C493" s="386" t="s">
        <v>1909</v>
      </c>
      <c r="D493" s="386" t="s">
        <v>1987</v>
      </c>
      <c r="E493" s="121" t="s">
        <v>1483</v>
      </c>
      <c r="F493" s="121"/>
      <c r="G493" s="974" t="s">
        <v>1982</v>
      </c>
      <c r="H493" s="121">
        <v>4500103418</v>
      </c>
      <c r="I493" s="121"/>
      <c r="J493" s="121"/>
      <c r="K493" s="977">
        <v>1.8059899999999997E-3</v>
      </c>
      <c r="L493" s="121"/>
      <c r="M493" s="977">
        <v>1.8059899999999997E-3</v>
      </c>
      <c r="N493" s="979"/>
    </row>
    <row r="494" spans="2:14" ht="28" x14ac:dyDescent="0.3">
      <c r="B494" s="973">
        <v>479</v>
      </c>
      <c r="C494" s="386" t="s">
        <v>1909</v>
      </c>
      <c r="D494" s="386" t="s">
        <v>1988</v>
      </c>
      <c r="E494" s="121" t="s">
        <v>1483</v>
      </c>
      <c r="F494" s="121"/>
      <c r="G494" s="974" t="s">
        <v>1982</v>
      </c>
      <c r="H494" s="121">
        <v>4500103406</v>
      </c>
      <c r="I494" s="121"/>
      <c r="J494" s="121"/>
      <c r="K494" s="977">
        <v>2.8216159999999999E-3</v>
      </c>
      <c r="L494" s="121"/>
      <c r="M494" s="977">
        <v>2.8216159999999999E-3</v>
      </c>
      <c r="N494" s="979"/>
    </row>
    <row r="495" spans="2:14" ht="28" x14ac:dyDescent="0.3">
      <c r="B495" s="973">
        <v>480</v>
      </c>
      <c r="C495" s="386" t="s">
        <v>1909</v>
      </c>
      <c r="D495" s="386" t="s">
        <v>1989</v>
      </c>
      <c r="E495" s="121" t="s">
        <v>1483</v>
      </c>
      <c r="F495" s="121"/>
      <c r="G495" s="974" t="s">
        <v>1982</v>
      </c>
      <c r="H495" s="121">
        <v>4500103405</v>
      </c>
      <c r="I495" s="121"/>
      <c r="J495" s="121"/>
      <c r="K495" s="977">
        <v>1.193216E-3</v>
      </c>
      <c r="L495" s="121"/>
      <c r="M495" s="977">
        <v>1.193216E-3</v>
      </c>
      <c r="N495" s="979"/>
    </row>
    <row r="496" spans="2:14" ht="28" x14ac:dyDescent="0.3">
      <c r="B496" s="973">
        <v>481</v>
      </c>
      <c r="C496" s="386" t="s">
        <v>1909</v>
      </c>
      <c r="D496" s="386" t="s">
        <v>1990</v>
      </c>
      <c r="E496" s="121" t="s">
        <v>1483</v>
      </c>
      <c r="F496" s="121"/>
      <c r="G496" s="974" t="s">
        <v>1982</v>
      </c>
      <c r="H496" s="121">
        <v>4500103430</v>
      </c>
      <c r="I496" s="121"/>
      <c r="J496" s="121"/>
      <c r="K496" s="977">
        <v>3.4320299999999995E-3</v>
      </c>
      <c r="L496" s="121"/>
      <c r="M496" s="977">
        <v>3.4320299999999995E-3</v>
      </c>
      <c r="N496" s="979"/>
    </row>
    <row r="497" spans="2:14" ht="28" x14ac:dyDescent="0.3">
      <c r="B497" s="973">
        <v>482</v>
      </c>
      <c r="C497" s="386" t="s">
        <v>1909</v>
      </c>
      <c r="D497" s="386" t="s">
        <v>1991</v>
      </c>
      <c r="E497" s="121" t="s">
        <v>1483</v>
      </c>
      <c r="F497" s="121"/>
      <c r="G497" s="974" t="s">
        <v>1982</v>
      </c>
      <c r="H497" s="121">
        <v>4500103431</v>
      </c>
      <c r="I497" s="121"/>
      <c r="J497" s="121"/>
      <c r="K497" s="977">
        <v>2.8216159999999999E-3</v>
      </c>
      <c r="L497" s="121"/>
      <c r="M497" s="977">
        <v>2.8216159999999999E-3</v>
      </c>
      <c r="N497" s="979"/>
    </row>
    <row r="498" spans="2:14" ht="28" x14ac:dyDescent="0.3">
      <c r="B498" s="973">
        <v>483</v>
      </c>
      <c r="C498" s="386" t="s">
        <v>1909</v>
      </c>
      <c r="D498" s="386" t="s">
        <v>1992</v>
      </c>
      <c r="E498" s="121" t="s">
        <v>1483</v>
      </c>
      <c r="F498" s="121"/>
      <c r="G498" s="974" t="s">
        <v>1982</v>
      </c>
      <c r="H498" s="121">
        <v>4500103407</v>
      </c>
      <c r="I498" s="121"/>
      <c r="J498" s="121"/>
      <c r="K498" s="977">
        <v>1.9389759999999998E-3</v>
      </c>
      <c r="L498" s="121"/>
      <c r="M498" s="977">
        <v>1.9389759999999998E-3</v>
      </c>
      <c r="N498" s="979"/>
    </row>
    <row r="499" spans="2:14" ht="28" x14ac:dyDescent="0.3">
      <c r="B499" s="973">
        <v>484</v>
      </c>
      <c r="C499" s="386" t="s">
        <v>1909</v>
      </c>
      <c r="D499" s="386" t="s">
        <v>1993</v>
      </c>
      <c r="E499" s="121" t="s">
        <v>1483</v>
      </c>
      <c r="F499" s="121"/>
      <c r="G499" s="974" t="s">
        <v>1982</v>
      </c>
      <c r="H499" s="121">
        <v>4500103402</v>
      </c>
      <c r="I499" s="121"/>
      <c r="J499" s="121"/>
      <c r="K499" s="977">
        <v>1.7898239999999998E-3</v>
      </c>
      <c r="L499" s="121"/>
      <c r="M499" s="977">
        <v>1.7898239999999998E-3</v>
      </c>
      <c r="N499" s="979"/>
    </row>
    <row r="500" spans="2:14" x14ac:dyDescent="0.3">
      <c r="B500" s="973">
        <v>485</v>
      </c>
      <c r="C500" s="386" t="s">
        <v>1909</v>
      </c>
      <c r="D500" s="386" t="s">
        <v>1994</v>
      </c>
      <c r="E500" s="121" t="s">
        <v>1483</v>
      </c>
      <c r="F500" s="121"/>
      <c r="G500" s="974" t="s">
        <v>1982</v>
      </c>
      <c r="H500" s="121">
        <v>4500103432</v>
      </c>
      <c r="I500" s="121"/>
      <c r="J500" s="121"/>
      <c r="K500" s="977">
        <v>3.2826419999999997E-3</v>
      </c>
      <c r="L500" s="121"/>
      <c r="M500" s="977">
        <v>3.2826419999999997E-3</v>
      </c>
      <c r="N500" s="979"/>
    </row>
    <row r="501" spans="2:14" x14ac:dyDescent="0.3">
      <c r="B501" s="973">
        <v>486</v>
      </c>
      <c r="C501" s="386" t="s">
        <v>1927</v>
      </c>
      <c r="D501" s="386" t="s">
        <v>1995</v>
      </c>
      <c r="E501" s="121" t="s">
        <v>1483</v>
      </c>
      <c r="F501" s="121"/>
      <c r="G501" s="974" t="s">
        <v>1982</v>
      </c>
      <c r="H501" s="121">
        <v>4500103256</v>
      </c>
      <c r="I501" s="121"/>
      <c r="J501" s="121"/>
      <c r="K501" s="977">
        <v>3.2692607999999998E-2</v>
      </c>
      <c r="L501" s="121"/>
      <c r="M501" s="977">
        <v>3.2692607999999998E-2</v>
      </c>
      <c r="N501" s="979"/>
    </row>
    <row r="502" spans="2:14" x14ac:dyDescent="0.3">
      <c r="B502" s="973">
        <v>487</v>
      </c>
      <c r="C502" s="386" t="s">
        <v>1927</v>
      </c>
      <c r="D502" s="386" t="s">
        <v>1996</v>
      </c>
      <c r="E502" s="121" t="s">
        <v>1478</v>
      </c>
      <c r="F502" s="121"/>
      <c r="G502" s="974" t="s">
        <v>1997</v>
      </c>
      <c r="H502" s="121">
        <v>4500105520</v>
      </c>
      <c r="I502" s="121"/>
      <c r="J502" s="121"/>
      <c r="K502" s="977">
        <v>0.37622279458860003</v>
      </c>
      <c r="L502" s="121"/>
      <c r="M502" s="977">
        <v>0.37622279458860003</v>
      </c>
      <c r="N502" s="979"/>
    </row>
    <row r="503" spans="2:14" x14ac:dyDescent="0.3">
      <c r="B503" s="973">
        <v>488</v>
      </c>
      <c r="C503" s="386" t="s">
        <v>1909</v>
      </c>
      <c r="D503" s="386" t="s">
        <v>1998</v>
      </c>
      <c r="E503" s="121" t="s">
        <v>1478</v>
      </c>
      <c r="F503" s="121"/>
      <c r="G503" s="974" t="s">
        <v>1997</v>
      </c>
      <c r="H503" s="121">
        <v>4500103427</v>
      </c>
      <c r="I503" s="121"/>
      <c r="J503" s="121"/>
      <c r="K503" s="977">
        <v>2.6539379999999998E-2</v>
      </c>
      <c r="L503" s="121"/>
      <c r="M503" s="977">
        <v>2.6539379999999998E-2</v>
      </c>
      <c r="N503" s="979"/>
    </row>
    <row r="504" spans="2:14" x14ac:dyDescent="0.3">
      <c r="B504" s="973">
        <v>489</v>
      </c>
      <c r="C504" s="386" t="s">
        <v>1927</v>
      </c>
      <c r="D504" s="386" t="s">
        <v>1999</v>
      </c>
      <c r="E504" s="121" t="s">
        <v>1478</v>
      </c>
      <c r="F504" s="121"/>
      <c r="G504" s="974" t="s">
        <v>2000</v>
      </c>
      <c r="H504" s="121">
        <v>4500104942</v>
      </c>
      <c r="I504" s="121"/>
      <c r="J504" s="121"/>
      <c r="K504" s="977">
        <v>3.5223944E-2</v>
      </c>
      <c r="L504" s="121"/>
      <c r="M504" s="977">
        <v>3.5223944E-2</v>
      </c>
      <c r="N504" s="979"/>
    </row>
    <row r="505" spans="2:14" x14ac:dyDescent="0.3">
      <c r="B505" s="973">
        <v>490</v>
      </c>
      <c r="C505" s="386" t="s">
        <v>1909</v>
      </c>
      <c r="D505" s="386" t="s">
        <v>2001</v>
      </c>
      <c r="E505" s="121" t="s">
        <v>1478</v>
      </c>
      <c r="F505" s="121"/>
      <c r="G505" s="974" t="s">
        <v>2000</v>
      </c>
      <c r="H505" s="121">
        <v>4500104937</v>
      </c>
      <c r="I505" s="121"/>
      <c r="J505" s="121"/>
      <c r="K505" s="977">
        <v>3.2700750000000001E-2</v>
      </c>
      <c r="L505" s="121"/>
      <c r="M505" s="977">
        <v>3.2700750000000001E-2</v>
      </c>
      <c r="N505" s="979"/>
    </row>
    <row r="506" spans="2:14" x14ac:dyDescent="0.3">
      <c r="B506" s="973">
        <v>491</v>
      </c>
      <c r="C506" s="386" t="s">
        <v>1927</v>
      </c>
      <c r="D506" s="386" t="s">
        <v>2002</v>
      </c>
      <c r="E506" s="121" t="s">
        <v>1478</v>
      </c>
      <c r="F506" s="121"/>
      <c r="G506" s="974" t="s">
        <v>2000</v>
      </c>
      <c r="H506" s="121">
        <v>4500104935</v>
      </c>
      <c r="I506" s="121"/>
      <c r="J506" s="121"/>
      <c r="K506" s="977">
        <v>2.3437159999999999E-2</v>
      </c>
      <c r="L506" s="121"/>
      <c r="M506" s="977">
        <v>2.3437159999999999E-2</v>
      </c>
      <c r="N506" s="979"/>
    </row>
    <row r="507" spans="2:14" ht="28" x14ac:dyDescent="0.3">
      <c r="B507" s="973">
        <v>492</v>
      </c>
      <c r="C507" s="386" t="s">
        <v>1909</v>
      </c>
      <c r="D507" s="386" t="s">
        <v>2003</v>
      </c>
      <c r="E507" s="121" t="s">
        <v>1478</v>
      </c>
      <c r="F507" s="121"/>
      <c r="G507" s="974" t="s">
        <v>2000</v>
      </c>
      <c r="H507" s="121">
        <v>4500104933</v>
      </c>
      <c r="I507" s="121"/>
      <c r="J507" s="121"/>
      <c r="K507" s="977">
        <v>1.3764228E-2</v>
      </c>
      <c r="L507" s="121"/>
      <c r="M507" s="977">
        <v>1.3764228E-2</v>
      </c>
      <c r="N507" s="979"/>
    </row>
    <row r="508" spans="2:14" ht="28" x14ac:dyDescent="0.3">
      <c r="B508" s="973">
        <v>493</v>
      </c>
      <c r="C508" s="386" t="s">
        <v>1909</v>
      </c>
      <c r="D508" s="386" t="s">
        <v>2004</v>
      </c>
      <c r="E508" s="121" t="s">
        <v>1478</v>
      </c>
      <c r="F508" s="121"/>
      <c r="G508" s="974" t="s">
        <v>2005</v>
      </c>
      <c r="H508" s="121">
        <v>4500103420</v>
      </c>
      <c r="I508" s="121"/>
      <c r="J508" s="121"/>
      <c r="K508" s="977">
        <v>3.5005997999999997E-2</v>
      </c>
      <c r="L508" s="121"/>
      <c r="M508" s="977">
        <v>3.5005997999999997E-2</v>
      </c>
      <c r="N508" s="979"/>
    </row>
    <row r="509" spans="2:14" x14ac:dyDescent="0.3">
      <c r="B509" s="973">
        <v>494</v>
      </c>
      <c r="C509" s="386" t="s">
        <v>1927</v>
      </c>
      <c r="D509" s="386" t="s">
        <v>2006</v>
      </c>
      <c r="E509" s="121" t="s">
        <v>1478</v>
      </c>
      <c r="F509" s="121"/>
      <c r="G509" s="974" t="s">
        <v>2005</v>
      </c>
      <c r="H509" s="121">
        <v>4500105207</v>
      </c>
      <c r="I509" s="121"/>
      <c r="J509" s="121"/>
      <c r="K509" s="977">
        <v>2.2362179999999999E-2</v>
      </c>
      <c r="L509" s="121"/>
      <c r="M509" s="977">
        <v>2.2362179999999999E-2</v>
      </c>
      <c r="N509" s="979"/>
    </row>
    <row r="510" spans="2:14" ht="28" x14ac:dyDescent="0.3">
      <c r="B510" s="973">
        <v>495</v>
      </c>
      <c r="C510" s="386" t="s">
        <v>1927</v>
      </c>
      <c r="D510" s="386" t="s">
        <v>2007</v>
      </c>
      <c r="E510" s="121" t="s">
        <v>1478</v>
      </c>
      <c r="F510" s="121"/>
      <c r="G510" s="974" t="s">
        <v>2008</v>
      </c>
      <c r="H510" s="121">
        <v>4500105542</v>
      </c>
      <c r="I510" s="121"/>
      <c r="J510" s="121"/>
      <c r="K510" s="977">
        <v>0.66456226200339996</v>
      </c>
      <c r="L510" s="121"/>
      <c r="M510" s="977">
        <v>0.66456226200339996</v>
      </c>
      <c r="N510" s="979"/>
    </row>
    <row r="511" spans="2:14" ht="42" x14ac:dyDescent="0.3">
      <c r="B511" s="973">
        <v>496</v>
      </c>
      <c r="C511" s="386" t="s">
        <v>1909</v>
      </c>
      <c r="D511" s="386" t="s">
        <v>2009</v>
      </c>
      <c r="E511" s="121" t="s">
        <v>1478</v>
      </c>
      <c r="F511" s="121"/>
      <c r="G511" s="974" t="s">
        <v>2008</v>
      </c>
      <c r="H511" s="121">
        <v>4500105543</v>
      </c>
      <c r="I511" s="121"/>
      <c r="J511" s="121"/>
      <c r="K511" s="977">
        <v>4.6348028200000002E-2</v>
      </c>
      <c r="L511" s="121"/>
      <c r="M511" s="977">
        <v>4.6348028200000002E-2</v>
      </c>
      <c r="N511" s="979"/>
    </row>
    <row r="512" spans="2:14" ht="28" x14ac:dyDescent="0.3">
      <c r="B512" s="973">
        <v>497</v>
      </c>
      <c r="C512" s="386" t="s">
        <v>1909</v>
      </c>
      <c r="D512" s="386" t="s">
        <v>2010</v>
      </c>
      <c r="E512" s="121" t="s">
        <v>1478</v>
      </c>
      <c r="F512" s="121"/>
      <c r="G512" s="974" t="s">
        <v>2008</v>
      </c>
      <c r="H512" s="121">
        <v>4500105533</v>
      </c>
      <c r="I512" s="121"/>
      <c r="J512" s="121"/>
      <c r="K512" s="977">
        <v>0.36941601880960001</v>
      </c>
      <c r="L512" s="121"/>
      <c r="M512" s="977">
        <v>0.36941601880960001</v>
      </c>
      <c r="N512" s="979"/>
    </row>
    <row r="513" spans="2:14" x14ac:dyDescent="0.3">
      <c r="B513" s="973">
        <v>498</v>
      </c>
      <c r="C513" s="386" t="s">
        <v>1927</v>
      </c>
      <c r="D513" s="386" t="s">
        <v>2011</v>
      </c>
      <c r="E513" s="121" t="s">
        <v>1478</v>
      </c>
      <c r="F513" s="121">
        <v>3</v>
      </c>
      <c r="G513" s="974" t="s">
        <v>2012</v>
      </c>
      <c r="H513" s="121">
        <v>4500106085</v>
      </c>
      <c r="I513" s="121"/>
      <c r="J513" s="121"/>
      <c r="K513" s="977">
        <v>2.3074428000000001E-2</v>
      </c>
      <c r="L513" s="121"/>
      <c r="M513" s="977">
        <v>2.3074428000000001E-2</v>
      </c>
      <c r="N513" s="979"/>
    </row>
    <row r="514" spans="2:14" ht="56" x14ac:dyDescent="0.3">
      <c r="B514" s="973">
        <v>499</v>
      </c>
      <c r="C514" s="386" t="s">
        <v>1909</v>
      </c>
      <c r="D514" s="386" t="s">
        <v>2013</v>
      </c>
      <c r="E514" s="121" t="s">
        <v>1478</v>
      </c>
      <c r="F514" s="121">
        <v>3</v>
      </c>
      <c r="G514" s="974" t="s">
        <v>2012</v>
      </c>
      <c r="H514" s="121">
        <v>4500106086</v>
      </c>
      <c r="I514" s="121"/>
      <c r="J514" s="121"/>
      <c r="K514" s="977">
        <v>3.4692000000000001E-2</v>
      </c>
      <c r="L514" s="121"/>
      <c r="M514" s="977">
        <v>3.4692000000000001E-2</v>
      </c>
      <c r="N514" s="979"/>
    </row>
    <row r="515" spans="2:14" ht="28" x14ac:dyDescent="0.3">
      <c r="B515" s="973">
        <v>500</v>
      </c>
      <c r="C515" s="386" t="s">
        <v>1909</v>
      </c>
      <c r="D515" s="386" t="s">
        <v>2014</v>
      </c>
      <c r="E515" s="121" t="s">
        <v>1478</v>
      </c>
      <c r="F515" s="121">
        <v>3</v>
      </c>
      <c r="G515" s="974" t="s">
        <v>2015</v>
      </c>
      <c r="H515" s="121">
        <v>4500106257</v>
      </c>
      <c r="I515" s="121"/>
      <c r="J515" s="121"/>
      <c r="K515" s="977">
        <v>2.3590559999999997E-2</v>
      </c>
      <c r="L515" s="121"/>
      <c r="M515" s="977">
        <v>2.3590559999999997E-2</v>
      </c>
      <c r="N515" s="979"/>
    </row>
    <row r="516" spans="2:14" x14ac:dyDescent="0.3">
      <c r="B516" s="973">
        <v>501</v>
      </c>
      <c r="C516" s="386" t="s">
        <v>1909</v>
      </c>
      <c r="D516" s="386" t="s">
        <v>2016</v>
      </c>
      <c r="E516" s="121" t="s">
        <v>1478</v>
      </c>
      <c r="F516" s="121">
        <v>3</v>
      </c>
      <c r="G516" s="974" t="s">
        <v>2015</v>
      </c>
      <c r="H516" s="121">
        <v>4500106081</v>
      </c>
      <c r="I516" s="121"/>
      <c r="J516" s="121"/>
      <c r="K516" s="977">
        <v>3.4022939999999995E-2</v>
      </c>
      <c r="L516" s="121"/>
      <c r="M516" s="977">
        <v>3.4022939999999995E-2</v>
      </c>
      <c r="N516" s="979"/>
    </row>
    <row r="517" spans="2:14" x14ac:dyDescent="0.3">
      <c r="B517" s="973">
        <v>502</v>
      </c>
      <c r="C517" s="386" t="s">
        <v>1909</v>
      </c>
      <c r="D517" s="386" t="s">
        <v>2017</v>
      </c>
      <c r="E517" s="121" t="s">
        <v>1478</v>
      </c>
      <c r="F517" s="121">
        <v>3</v>
      </c>
      <c r="G517" s="974" t="s">
        <v>2018</v>
      </c>
      <c r="H517" s="121">
        <v>4500106449</v>
      </c>
      <c r="I517" s="121"/>
      <c r="J517" s="121"/>
      <c r="K517" s="977">
        <v>1.6086468E-2</v>
      </c>
      <c r="L517" s="121"/>
      <c r="M517" s="977">
        <v>1.6086468E-2</v>
      </c>
      <c r="N517" s="979"/>
    </row>
    <row r="518" spans="2:14" ht="28" x14ac:dyDescent="0.3">
      <c r="B518" s="973">
        <v>503</v>
      </c>
      <c r="C518" s="386" t="s">
        <v>1909</v>
      </c>
      <c r="D518" s="386" t="s">
        <v>2019</v>
      </c>
      <c r="E518" s="121" t="s">
        <v>1478</v>
      </c>
      <c r="F518" s="121">
        <v>3</v>
      </c>
      <c r="G518" s="974" t="s">
        <v>2018</v>
      </c>
      <c r="H518" s="121">
        <v>4500106393</v>
      </c>
      <c r="I518" s="121"/>
      <c r="J518" s="121"/>
      <c r="K518" s="977">
        <v>2.2830639999999999E-2</v>
      </c>
      <c r="L518" s="121"/>
      <c r="M518" s="977">
        <v>2.2830639999999999E-2</v>
      </c>
      <c r="N518" s="979"/>
    </row>
    <row r="519" spans="2:14" ht="42" x14ac:dyDescent="0.3">
      <c r="B519" s="973">
        <v>504</v>
      </c>
      <c r="C519" s="386" t="s">
        <v>1909</v>
      </c>
      <c r="D519" s="386" t="s">
        <v>2020</v>
      </c>
      <c r="E519" s="121" t="s">
        <v>1478</v>
      </c>
      <c r="F519" s="121">
        <v>5</v>
      </c>
      <c r="G519" s="974" t="s">
        <v>2021</v>
      </c>
      <c r="H519" s="121">
        <v>4500106227</v>
      </c>
      <c r="I519" s="121"/>
      <c r="J519" s="121"/>
      <c r="K519" s="977">
        <v>2.3009999999999999E-2</v>
      </c>
      <c r="L519" s="121"/>
      <c r="M519" s="977">
        <v>2.3009999999999999E-2</v>
      </c>
      <c r="N519" s="979"/>
    </row>
    <row r="520" spans="2:14" ht="42" x14ac:dyDescent="0.3">
      <c r="B520" s="973">
        <v>505</v>
      </c>
      <c r="C520" s="386" t="s">
        <v>1909</v>
      </c>
      <c r="D520" s="386" t="s">
        <v>2022</v>
      </c>
      <c r="E520" s="121" t="s">
        <v>1478</v>
      </c>
      <c r="F520" s="121">
        <v>4</v>
      </c>
      <c r="G520" s="974" t="s">
        <v>2021</v>
      </c>
      <c r="H520" s="121">
        <v>4500106333</v>
      </c>
      <c r="I520" s="121"/>
      <c r="J520" s="121"/>
      <c r="K520" s="977">
        <v>2.150668E-2</v>
      </c>
      <c r="L520" s="121"/>
      <c r="M520" s="977">
        <v>2.150668E-2</v>
      </c>
      <c r="N520" s="979"/>
    </row>
    <row r="521" spans="2:14" ht="42" x14ac:dyDescent="0.3">
      <c r="B521" s="973">
        <v>506</v>
      </c>
      <c r="C521" s="386" t="s">
        <v>1927</v>
      </c>
      <c r="D521" s="386" t="s">
        <v>2023</v>
      </c>
      <c r="E521" s="121" t="s">
        <v>1478</v>
      </c>
      <c r="F521" s="121">
        <v>5</v>
      </c>
      <c r="G521" s="974" t="s">
        <v>2021</v>
      </c>
      <c r="H521" s="121">
        <v>4500106332</v>
      </c>
      <c r="I521" s="121"/>
      <c r="J521" s="121"/>
      <c r="K521" s="977">
        <v>2.2519119999999997E-2</v>
      </c>
      <c r="L521" s="121"/>
      <c r="M521" s="977">
        <v>2.2519119999999997E-2</v>
      </c>
      <c r="N521" s="979"/>
    </row>
    <row r="522" spans="2:14" ht="28" x14ac:dyDescent="0.3">
      <c r="B522" s="973">
        <v>507</v>
      </c>
      <c r="C522" s="386" t="s">
        <v>1909</v>
      </c>
      <c r="D522" s="386" t="s">
        <v>2024</v>
      </c>
      <c r="E522" s="121" t="s">
        <v>1478</v>
      </c>
      <c r="F522" s="121">
        <v>5</v>
      </c>
      <c r="G522" s="974" t="s">
        <v>2025</v>
      </c>
      <c r="H522" s="121">
        <v>4500106330</v>
      </c>
      <c r="I522" s="121"/>
      <c r="J522" s="121"/>
      <c r="K522" s="977">
        <v>2.8732645999999997E-2</v>
      </c>
      <c r="L522" s="121"/>
      <c r="M522" s="977">
        <v>2.8732645999999997E-2</v>
      </c>
      <c r="N522" s="979"/>
    </row>
    <row r="523" spans="2:14" ht="42" x14ac:dyDescent="0.3">
      <c r="B523" s="973">
        <v>508</v>
      </c>
      <c r="C523" s="386" t="s">
        <v>1909</v>
      </c>
      <c r="D523" s="386" t="s">
        <v>2026</v>
      </c>
      <c r="E523" s="121" t="s">
        <v>1483</v>
      </c>
      <c r="F523" s="121"/>
      <c r="G523" s="974" t="s">
        <v>2027</v>
      </c>
      <c r="H523" s="121">
        <v>4500106249</v>
      </c>
      <c r="I523" s="121"/>
      <c r="J523" s="121"/>
      <c r="K523" s="977">
        <v>2.8766039999999996E-3</v>
      </c>
      <c r="L523" s="121"/>
      <c r="M523" s="977">
        <v>2.8766039999999996E-3</v>
      </c>
      <c r="N523" s="979"/>
    </row>
    <row r="524" spans="2:14" ht="28" x14ac:dyDescent="0.3">
      <c r="B524" s="973">
        <v>509</v>
      </c>
      <c r="C524" s="386" t="s">
        <v>1927</v>
      </c>
      <c r="D524" s="386" t="s">
        <v>2028</v>
      </c>
      <c r="E524" s="121" t="s">
        <v>1478</v>
      </c>
      <c r="F524" s="121">
        <v>4</v>
      </c>
      <c r="G524" s="974" t="s">
        <v>2027</v>
      </c>
      <c r="H524" s="121">
        <v>4500106565</v>
      </c>
      <c r="I524" s="121"/>
      <c r="J524" s="121"/>
      <c r="K524" s="977">
        <v>1.9336659999999999E-2</v>
      </c>
      <c r="L524" s="121"/>
      <c r="M524" s="977">
        <v>1.9336659999999999E-2</v>
      </c>
      <c r="N524" s="979"/>
    </row>
    <row r="525" spans="2:14" ht="28" x14ac:dyDescent="0.3">
      <c r="B525" s="973">
        <v>510</v>
      </c>
      <c r="C525" s="386" t="s">
        <v>1909</v>
      </c>
      <c r="D525" s="386" t="s">
        <v>2029</v>
      </c>
      <c r="E525" s="121" t="s">
        <v>1478</v>
      </c>
      <c r="F525" s="121">
        <v>3</v>
      </c>
      <c r="G525" s="974" t="s">
        <v>2027</v>
      </c>
      <c r="H525" s="121">
        <v>4500106696</v>
      </c>
      <c r="I525" s="121"/>
      <c r="J525" s="121"/>
      <c r="K525" s="977">
        <v>2.31221E-2</v>
      </c>
      <c r="L525" s="121"/>
      <c r="M525" s="977">
        <v>2.31221E-2</v>
      </c>
      <c r="N525" s="979"/>
    </row>
    <row r="526" spans="2:14" ht="42" x14ac:dyDescent="0.3">
      <c r="B526" s="973">
        <v>511</v>
      </c>
      <c r="C526" s="386" t="s">
        <v>1909</v>
      </c>
      <c r="D526" s="386" t="s">
        <v>2030</v>
      </c>
      <c r="E526" s="121" t="s">
        <v>1478</v>
      </c>
      <c r="F526" s="121">
        <v>3</v>
      </c>
      <c r="G526" s="974" t="s">
        <v>2027</v>
      </c>
      <c r="H526" s="121">
        <v>4500106331</v>
      </c>
      <c r="I526" s="121"/>
      <c r="J526" s="121"/>
      <c r="K526" s="977">
        <v>3.2075232000000002E-2</v>
      </c>
      <c r="L526" s="121"/>
      <c r="M526" s="977">
        <v>3.2075232000000002E-2</v>
      </c>
      <c r="N526" s="979"/>
    </row>
    <row r="527" spans="2:14" ht="56" x14ac:dyDescent="0.3">
      <c r="B527" s="973">
        <v>512</v>
      </c>
      <c r="C527" s="386" t="s">
        <v>1909</v>
      </c>
      <c r="D527" s="386" t="s">
        <v>2031</v>
      </c>
      <c r="E527" s="121" t="s">
        <v>1478</v>
      </c>
      <c r="F527" s="121">
        <v>3</v>
      </c>
      <c r="G527" s="974" t="s">
        <v>2027</v>
      </c>
      <c r="H527" s="121">
        <v>4500106476</v>
      </c>
      <c r="I527" s="121"/>
      <c r="J527" s="121"/>
      <c r="K527" s="977">
        <v>3.0868799999999998E-2</v>
      </c>
      <c r="L527" s="121"/>
      <c r="M527" s="977">
        <v>3.0868799999999998E-2</v>
      </c>
      <c r="N527" s="979"/>
    </row>
    <row r="528" spans="2:14" ht="28" x14ac:dyDescent="0.3">
      <c r="B528" s="973">
        <v>513</v>
      </c>
      <c r="C528" s="386" t="s">
        <v>1909</v>
      </c>
      <c r="D528" s="386" t="s">
        <v>2032</v>
      </c>
      <c r="E528" s="121" t="s">
        <v>1478</v>
      </c>
      <c r="F528" s="121">
        <v>4</v>
      </c>
      <c r="G528" s="974" t="s">
        <v>2033</v>
      </c>
      <c r="H528" s="121">
        <v>4500106765</v>
      </c>
      <c r="I528" s="121"/>
      <c r="J528" s="121"/>
      <c r="K528" s="977">
        <v>2.2180459999999999E-2</v>
      </c>
      <c r="L528" s="121"/>
      <c r="M528" s="977">
        <v>2.2180459999999999E-2</v>
      </c>
      <c r="N528" s="979"/>
    </row>
    <row r="529" spans="2:14" ht="42" x14ac:dyDescent="0.3">
      <c r="B529" s="973">
        <v>514</v>
      </c>
      <c r="C529" s="386" t="s">
        <v>1909</v>
      </c>
      <c r="D529" s="386" t="s">
        <v>2034</v>
      </c>
      <c r="E529" s="121" t="s">
        <v>1478</v>
      </c>
      <c r="F529" s="121">
        <v>4</v>
      </c>
      <c r="G529" s="974" t="s">
        <v>2035</v>
      </c>
      <c r="H529" s="121">
        <v>4500106860</v>
      </c>
      <c r="I529" s="121"/>
      <c r="J529" s="121"/>
      <c r="K529" s="977">
        <v>2.3033835999999999E-2</v>
      </c>
      <c r="L529" s="121"/>
      <c r="M529" s="977">
        <v>2.3033835999999999E-2</v>
      </c>
      <c r="N529" s="979"/>
    </row>
    <row r="530" spans="2:14" x14ac:dyDescent="0.3">
      <c r="B530" s="973">
        <v>515</v>
      </c>
      <c r="C530" s="386" t="s">
        <v>1909</v>
      </c>
      <c r="D530" s="386" t="s">
        <v>2036</v>
      </c>
      <c r="E530" s="121" t="s">
        <v>1478</v>
      </c>
      <c r="F530" s="121">
        <v>5</v>
      </c>
      <c r="G530" s="974" t="s">
        <v>2037</v>
      </c>
      <c r="H530" s="121">
        <v>4500106868</v>
      </c>
      <c r="I530" s="121"/>
      <c r="J530" s="121"/>
      <c r="K530" s="977">
        <v>2.1000341999999998E-2</v>
      </c>
      <c r="L530" s="121"/>
      <c r="M530" s="977">
        <v>2.1000341999999998E-2</v>
      </c>
      <c r="N530" s="979"/>
    </row>
    <row r="531" spans="2:14" x14ac:dyDescent="0.3">
      <c r="B531" s="973">
        <v>516</v>
      </c>
      <c r="C531" s="386" t="s">
        <v>1909</v>
      </c>
      <c r="D531" s="386" t="s">
        <v>2038</v>
      </c>
      <c r="E531" s="121" t="s">
        <v>1478</v>
      </c>
      <c r="F531" s="121">
        <v>3</v>
      </c>
      <c r="G531" s="974" t="s">
        <v>2037</v>
      </c>
      <c r="H531" s="121">
        <v>4500106867</v>
      </c>
      <c r="I531" s="121"/>
      <c r="J531" s="121"/>
      <c r="K531" s="977">
        <v>2.2017737999999999E-2</v>
      </c>
      <c r="L531" s="121"/>
      <c r="M531" s="977">
        <v>2.2017737999999999E-2</v>
      </c>
      <c r="N531" s="979"/>
    </row>
    <row r="532" spans="2:14" x14ac:dyDescent="0.3">
      <c r="B532" s="973">
        <v>517</v>
      </c>
      <c r="C532" s="386" t="s">
        <v>1909</v>
      </c>
      <c r="D532" s="386" t="s">
        <v>2039</v>
      </c>
      <c r="E532" s="121" t="s">
        <v>1478</v>
      </c>
      <c r="F532" s="121">
        <v>4</v>
      </c>
      <c r="G532" s="974" t="s">
        <v>2037</v>
      </c>
      <c r="H532" s="121">
        <v>4500106863</v>
      </c>
      <c r="I532" s="121"/>
      <c r="J532" s="121"/>
      <c r="K532" s="977">
        <v>2.7193571999999996E-2</v>
      </c>
      <c r="L532" s="121"/>
      <c r="M532" s="977">
        <v>2.7193571999999996E-2</v>
      </c>
      <c r="N532" s="979"/>
    </row>
    <row r="533" spans="2:14" x14ac:dyDescent="0.3">
      <c r="B533" s="973">
        <v>518</v>
      </c>
      <c r="C533" s="386" t="s">
        <v>1909</v>
      </c>
      <c r="D533" s="386" t="s">
        <v>2040</v>
      </c>
      <c r="E533" s="121" t="s">
        <v>1478</v>
      </c>
      <c r="F533" s="121">
        <v>3</v>
      </c>
      <c r="G533" s="974" t="s">
        <v>2037</v>
      </c>
      <c r="H533" s="121">
        <v>4500106866</v>
      </c>
      <c r="I533" s="121"/>
      <c r="J533" s="121"/>
      <c r="K533" s="977">
        <v>2.1248024000000001E-2</v>
      </c>
      <c r="L533" s="121"/>
      <c r="M533" s="977">
        <v>2.1248024000000001E-2</v>
      </c>
      <c r="N533" s="979"/>
    </row>
    <row r="534" spans="2:14" x14ac:dyDescent="0.3">
      <c r="B534" s="973">
        <v>519</v>
      </c>
      <c r="C534" s="386" t="s">
        <v>1909</v>
      </c>
      <c r="D534" s="386" t="s">
        <v>2041</v>
      </c>
      <c r="E534" s="121" t="s">
        <v>1478</v>
      </c>
      <c r="F534" s="121">
        <v>3</v>
      </c>
      <c r="G534" s="974" t="s">
        <v>2042</v>
      </c>
      <c r="H534" s="121">
        <v>4500106862</v>
      </c>
      <c r="I534" s="121"/>
      <c r="J534" s="121"/>
      <c r="K534" s="977">
        <v>2.2537881999999999E-2</v>
      </c>
      <c r="L534" s="121"/>
      <c r="M534" s="977">
        <v>2.2537881999999999E-2</v>
      </c>
      <c r="N534" s="979"/>
    </row>
    <row r="535" spans="2:14" x14ac:dyDescent="0.3">
      <c r="B535" s="973">
        <v>520</v>
      </c>
      <c r="C535" s="386" t="s">
        <v>1909</v>
      </c>
      <c r="D535" s="386" t="s">
        <v>2043</v>
      </c>
      <c r="E535" s="121" t="s">
        <v>1478</v>
      </c>
      <c r="F535" s="121">
        <v>3</v>
      </c>
      <c r="G535" s="974" t="s">
        <v>2044</v>
      </c>
      <c r="H535" s="121">
        <v>4500106870</v>
      </c>
      <c r="I535" s="121"/>
      <c r="J535" s="121"/>
      <c r="K535" s="977">
        <v>1.9396603999999998E-2</v>
      </c>
      <c r="L535" s="121"/>
      <c r="M535" s="977">
        <v>1.9396603999999998E-2</v>
      </c>
      <c r="N535" s="979"/>
    </row>
    <row r="536" spans="2:14" ht="28" x14ac:dyDescent="0.3">
      <c r="B536" s="973">
        <v>521</v>
      </c>
      <c r="C536" s="386" t="s">
        <v>1927</v>
      </c>
      <c r="D536" s="386" t="s">
        <v>2045</v>
      </c>
      <c r="E536" s="121" t="s">
        <v>1478</v>
      </c>
      <c r="F536" s="121">
        <v>4</v>
      </c>
      <c r="G536" s="974" t="s">
        <v>2046</v>
      </c>
      <c r="H536" s="121">
        <v>4500107005</v>
      </c>
      <c r="I536" s="121"/>
      <c r="J536" s="121"/>
      <c r="K536" s="977">
        <v>2.3178150000000002E-2</v>
      </c>
      <c r="L536" s="121"/>
      <c r="M536" s="977">
        <v>2.3178150000000002E-2</v>
      </c>
      <c r="N536" s="979"/>
    </row>
    <row r="537" spans="2:14" x14ac:dyDescent="0.3">
      <c r="B537" s="973">
        <v>522</v>
      </c>
      <c r="C537" s="386" t="s">
        <v>1909</v>
      </c>
      <c r="D537" s="386" t="s">
        <v>2047</v>
      </c>
      <c r="E537" s="121" t="s">
        <v>1478</v>
      </c>
      <c r="F537" s="121">
        <v>3</v>
      </c>
      <c r="G537" s="974" t="s">
        <v>2046</v>
      </c>
      <c r="H537" s="121">
        <v>4500107004</v>
      </c>
      <c r="I537" s="121"/>
      <c r="J537" s="121"/>
      <c r="K537" s="977">
        <v>2.3554215999999996E-2</v>
      </c>
      <c r="L537" s="121"/>
      <c r="M537" s="977">
        <v>2.3554215999999996E-2</v>
      </c>
      <c r="N537" s="979"/>
    </row>
    <row r="538" spans="2:14" x14ac:dyDescent="0.3">
      <c r="B538" s="973">
        <v>523</v>
      </c>
      <c r="C538" s="386" t="s">
        <v>1927</v>
      </c>
      <c r="D538" s="386" t="s">
        <v>2048</v>
      </c>
      <c r="E538" s="121" t="s">
        <v>1478</v>
      </c>
      <c r="F538" s="121">
        <v>3</v>
      </c>
      <c r="G538" s="974" t="s">
        <v>2046</v>
      </c>
      <c r="H538" s="121">
        <v>4500107006</v>
      </c>
      <c r="I538" s="121"/>
      <c r="J538" s="121"/>
      <c r="K538" s="977">
        <v>2.3256737999999999E-2</v>
      </c>
      <c r="L538" s="121"/>
      <c r="M538" s="977">
        <v>2.3256737999999999E-2</v>
      </c>
      <c r="N538" s="979"/>
    </row>
    <row r="539" spans="2:14" ht="42" x14ac:dyDescent="0.3">
      <c r="B539" s="973">
        <v>524</v>
      </c>
      <c r="C539" s="386" t="s">
        <v>1909</v>
      </c>
      <c r="D539" s="386" t="s">
        <v>2049</v>
      </c>
      <c r="E539" s="121" t="s">
        <v>1483</v>
      </c>
      <c r="F539" s="121"/>
      <c r="G539" s="974" t="s">
        <v>2050</v>
      </c>
      <c r="H539" s="121">
        <v>4500107154</v>
      </c>
      <c r="I539" s="121"/>
      <c r="J539" s="121"/>
      <c r="K539" s="977">
        <v>3.0665839999999998E-3</v>
      </c>
      <c r="L539" s="121"/>
      <c r="M539" s="977">
        <v>3.0665839999999998E-3</v>
      </c>
      <c r="N539" s="979"/>
    </row>
    <row r="540" spans="2:14" ht="28" x14ac:dyDescent="0.3">
      <c r="B540" s="973">
        <v>525</v>
      </c>
      <c r="C540" s="386" t="s">
        <v>1909</v>
      </c>
      <c r="D540" s="386" t="s">
        <v>2051</v>
      </c>
      <c r="E540" s="121" t="s">
        <v>1483</v>
      </c>
      <c r="F540" s="121"/>
      <c r="G540" s="974" t="s">
        <v>2050</v>
      </c>
      <c r="H540" s="121">
        <v>4500107155</v>
      </c>
      <c r="I540" s="121"/>
      <c r="J540" s="121"/>
      <c r="K540" s="977">
        <v>2.8196099999999997E-3</v>
      </c>
      <c r="L540" s="121"/>
      <c r="M540" s="977">
        <v>2.8196099999999997E-3</v>
      </c>
      <c r="N540" s="979"/>
    </row>
    <row r="541" spans="2:14" x14ac:dyDescent="0.3">
      <c r="B541" s="973">
        <v>526</v>
      </c>
      <c r="C541" s="386" t="s">
        <v>1909</v>
      </c>
      <c r="D541" s="386" t="s">
        <v>2052</v>
      </c>
      <c r="E541" s="121" t="s">
        <v>1483</v>
      </c>
      <c r="F541" s="121"/>
      <c r="G541" s="974" t="s">
        <v>2050</v>
      </c>
      <c r="H541" s="121">
        <v>4500107156</v>
      </c>
      <c r="I541" s="121"/>
      <c r="J541" s="121"/>
      <c r="K541" s="977">
        <v>2.8196099999999997E-3</v>
      </c>
      <c r="L541" s="121"/>
      <c r="M541" s="977">
        <v>2.8196099999999997E-3</v>
      </c>
      <c r="N541" s="979"/>
    </row>
    <row r="542" spans="2:14" ht="28" x14ac:dyDescent="0.3">
      <c r="B542" s="973">
        <v>527</v>
      </c>
      <c r="C542" s="386" t="s">
        <v>1909</v>
      </c>
      <c r="D542" s="386" t="s">
        <v>2053</v>
      </c>
      <c r="E542" s="121" t="s">
        <v>1478</v>
      </c>
      <c r="F542" s="121">
        <v>4</v>
      </c>
      <c r="G542" s="974" t="s">
        <v>2054</v>
      </c>
      <c r="H542" s="121">
        <v>4500107208</v>
      </c>
      <c r="I542" s="121"/>
      <c r="J542" s="121"/>
      <c r="K542" s="977">
        <v>2.3403175999999998E-2</v>
      </c>
      <c r="L542" s="121"/>
      <c r="M542" s="977">
        <v>2.3403175999999998E-2</v>
      </c>
      <c r="N542" s="979"/>
    </row>
    <row r="543" spans="2:14" ht="28" x14ac:dyDescent="0.3">
      <c r="B543" s="973">
        <v>528</v>
      </c>
      <c r="C543" s="386" t="s">
        <v>1927</v>
      </c>
      <c r="D543" s="386" t="s">
        <v>2055</v>
      </c>
      <c r="E543" s="121" t="s">
        <v>1478</v>
      </c>
      <c r="F543" s="121">
        <v>3</v>
      </c>
      <c r="G543" s="974" t="s">
        <v>2054</v>
      </c>
      <c r="H543" s="121">
        <v>4500107085</v>
      </c>
      <c r="I543" s="121"/>
      <c r="J543" s="121"/>
      <c r="K543" s="977">
        <v>2.3576400000000001E-2</v>
      </c>
      <c r="L543" s="121"/>
      <c r="M543" s="977">
        <v>2.3576400000000001E-2</v>
      </c>
      <c r="N543" s="979"/>
    </row>
    <row r="544" spans="2:14" x14ac:dyDescent="0.3">
      <c r="B544" s="973">
        <v>529</v>
      </c>
      <c r="C544" s="386" t="s">
        <v>1909</v>
      </c>
      <c r="D544" s="386" t="s">
        <v>2056</v>
      </c>
      <c r="E544" s="121" t="s">
        <v>1478</v>
      </c>
      <c r="F544" s="121">
        <v>4</v>
      </c>
      <c r="G544" s="974" t="s">
        <v>2054</v>
      </c>
      <c r="H544" s="121">
        <v>4500107077</v>
      </c>
      <c r="I544" s="121"/>
      <c r="J544" s="121"/>
      <c r="K544" s="977">
        <v>2.1601433999999999E-2</v>
      </c>
      <c r="L544" s="121"/>
      <c r="M544" s="977">
        <v>2.1601433999999999E-2</v>
      </c>
      <c r="N544" s="979"/>
    </row>
    <row r="545" spans="2:14" x14ac:dyDescent="0.3">
      <c r="B545" s="973">
        <v>530</v>
      </c>
      <c r="C545" s="386" t="s">
        <v>1909</v>
      </c>
      <c r="D545" s="386" t="s">
        <v>2057</v>
      </c>
      <c r="E545" s="121" t="s">
        <v>1478</v>
      </c>
      <c r="F545" s="121">
        <v>3</v>
      </c>
      <c r="G545" s="974" t="s">
        <v>2054</v>
      </c>
      <c r="H545" s="121">
        <v>4500107084</v>
      </c>
      <c r="I545" s="121"/>
      <c r="J545" s="121"/>
      <c r="K545" s="977">
        <v>2.1557065999999996E-2</v>
      </c>
      <c r="L545" s="121"/>
      <c r="M545" s="977">
        <v>2.1557065999999996E-2</v>
      </c>
      <c r="N545" s="979"/>
    </row>
    <row r="546" spans="2:14" ht="28" x14ac:dyDescent="0.3">
      <c r="B546" s="973">
        <v>531</v>
      </c>
      <c r="C546" s="386" t="s">
        <v>1920</v>
      </c>
      <c r="D546" s="386" t="s">
        <v>2058</v>
      </c>
      <c r="E546" s="121" t="s">
        <v>1478</v>
      </c>
      <c r="F546" s="121">
        <v>5</v>
      </c>
      <c r="G546" s="974" t="s">
        <v>2059</v>
      </c>
      <c r="H546" s="121">
        <v>4500107242</v>
      </c>
      <c r="I546" s="121"/>
      <c r="J546" s="121"/>
      <c r="K546" s="977">
        <v>2.2950999999999999E-2</v>
      </c>
      <c r="L546" s="121"/>
      <c r="M546" s="977">
        <v>2.2950999999999999E-2</v>
      </c>
      <c r="N546" s="979"/>
    </row>
    <row r="547" spans="2:14" ht="28" x14ac:dyDescent="0.3">
      <c r="B547" s="973">
        <v>532</v>
      </c>
      <c r="C547" s="386" t="s">
        <v>1909</v>
      </c>
      <c r="D547" s="386" t="s">
        <v>2060</v>
      </c>
      <c r="E547" s="121" t="s">
        <v>1478</v>
      </c>
      <c r="F547" s="121">
        <v>3</v>
      </c>
      <c r="G547" s="974" t="s">
        <v>2059</v>
      </c>
      <c r="H547" s="121">
        <v>4500107241</v>
      </c>
      <c r="I547" s="121"/>
      <c r="J547" s="121"/>
      <c r="K547" s="977">
        <v>2.3357156E-2</v>
      </c>
      <c r="L547" s="121"/>
      <c r="M547" s="977">
        <v>2.3357156E-2</v>
      </c>
      <c r="N547" s="979"/>
    </row>
    <row r="548" spans="2:14" ht="28" x14ac:dyDescent="0.3">
      <c r="B548" s="973">
        <v>533</v>
      </c>
      <c r="C548" s="386" t="s">
        <v>1927</v>
      </c>
      <c r="D548" s="386" t="s">
        <v>2061</v>
      </c>
      <c r="E548" s="121" t="s">
        <v>1478</v>
      </c>
      <c r="F548" s="121">
        <v>4</v>
      </c>
      <c r="G548" s="974" t="s">
        <v>2059</v>
      </c>
      <c r="H548" s="121">
        <v>4500107240</v>
      </c>
      <c r="I548" s="121"/>
      <c r="J548" s="121"/>
      <c r="K548" s="977">
        <v>1.7822365999999999E-2</v>
      </c>
      <c r="L548" s="121"/>
      <c r="M548" s="977">
        <v>1.7822365999999999E-2</v>
      </c>
      <c r="N548" s="979"/>
    </row>
    <row r="549" spans="2:14" ht="42" x14ac:dyDescent="0.3">
      <c r="B549" s="973">
        <v>534</v>
      </c>
      <c r="C549" s="386" t="s">
        <v>1909</v>
      </c>
      <c r="D549" s="386" t="s">
        <v>2062</v>
      </c>
      <c r="E549" s="121" t="s">
        <v>1478</v>
      </c>
      <c r="F549" s="121">
        <v>3</v>
      </c>
      <c r="G549" s="974" t="s">
        <v>2063</v>
      </c>
      <c r="H549" s="121">
        <v>4500107272</v>
      </c>
      <c r="I549" s="121"/>
      <c r="J549" s="121"/>
      <c r="K549" s="977">
        <v>0.145431696</v>
      </c>
      <c r="L549" s="121"/>
      <c r="M549" s="977">
        <v>0.145431696</v>
      </c>
      <c r="N549" s="979"/>
    </row>
    <row r="550" spans="2:14" ht="56" x14ac:dyDescent="0.3">
      <c r="B550" s="973">
        <v>535</v>
      </c>
      <c r="C550" s="386" t="s">
        <v>1909</v>
      </c>
      <c r="D550" s="386" t="s">
        <v>2064</v>
      </c>
      <c r="E550" s="121" t="s">
        <v>1478</v>
      </c>
      <c r="F550" s="121">
        <v>3</v>
      </c>
      <c r="G550" s="974" t="s">
        <v>2063</v>
      </c>
      <c r="H550" s="121">
        <v>4500107271</v>
      </c>
      <c r="I550" s="121"/>
      <c r="J550" s="121"/>
      <c r="K550" s="977">
        <v>0.145431696</v>
      </c>
      <c r="L550" s="121"/>
      <c r="M550" s="977">
        <v>0.145431696</v>
      </c>
      <c r="N550" s="979"/>
    </row>
    <row r="551" spans="2:14" ht="56" x14ac:dyDescent="0.3">
      <c r="B551" s="973">
        <v>536</v>
      </c>
      <c r="C551" s="386" t="s">
        <v>1909</v>
      </c>
      <c r="D551" s="386" t="s">
        <v>2065</v>
      </c>
      <c r="E551" s="121" t="s">
        <v>1478</v>
      </c>
      <c r="F551" s="121">
        <v>2</v>
      </c>
      <c r="G551" s="974" t="s">
        <v>2063</v>
      </c>
      <c r="H551" s="121">
        <v>4500107274</v>
      </c>
      <c r="I551" s="121"/>
      <c r="J551" s="121"/>
      <c r="K551" s="977">
        <v>0.28802620000000001</v>
      </c>
      <c r="L551" s="121"/>
      <c r="M551" s="977">
        <v>0.28802620000000001</v>
      </c>
      <c r="N551" s="979"/>
    </row>
    <row r="552" spans="2:14" x14ac:dyDescent="0.3">
      <c r="B552" s="973">
        <v>537</v>
      </c>
      <c r="C552" s="386" t="s">
        <v>1909</v>
      </c>
      <c r="D552" s="386" t="s">
        <v>2066</v>
      </c>
      <c r="E552" s="121" t="s">
        <v>1478</v>
      </c>
      <c r="F552" s="121">
        <v>5</v>
      </c>
      <c r="G552" s="974" t="s">
        <v>2067</v>
      </c>
      <c r="H552" s="121">
        <v>4500107463</v>
      </c>
      <c r="I552" s="121"/>
      <c r="J552" s="121"/>
      <c r="K552" s="977">
        <v>2.1885577999999999E-2</v>
      </c>
      <c r="L552" s="121"/>
      <c r="M552" s="977">
        <v>2.1885577999999999E-2</v>
      </c>
      <c r="N552" s="979"/>
    </row>
    <row r="553" spans="2:14" ht="28" x14ac:dyDescent="0.3">
      <c r="B553" s="973">
        <v>538</v>
      </c>
      <c r="C553" s="386" t="s">
        <v>1909</v>
      </c>
      <c r="D553" s="386" t="s">
        <v>2068</v>
      </c>
      <c r="E553" s="121" t="s">
        <v>1478</v>
      </c>
      <c r="F553" s="121">
        <v>3</v>
      </c>
      <c r="G553" s="974" t="s">
        <v>2067</v>
      </c>
      <c r="H553" s="121">
        <v>4500107465</v>
      </c>
      <c r="I553" s="121"/>
      <c r="J553" s="121"/>
      <c r="K553" s="977">
        <v>2.2875007999999999E-2</v>
      </c>
      <c r="L553" s="121"/>
      <c r="M553" s="977">
        <v>2.2875007999999999E-2</v>
      </c>
      <c r="N553" s="979"/>
    </row>
    <row r="554" spans="2:14" ht="42" x14ac:dyDescent="0.3">
      <c r="B554" s="973">
        <v>539</v>
      </c>
      <c r="C554" s="386" t="s">
        <v>1909</v>
      </c>
      <c r="D554" s="386" t="s">
        <v>2069</v>
      </c>
      <c r="E554" s="121" t="s">
        <v>1478</v>
      </c>
      <c r="F554" s="121">
        <v>3</v>
      </c>
      <c r="G554" s="974" t="s">
        <v>2067</v>
      </c>
      <c r="H554" s="121">
        <v>4500107462</v>
      </c>
      <c r="I554" s="121"/>
      <c r="J554" s="121"/>
      <c r="K554" s="977">
        <v>1.4652768E-2</v>
      </c>
      <c r="L554" s="121"/>
      <c r="M554" s="977">
        <v>1.4652768E-2</v>
      </c>
      <c r="N554" s="979"/>
    </row>
    <row r="555" spans="2:14" x14ac:dyDescent="0.3">
      <c r="B555" s="973">
        <v>540</v>
      </c>
      <c r="C555" s="386" t="s">
        <v>1909</v>
      </c>
      <c r="D555" s="386" t="s">
        <v>2070</v>
      </c>
      <c r="E555" s="121" t="s">
        <v>1478</v>
      </c>
      <c r="F555" s="121">
        <v>3</v>
      </c>
      <c r="G555" s="974" t="s">
        <v>2067</v>
      </c>
      <c r="H555" s="121">
        <v>4500107464</v>
      </c>
      <c r="I555" s="121"/>
      <c r="J555" s="121"/>
      <c r="K555" s="977">
        <v>2.3151600000000001E-2</v>
      </c>
      <c r="L555" s="121"/>
      <c r="M555" s="977">
        <v>2.3151600000000001E-2</v>
      </c>
      <c r="N555" s="979"/>
    </row>
    <row r="556" spans="2:14" x14ac:dyDescent="0.3">
      <c r="B556" s="973">
        <v>541</v>
      </c>
      <c r="C556" s="386" t="s">
        <v>1909</v>
      </c>
      <c r="D556" s="386" t="s">
        <v>2071</v>
      </c>
      <c r="E556" s="121" t="s">
        <v>1478</v>
      </c>
      <c r="F556" s="121">
        <v>4</v>
      </c>
      <c r="G556" s="974" t="s">
        <v>2072</v>
      </c>
      <c r="H556" s="121">
        <v>4500107659</v>
      </c>
      <c r="I556" s="121"/>
      <c r="J556" s="121"/>
      <c r="K556" s="977">
        <v>3.5222999999999997E-2</v>
      </c>
      <c r="L556" s="121"/>
      <c r="M556" s="977">
        <v>3.5222999999999997E-2</v>
      </c>
      <c r="N556" s="979"/>
    </row>
    <row r="557" spans="2:14" x14ac:dyDescent="0.3">
      <c r="B557" s="973">
        <v>542</v>
      </c>
      <c r="C557" s="386" t="s">
        <v>1909</v>
      </c>
      <c r="D557" s="386" t="s">
        <v>2073</v>
      </c>
      <c r="E557" s="121" t="s">
        <v>1478</v>
      </c>
      <c r="F557" s="121">
        <v>4</v>
      </c>
      <c r="G557" s="974" t="s">
        <v>2074</v>
      </c>
      <c r="H557" s="121">
        <v>4500107700</v>
      </c>
      <c r="I557" s="121"/>
      <c r="J557" s="121"/>
      <c r="K557" s="977">
        <v>2.3312079999999999E-2</v>
      </c>
      <c r="L557" s="121"/>
      <c r="M557" s="977">
        <v>2.3312079999999999E-2</v>
      </c>
      <c r="N557" s="979"/>
    </row>
    <row r="558" spans="2:14" ht="28" x14ac:dyDescent="0.3">
      <c r="B558" s="973">
        <v>543</v>
      </c>
      <c r="C558" s="386" t="s">
        <v>1909</v>
      </c>
      <c r="D558" s="386" t="s">
        <v>2075</v>
      </c>
      <c r="E558" s="121" t="s">
        <v>1478</v>
      </c>
      <c r="F558" s="121">
        <v>4</v>
      </c>
      <c r="G558" s="974" t="s">
        <v>2074</v>
      </c>
      <c r="H558" s="121">
        <v>4500107668</v>
      </c>
      <c r="I558" s="121"/>
      <c r="J558" s="121"/>
      <c r="K558" s="977">
        <v>2.2275567999999999E-2</v>
      </c>
      <c r="L558" s="121"/>
      <c r="M558" s="977">
        <v>2.2275567999999999E-2</v>
      </c>
      <c r="N558" s="979"/>
    </row>
    <row r="559" spans="2:14" ht="42" x14ac:dyDescent="0.3">
      <c r="B559" s="973">
        <v>544</v>
      </c>
      <c r="C559" s="386" t="s">
        <v>1909</v>
      </c>
      <c r="D559" s="386" t="s">
        <v>2076</v>
      </c>
      <c r="E559" s="121" t="s">
        <v>1478</v>
      </c>
      <c r="F559" s="121">
        <v>3</v>
      </c>
      <c r="G559" s="974" t="s">
        <v>2074</v>
      </c>
      <c r="H559" s="121">
        <v>4500107669</v>
      </c>
      <c r="I559" s="121"/>
      <c r="J559" s="121"/>
      <c r="K559" s="977">
        <v>2.04435E-2</v>
      </c>
      <c r="L559" s="121"/>
      <c r="M559" s="977">
        <v>2.04435E-2</v>
      </c>
      <c r="N559" s="979"/>
    </row>
    <row r="560" spans="2:14" ht="42" x14ac:dyDescent="0.3">
      <c r="B560" s="973">
        <v>545</v>
      </c>
      <c r="C560" s="386" t="s">
        <v>1909</v>
      </c>
      <c r="D560" s="386" t="s">
        <v>2077</v>
      </c>
      <c r="E560" s="121" t="s">
        <v>1478</v>
      </c>
      <c r="F560" s="121">
        <v>3</v>
      </c>
      <c r="G560" s="974" t="s">
        <v>2078</v>
      </c>
      <c r="H560" s="121">
        <v>4500107756</v>
      </c>
      <c r="I560" s="121"/>
      <c r="J560" s="121"/>
      <c r="K560" s="977">
        <v>2.1183713999999999E-2</v>
      </c>
      <c r="L560" s="121"/>
      <c r="M560" s="977">
        <v>2.1183713999999999E-2</v>
      </c>
      <c r="N560" s="979"/>
    </row>
    <row r="561" spans="2:14" x14ac:dyDescent="0.3">
      <c r="B561" s="973">
        <v>546</v>
      </c>
      <c r="C561" s="386" t="s">
        <v>1909</v>
      </c>
      <c r="D561" s="386" t="s">
        <v>2079</v>
      </c>
      <c r="E561" s="121" t="s">
        <v>1478</v>
      </c>
      <c r="F561" s="121">
        <v>4</v>
      </c>
      <c r="G561" s="974" t="s">
        <v>2078</v>
      </c>
      <c r="H561" s="121">
        <v>4500107666</v>
      </c>
      <c r="I561" s="121"/>
      <c r="J561" s="121"/>
      <c r="K561" s="977">
        <v>1.7662239999999999E-2</v>
      </c>
      <c r="L561" s="121"/>
      <c r="M561" s="977">
        <v>1.7662239999999999E-2</v>
      </c>
      <c r="N561" s="979"/>
    </row>
    <row r="562" spans="2:14" ht="28" x14ac:dyDescent="0.3">
      <c r="B562" s="973">
        <v>547</v>
      </c>
      <c r="C562" s="386" t="s">
        <v>1927</v>
      </c>
      <c r="D562" s="386" t="s">
        <v>2080</v>
      </c>
      <c r="E562" s="121" t="s">
        <v>1478</v>
      </c>
      <c r="F562" s="121">
        <v>5</v>
      </c>
      <c r="G562" s="974" t="s">
        <v>2078</v>
      </c>
      <c r="H562" s="121">
        <v>4500107752</v>
      </c>
      <c r="I562" s="121"/>
      <c r="J562" s="121"/>
      <c r="K562" s="977">
        <v>1.7758173999999998E-2</v>
      </c>
      <c r="L562" s="121"/>
      <c r="M562" s="977">
        <v>1.7758173999999998E-2</v>
      </c>
      <c r="N562" s="979"/>
    </row>
    <row r="563" spans="2:14" ht="42" x14ac:dyDescent="0.3">
      <c r="B563" s="973">
        <v>548</v>
      </c>
      <c r="C563" s="386" t="s">
        <v>1927</v>
      </c>
      <c r="D563" s="386" t="s">
        <v>2081</v>
      </c>
      <c r="E563" s="121" t="s">
        <v>1478</v>
      </c>
      <c r="F563" s="121">
        <v>8</v>
      </c>
      <c r="G563" s="974" t="s">
        <v>2078</v>
      </c>
      <c r="H563" s="121">
        <v>4500107744</v>
      </c>
      <c r="I563" s="121"/>
      <c r="J563" s="121"/>
      <c r="K563" s="977">
        <v>0.11077389711999998</v>
      </c>
      <c r="L563" s="121"/>
      <c r="M563" s="977">
        <v>0.11077389711999998</v>
      </c>
      <c r="N563" s="979"/>
    </row>
    <row r="564" spans="2:14" ht="42" x14ac:dyDescent="0.3">
      <c r="B564" s="973">
        <v>549</v>
      </c>
      <c r="C564" s="386" t="s">
        <v>2082</v>
      </c>
      <c r="D564" s="386" t="s">
        <v>2083</v>
      </c>
      <c r="E564" s="121" t="s">
        <v>1478</v>
      </c>
      <c r="F564" s="121"/>
      <c r="G564" s="974" t="s">
        <v>2084</v>
      </c>
      <c r="H564" s="121">
        <v>4500107631</v>
      </c>
      <c r="I564" s="121"/>
      <c r="J564" s="121"/>
      <c r="K564" s="977">
        <v>0.23116895008200003</v>
      </c>
      <c r="L564" s="121"/>
      <c r="M564" s="977">
        <v>0.23116895008200003</v>
      </c>
      <c r="N564" s="979"/>
    </row>
    <row r="565" spans="2:14" x14ac:dyDescent="0.3">
      <c r="B565" s="973">
        <v>550</v>
      </c>
      <c r="C565" s="386" t="s">
        <v>1909</v>
      </c>
      <c r="D565" s="386" t="s">
        <v>2085</v>
      </c>
      <c r="E565" s="121" t="s">
        <v>1478</v>
      </c>
      <c r="F565" s="121">
        <v>4</v>
      </c>
      <c r="G565" s="974" t="s">
        <v>2086</v>
      </c>
      <c r="H565" s="121">
        <v>4500107434</v>
      </c>
      <c r="I565" s="121"/>
      <c r="J565" s="121"/>
      <c r="K565" s="977">
        <v>0.24739567819200001</v>
      </c>
      <c r="L565" s="121"/>
      <c r="M565" s="977">
        <v>0.24739567819200001</v>
      </c>
      <c r="N565" s="979"/>
    </row>
    <row r="566" spans="2:14" ht="28" x14ac:dyDescent="0.3">
      <c r="B566" s="973">
        <v>551</v>
      </c>
      <c r="C566" s="386" t="s">
        <v>1927</v>
      </c>
      <c r="D566" s="386" t="s">
        <v>2087</v>
      </c>
      <c r="E566" s="121" t="s">
        <v>1478</v>
      </c>
      <c r="F566" s="121">
        <v>4</v>
      </c>
      <c r="G566" s="974" t="s">
        <v>2088</v>
      </c>
      <c r="H566" s="121">
        <v>4500107865</v>
      </c>
      <c r="I566" s="121"/>
      <c r="J566" s="121"/>
      <c r="K566" s="977">
        <v>3.4312511999999996E-2</v>
      </c>
      <c r="L566" s="121"/>
      <c r="M566" s="977">
        <v>3.4312511999999996E-2</v>
      </c>
      <c r="N566" s="979"/>
    </row>
    <row r="567" spans="2:14" ht="28" x14ac:dyDescent="0.3">
      <c r="B567" s="973">
        <v>552</v>
      </c>
      <c r="C567" s="386" t="s">
        <v>1909</v>
      </c>
      <c r="D567" s="386" t="s">
        <v>2089</v>
      </c>
      <c r="E567" s="121" t="s">
        <v>1478</v>
      </c>
      <c r="F567" s="121">
        <v>2</v>
      </c>
      <c r="G567" s="974" t="s">
        <v>2090</v>
      </c>
      <c r="H567" s="121">
        <v>4500107886</v>
      </c>
      <c r="I567" s="121"/>
      <c r="J567" s="121"/>
      <c r="K567" s="977">
        <v>2.1828819999999999E-2</v>
      </c>
      <c r="L567" s="121"/>
      <c r="M567" s="977">
        <v>2.1828819999999999E-2</v>
      </c>
      <c r="N567" s="979"/>
    </row>
    <row r="568" spans="2:14" ht="28" x14ac:dyDescent="0.3">
      <c r="B568" s="973">
        <v>553</v>
      </c>
      <c r="C568" s="386" t="s">
        <v>1909</v>
      </c>
      <c r="D568" s="386" t="s">
        <v>2091</v>
      </c>
      <c r="E568" s="121" t="s">
        <v>1478</v>
      </c>
      <c r="F568" s="121">
        <v>4</v>
      </c>
      <c r="G568" s="974" t="s">
        <v>2090</v>
      </c>
      <c r="H568" s="121">
        <v>4500107892</v>
      </c>
      <c r="I568" s="121"/>
      <c r="J568" s="121"/>
      <c r="K568" s="977">
        <v>2.2875007999999999E-2</v>
      </c>
      <c r="L568" s="121"/>
      <c r="M568" s="977">
        <v>2.2875007999999999E-2</v>
      </c>
      <c r="N568" s="979"/>
    </row>
    <row r="569" spans="2:14" ht="28" x14ac:dyDescent="0.3">
      <c r="B569" s="973">
        <v>554</v>
      </c>
      <c r="C569" s="386" t="s">
        <v>2092</v>
      </c>
      <c r="D569" s="386" t="s">
        <v>2093</v>
      </c>
      <c r="E569" s="121" t="s">
        <v>1478</v>
      </c>
      <c r="F569" s="121">
        <v>3</v>
      </c>
      <c r="G569" s="974" t="s">
        <v>2094</v>
      </c>
      <c r="H569" s="121">
        <v>4500110902</v>
      </c>
      <c r="I569" s="121"/>
      <c r="J569" s="121"/>
      <c r="K569" s="977">
        <v>3.8364835018763999</v>
      </c>
      <c r="L569" s="121"/>
      <c r="M569" s="977">
        <v>3.8364835018763999</v>
      </c>
      <c r="N569" s="979"/>
    </row>
    <row r="570" spans="2:14" x14ac:dyDescent="0.3">
      <c r="B570" s="973">
        <v>555</v>
      </c>
      <c r="C570" s="386" t="s">
        <v>1920</v>
      </c>
      <c r="D570" s="386" t="s">
        <v>2095</v>
      </c>
      <c r="E570" s="121" t="s">
        <v>1483</v>
      </c>
      <c r="F570" s="121"/>
      <c r="G570" s="974" t="s">
        <v>2096</v>
      </c>
      <c r="H570" s="121">
        <v>4500108144</v>
      </c>
      <c r="I570" s="121"/>
      <c r="J570" s="121"/>
      <c r="K570" s="977">
        <v>1.18E-2</v>
      </c>
      <c r="L570" s="121"/>
      <c r="M570" s="977">
        <v>1.18E-2</v>
      </c>
      <c r="N570" s="979"/>
    </row>
    <row r="571" spans="2:14" ht="28" x14ac:dyDescent="0.3">
      <c r="B571" s="973">
        <v>556</v>
      </c>
      <c r="C571" s="386" t="s">
        <v>1927</v>
      </c>
      <c r="D571" s="386" t="s">
        <v>2097</v>
      </c>
      <c r="E571" s="121" t="s">
        <v>1478</v>
      </c>
      <c r="F571" s="121">
        <v>4</v>
      </c>
      <c r="G571" s="974" t="s">
        <v>2096</v>
      </c>
      <c r="H571" s="121">
        <v>4500108153</v>
      </c>
      <c r="I571" s="121"/>
      <c r="J571" s="121"/>
      <c r="K571" s="977">
        <v>2.3472796000000001E-2</v>
      </c>
      <c r="L571" s="121"/>
      <c r="M571" s="977">
        <v>2.3472796000000001E-2</v>
      </c>
      <c r="N571" s="979"/>
    </row>
    <row r="572" spans="2:14" ht="28" x14ac:dyDescent="0.3">
      <c r="B572" s="973">
        <v>557</v>
      </c>
      <c r="C572" s="386" t="s">
        <v>1927</v>
      </c>
      <c r="D572" s="386" t="s">
        <v>2098</v>
      </c>
      <c r="E572" s="121" t="s">
        <v>1478</v>
      </c>
      <c r="F572" s="121">
        <v>4</v>
      </c>
      <c r="G572" s="974" t="s">
        <v>2099</v>
      </c>
      <c r="H572" s="121">
        <v>4500107433</v>
      </c>
      <c r="I572" s="121"/>
      <c r="J572" s="121"/>
      <c r="K572" s="977">
        <v>0.23002971741819997</v>
      </c>
      <c r="L572" s="121"/>
      <c r="M572" s="977">
        <v>0.23002971741819997</v>
      </c>
      <c r="N572" s="979"/>
    </row>
    <row r="573" spans="2:14" ht="28" x14ac:dyDescent="0.3">
      <c r="B573" s="973">
        <v>558</v>
      </c>
      <c r="C573" s="386" t="s">
        <v>1909</v>
      </c>
      <c r="D573" s="386" t="s">
        <v>2100</v>
      </c>
      <c r="E573" s="121" t="s">
        <v>1483</v>
      </c>
      <c r="F573" s="121"/>
      <c r="G573" s="974" t="s">
        <v>2101</v>
      </c>
      <c r="H573" s="121">
        <v>4500108208</v>
      </c>
      <c r="I573" s="121"/>
      <c r="J573" s="121"/>
      <c r="K573" s="977">
        <v>2.5812500000000002E-3</v>
      </c>
      <c r="L573" s="121"/>
      <c r="M573" s="977">
        <v>2.5812500000000002E-3</v>
      </c>
      <c r="N573" s="979"/>
    </row>
    <row r="574" spans="2:14" ht="28" x14ac:dyDescent="0.3">
      <c r="B574" s="973">
        <v>559</v>
      </c>
      <c r="C574" s="386" t="s">
        <v>1909</v>
      </c>
      <c r="D574" s="386" t="s">
        <v>2102</v>
      </c>
      <c r="E574" s="121" t="s">
        <v>1478</v>
      </c>
      <c r="F574" s="121">
        <v>4</v>
      </c>
      <c r="G574" s="974" t="s">
        <v>2103</v>
      </c>
      <c r="H574" s="121">
        <v>4500108062</v>
      </c>
      <c r="I574" s="121"/>
      <c r="J574" s="121"/>
      <c r="K574" s="977">
        <v>2.3491676E-2</v>
      </c>
      <c r="L574" s="121"/>
      <c r="M574" s="977">
        <v>2.3491676E-2</v>
      </c>
      <c r="N574" s="979"/>
    </row>
    <row r="575" spans="2:14" x14ac:dyDescent="0.3">
      <c r="B575" s="973">
        <v>560</v>
      </c>
      <c r="C575" s="386" t="s">
        <v>1909</v>
      </c>
      <c r="D575" s="386" t="s">
        <v>2104</v>
      </c>
      <c r="E575" s="121" t="s">
        <v>1478</v>
      </c>
      <c r="F575" s="121">
        <v>5</v>
      </c>
      <c r="G575" s="974" t="s">
        <v>2105</v>
      </c>
      <c r="H575" s="121">
        <v>4500108376</v>
      </c>
      <c r="I575" s="121"/>
      <c r="J575" s="121"/>
      <c r="K575" s="977">
        <v>2.2961974E-2</v>
      </c>
      <c r="L575" s="121"/>
      <c r="M575" s="977">
        <v>2.2961974E-2</v>
      </c>
      <c r="N575" s="979"/>
    </row>
    <row r="576" spans="2:14" ht="28" x14ac:dyDescent="0.3">
      <c r="B576" s="973">
        <v>561</v>
      </c>
      <c r="C576" s="386" t="s">
        <v>1927</v>
      </c>
      <c r="D576" s="386" t="s">
        <v>2106</v>
      </c>
      <c r="E576" s="121" t="s">
        <v>1478</v>
      </c>
      <c r="F576" s="121">
        <v>7</v>
      </c>
      <c r="G576" s="974" t="s">
        <v>2105</v>
      </c>
      <c r="H576" s="121">
        <v>4500108377</v>
      </c>
      <c r="I576" s="121"/>
      <c r="J576" s="121"/>
      <c r="K576" s="977">
        <v>2.2273326E-2</v>
      </c>
      <c r="L576" s="121"/>
      <c r="M576" s="977">
        <v>2.2273326E-2</v>
      </c>
      <c r="N576" s="979"/>
    </row>
    <row r="577" spans="2:14" ht="28" x14ac:dyDescent="0.3">
      <c r="B577" s="973">
        <v>562</v>
      </c>
      <c r="C577" s="386" t="s">
        <v>1909</v>
      </c>
      <c r="D577" s="386" t="s">
        <v>2107</v>
      </c>
      <c r="E577" s="121" t="s">
        <v>1478</v>
      </c>
      <c r="F577" s="121">
        <v>5</v>
      </c>
      <c r="G577" s="974" t="s">
        <v>2108</v>
      </c>
      <c r="H577" s="121">
        <v>4500108478</v>
      </c>
      <c r="I577" s="121"/>
      <c r="J577" s="121"/>
      <c r="K577" s="977">
        <v>2.2941087999999998E-2</v>
      </c>
      <c r="L577" s="121"/>
      <c r="M577" s="977">
        <v>2.2941087999999998E-2</v>
      </c>
      <c r="N577" s="979"/>
    </row>
    <row r="578" spans="2:14" ht="28" x14ac:dyDescent="0.3">
      <c r="B578" s="973">
        <v>563</v>
      </c>
      <c r="C578" s="386" t="s">
        <v>1909</v>
      </c>
      <c r="D578" s="386" t="s">
        <v>2109</v>
      </c>
      <c r="E578" s="121" t="s">
        <v>1478</v>
      </c>
      <c r="F578" s="121">
        <v>3</v>
      </c>
      <c r="G578" s="974" t="s">
        <v>2108</v>
      </c>
      <c r="H578" s="121">
        <v>4500108488</v>
      </c>
      <c r="I578" s="121"/>
      <c r="J578" s="121"/>
      <c r="K578" s="977">
        <v>2.2983567999999999E-2</v>
      </c>
      <c r="L578" s="121"/>
      <c r="M578" s="977">
        <v>2.2983567999999999E-2</v>
      </c>
      <c r="N578" s="979"/>
    </row>
    <row r="579" spans="2:14" ht="28" x14ac:dyDescent="0.3">
      <c r="B579" s="973">
        <v>564</v>
      </c>
      <c r="C579" s="386" t="s">
        <v>1909</v>
      </c>
      <c r="D579" s="386" t="s">
        <v>2110</v>
      </c>
      <c r="E579" s="121" t="s">
        <v>1478</v>
      </c>
      <c r="F579" s="121">
        <v>3</v>
      </c>
      <c r="G579" s="974" t="s">
        <v>2111</v>
      </c>
      <c r="H579" s="121">
        <v>4500108476</v>
      </c>
      <c r="I579" s="121"/>
      <c r="J579" s="121"/>
      <c r="K579" s="977">
        <v>2.3228889999999999E-2</v>
      </c>
      <c r="L579" s="121"/>
      <c r="M579" s="977">
        <v>2.3228889999999999E-2</v>
      </c>
      <c r="N579" s="979"/>
    </row>
    <row r="580" spans="2:14" ht="28" x14ac:dyDescent="0.3">
      <c r="B580" s="973">
        <v>565</v>
      </c>
      <c r="C580" s="386" t="s">
        <v>1927</v>
      </c>
      <c r="D580" s="386" t="s">
        <v>2112</v>
      </c>
      <c r="E580" s="121" t="s">
        <v>1478</v>
      </c>
      <c r="F580" s="121">
        <v>4</v>
      </c>
      <c r="G580" s="974" t="s">
        <v>2113</v>
      </c>
      <c r="H580" s="121">
        <v>4500108680</v>
      </c>
      <c r="I580" s="121"/>
      <c r="J580" s="121"/>
      <c r="K580" s="977">
        <v>3.5352799999999997E-2</v>
      </c>
      <c r="L580" s="121"/>
      <c r="M580" s="977">
        <v>3.5352799999999997E-2</v>
      </c>
      <c r="N580" s="979"/>
    </row>
    <row r="581" spans="2:14" ht="28" x14ac:dyDescent="0.3">
      <c r="B581" s="973">
        <v>566</v>
      </c>
      <c r="C581" s="386" t="s">
        <v>1909</v>
      </c>
      <c r="D581" s="386" t="s">
        <v>2114</v>
      </c>
      <c r="E581" s="121" t="s">
        <v>1478</v>
      </c>
      <c r="F581" s="121">
        <v>3</v>
      </c>
      <c r="G581" s="974" t="s">
        <v>2115</v>
      </c>
      <c r="H581" s="121">
        <v>4500108702</v>
      </c>
      <c r="I581" s="121"/>
      <c r="J581" s="121"/>
      <c r="K581" s="977">
        <v>2.3576400000000001E-2</v>
      </c>
      <c r="L581" s="121"/>
      <c r="M581" s="977">
        <v>2.3576400000000001E-2</v>
      </c>
      <c r="N581" s="979"/>
    </row>
    <row r="582" spans="2:14" ht="42" x14ac:dyDescent="0.3">
      <c r="B582" s="973">
        <v>567</v>
      </c>
      <c r="C582" s="386" t="s">
        <v>1909</v>
      </c>
      <c r="D582" s="386" t="s">
        <v>2116</v>
      </c>
      <c r="E582" s="121" t="s">
        <v>1478</v>
      </c>
      <c r="F582" s="121">
        <v>2</v>
      </c>
      <c r="G582" s="974" t="s">
        <v>2115</v>
      </c>
      <c r="H582" s="121">
        <v>4500108696</v>
      </c>
      <c r="I582" s="121"/>
      <c r="J582" s="121"/>
      <c r="K582" s="977">
        <v>3.2066735999999998E-2</v>
      </c>
      <c r="L582" s="121"/>
      <c r="M582" s="977">
        <v>3.2066735999999998E-2</v>
      </c>
      <c r="N582" s="979"/>
    </row>
    <row r="583" spans="2:14" x14ac:dyDescent="0.3">
      <c r="B583" s="973">
        <v>568</v>
      </c>
      <c r="C583" s="386" t="s">
        <v>1927</v>
      </c>
      <c r="D583" s="386" t="s">
        <v>2117</v>
      </c>
      <c r="E583" s="121" t="s">
        <v>1478</v>
      </c>
      <c r="F583" s="121">
        <v>4</v>
      </c>
      <c r="G583" s="974" t="s">
        <v>2118</v>
      </c>
      <c r="H583" s="121">
        <v>4500108853</v>
      </c>
      <c r="I583" s="121"/>
      <c r="J583" s="121"/>
      <c r="K583" s="977">
        <v>2.8270439999999997E-2</v>
      </c>
      <c r="L583" s="121"/>
      <c r="M583" s="977">
        <v>2.8270439999999997E-2</v>
      </c>
      <c r="N583" s="979"/>
    </row>
    <row r="584" spans="2:14" ht="28" x14ac:dyDescent="0.3">
      <c r="B584" s="973">
        <v>569</v>
      </c>
      <c r="C584" s="386" t="s">
        <v>1909</v>
      </c>
      <c r="D584" s="386" t="s">
        <v>2119</v>
      </c>
      <c r="E584" s="121" t="s">
        <v>1478</v>
      </c>
      <c r="F584" s="121">
        <v>4</v>
      </c>
      <c r="G584" s="974" t="s">
        <v>2120</v>
      </c>
      <c r="H584" s="121">
        <v>4500108919</v>
      </c>
      <c r="I584" s="121"/>
      <c r="J584" s="121"/>
      <c r="K584" s="977">
        <v>2.12164E-2</v>
      </c>
      <c r="L584" s="121"/>
      <c r="M584" s="977">
        <v>2.12164E-2</v>
      </c>
      <c r="N584" s="979"/>
    </row>
    <row r="585" spans="2:14" x14ac:dyDescent="0.3">
      <c r="B585" s="973">
        <v>570</v>
      </c>
      <c r="C585" s="386" t="s">
        <v>1909</v>
      </c>
      <c r="D585" s="386" t="s">
        <v>2121</v>
      </c>
      <c r="E585" s="121" t="s">
        <v>1478</v>
      </c>
      <c r="F585" s="121">
        <v>3</v>
      </c>
      <c r="G585" s="974" t="s">
        <v>2122</v>
      </c>
      <c r="H585" s="121">
        <v>4500109042</v>
      </c>
      <c r="I585" s="121"/>
      <c r="J585" s="121"/>
      <c r="K585" s="977">
        <v>2.23964E-2</v>
      </c>
      <c r="L585" s="121"/>
      <c r="M585" s="977">
        <v>2.23964E-2</v>
      </c>
      <c r="N585" s="979"/>
    </row>
    <row r="586" spans="2:14" ht="28" x14ac:dyDescent="0.3">
      <c r="B586" s="973">
        <v>571</v>
      </c>
      <c r="C586" s="386" t="s">
        <v>1927</v>
      </c>
      <c r="D586" s="386" t="s">
        <v>2123</v>
      </c>
      <c r="E586" s="121" t="s">
        <v>1478</v>
      </c>
      <c r="F586" s="121">
        <v>5</v>
      </c>
      <c r="G586" s="974" t="s">
        <v>2124</v>
      </c>
      <c r="H586" s="121">
        <v>4500109277</v>
      </c>
      <c r="I586" s="121"/>
      <c r="J586" s="121"/>
      <c r="K586" s="977">
        <v>2.23964E-2</v>
      </c>
      <c r="L586" s="121"/>
      <c r="M586" s="977">
        <v>2.23964E-2</v>
      </c>
      <c r="N586" s="979"/>
    </row>
    <row r="587" spans="2:14" x14ac:dyDescent="0.3">
      <c r="B587" s="973">
        <v>572</v>
      </c>
      <c r="C587" s="386" t="s">
        <v>1927</v>
      </c>
      <c r="D587" s="386" t="s">
        <v>2125</v>
      </c>
      <c r="E587" s="121" t="s">
        <v>1478</v>
      </c>
      <c r="F587" s="121">
        <v>4</v>
      </c>
      <c r="G587" s="974" t="s">
        <v>2126</v>
      </c>
      <c r="H587" s="121">
        <v>4500109311</v>
      </c>
      <c r="I587" s="121"/>
      <c r="J587" s="121"/>
      <c r="K587" s="977">
        <v>2.2207835999999998E-2</v>
      </c>
      <c r="L587" s="121"/>
      <c r="M587" s="977">
        <v>2.2207835999999998E-2</v>
      </c>
      <c r="N587" s="979"/>
    </row>
    <row r="588" spans="2:14" x14ac:dyDescent="0.3">
      <c r="B588" s="973">
        <v>573</v>
      </c>
      <c r="C588" s="386" t="s">
        <v>1909</v>
      </c>
      <c r="D588" s="386" t="s">
        <v>2127</v>
      </c>
      <c r="E588" s="121" t="s">
        <v>1478</v>
      </c>
      <c r="F588" s="121">
        <v>4</v>
      </c>
      <c r="G588" s="974" t="s">
        <v>2126</v>
      </c>
      <c r="H588" s="121">
        <v>4500109309</v>
      </c>
      <c r="I588" s="121"/>
      <c r="J588" s="121"/>
      <c r="K588" s="977">
        <v>1.2847131999999999E-2</v>
      </c>
      <c r="L588" s="121"/>
      <c r="M588" s="977">
        <v>1.2847131999999999E-2</v>
      </c>
      <c r="N588" s="979"/>
    </row>
    <row r="589" spans="2:14" ht="28" x14ac:dyDescent="0.3">
      <c r="B589" s="973">
        <v>574</v>
      </c>
      <c r="C589" s="386" t="s">
        <v>1909</v>
      </c>
      <c r="D589" s="386" t="s">
        <v>2128</v>
      </c>
      <c r="E589" s="121" t="s">
        <v>1478</v>
      </c>
      <c r="F589" s="121">
        <v>4</v>
      </c>
      <c r="G589" s="974" t="s">
        <v>2129</v>
      </c>
      <c r="H589" s="121">
        <v>4500109295</v>
      </c>
      <c r="I589" s="121"/>
      <c r="J589" s="121"/>
      <c r="K589" s="977">
        <v>2.24672E-2</v>
      </c>
      <c r="L589" s="121"/>
      <c r="M589" s="977">
        <v>2.24672E-2</v>
      </c>
      <c r="N589" s="979"/>
    </row>
    <row r="590" spans="2:14" ht="28" x14ac:dyDescent="0.3">
      <c r="B590" s="973">
        <v>575</v>
      </c>
      <c r="C590" s="386" t="s">
        <v>1909</v>
      </c>
      <c r="D590" s="386" t="s">
        <v>2130</v>
      </c>
      <c r="E590" s="121" t="s">
        <v>1478</v>
      </c>
      <c r="F590" s="121">
        <v>3</v>
      </c>
      <c r="G590" s="974" t="s">
        <v>2131</v>
      </c>
      <c r="H590" s="121">
        <v>4500110296</v>
      </c>
      <c r="I590" s="121"/>
      <c r="J590" s="121"/>
      <c r="K590" s="977">
        <v>2.0199711999999998E-2</v>
      </c>
      <c r="L590" s="121"/>
      <c r="M590" s="977">
        <v>2.0199711999999998E-2</v>
      </c>
      <c r="N590" s="979"/>
    </row>
    <row r="591" spans="2:14" ht="56" x14ac:dyDescent="0.3">
      <c r="B591" s="973">
        <v>576</v>
      </c>
      <c r="C591" s="386" t="s">
        <v>1927</v>
      </c>
      <c r="D591" s="386" t="s">
        <v>2132</v>
      </c>
      <c r="E591" s="121" t="s">
        <v>1478</v>
      </c>
      <c r="F591" s="121">
        <v>3</v>
      </c>
      <c r="G591" s="974" t="s">
        <v>2133</v>
      </c>
      <c r="H591" s="121">
        <v>4500110465</v>
      </c>
      <c r="I591" s="121"/>
      <c r="J591" s="121"/>
      <c r="K591" s="977">
        <v>3.084048E-2</v>
      </c>
      <c r="L591" s="121"/>
      <c r="M591" s="977">
        <v>3.084048E-2</v>
      </c>
      <c r="N591" s="979"/>
    </row>
    <row r="592" spans="2:14" ht="28" x14ac:dyDescent="0.3">
      <c r="B592" s="973">
        <v>577</v>
      </c>
      <c r="C592" s="386" t="s">
        <v>1909</v>
      </c>
      <c r="D592" s="386" t="s">
        <v>2134</v>
      </c>
      <c r="E592" s="121" t="s">
        <v>1478</v>
      </c>
      <c r="F592" s="121"/>
      <c r="G592" s="974" t="s">
        <v>2135</v>
      </c>
      <c r="H592" s="121">
        <v>4500110722</v>
      </c>
      <c r="I592" s="121"/>
      <c r="J592" s="121"/>
      <c r="K592" s="977">
        <v>1.0746967999999999E-2</v>
      </c>
      <c r="L592" s="121"/>
      <c r="M592" s="977">
        <v>1.0746967999999999E-2</v>
      </c>
      <c r="N592" s="979"/>
    </row>
    <row r="593" spans="2:14" ht="28" x14ac:dyDescent="0.3">
      <c r="B593" s="973">
        <v>578</v>
      </c>
      <c r="C593" s="386" t="s">
        <v>1909</v>
      </c>
      <c r="D593" s="386" t="s">
        <v>2136</v>
      </c>
      <c r="E593" s="121" t="s">
        <v>1478</v>
      </c>
      <c r="F593" s="121">
        <v>3</v>
      </c>
      <c r="G593" s="974" t="s">
        <v>2135</v>
      </c>
      <c r="H593" s="121">
        <v>4500110748</v>
      </c>
      <c r="I593" s="121"/>
      <c r="J593" s="121"/>
      <c r="K593" s="977">
        <v>2.3576400000000001E-2</v>
      </c>
      <c r="L593" s="121"/>
      <c r="M593" s="977">
        <v>2.3576400000000001E-2</v>
      </c>
      <c r="N593" s="979"/>
    </row>
    <row r="594" spans="2:14" ht="28" x14ac:dyDescent="0.3">
      <c r="B594" s="973">
        <v>579</v>
      </c>
      <c r="C594" s="386" t="s">
        <v>1909</v>
      </c>
      <c r="D594" s="386" t="s">
        <v>2137</v>
      </c>
      <c r="E594" s="121" t="s">
        <v>1478</v>
      </c>
      <c r="F594" s="121">
        <v>4</v>
      </c>
      <c r="G594" s="974" t="s">
        <v>2138</v>
      </c>
      <c r="H594" s="121">
        <v>4500110835</v>
      </c>
      <c r="I594" s="121"/>
      <c r="J594" s="121"/>
      <c r="K594" s="977">
        <v>2.2786035999999999E-2</v>
      </c>
      <c r="L594" s="121"/>
      <c r="M594" s="977">
        <v>2.2786035999999999E-2</v>
      </c>
      <c r="N594" s="979"/>
    </row>
    <row r="595" spans="2:14" ht="28" x14ac:dyDescent="0.3">
      <c r="B595" s="973">
        <v>580</v>
      </c>
      <c r="C595" s="386" t="s">
        <v>1909</v>
      </c>
      <c r="D595" s="386" t="s">
        <v>2139</v>
      </c>
      <c r="E595" s="121" t="s">
        <v>1478</v>
      </c>
      <c r="F595" s="121">
        <v>4</v>
      </c>
      <c r="G595" s="974" t="s">
        <v>2138</v>
      </c>
      <c r="H595" s="121">
        <v>4500110834</v>
      </c>
      <c r="I595" s="121"/>
      <c r="J595" s="121"/>
      <c r="K595" s="977">
        <v>2.2941087999999998E-2</v>
      </c>
      <c r="L595" s="121"/>
      <c r="M595" s="977">
        <v>2.2941087999999998E-2</v>
      </c>
      <c r="N595" s="979"/>
    </row>
    <row r="596" spans="2:14" ht="28" x14ac:dyDescent="0.3">
      <c r="B596" s="973">
        <v>581</v>
      </c>
      <c r="C596" s="386" t="s">
        <v>1927</v>
      </c>
      <c r="D596" s="386" t="s">
        <v>2140</v>
      </c>
      <c r="E596" s="121" t="s">
        <v>1478</v>
      </c>
      <c r="F596" s="121">
        <v>5</v>
      </c>
      <c r="G596" s="974" t="s">
        <v>2138</v>
      </c>
      <c r="H596" s="121">
        <v>4500110839</v>
      </c>
      <c r="I596" s="121"/>
      <c r="J596" s="121"/>
      <c r="K596" s="977">
        <v>2.1838968E-2</v>
      </c>
      <c r="L596" s="121"/>
      <c r="M596" s="977">
        <v>2.1838968E-2</v>
      </c>
      <c r="N596" s="979"/>
    </row>
    <row r="597" spans="2:14" ht="70" x14ac:dyDescent="0.3">
      <c r="B597" s="973">
        <v>582</v>
      </c>
      <c r="C597" s="386" t="s">
        <v>1927</v>
      </c>
      <c r="D597" s="386" t="s">
        <v>2141</v>
      </c>
      <c r="E597" s="121" t="s">
        <v>1478</v>
      </c>
      <c r="F597" s="121">
        <v>3</v>
      </c>
      <c r="G597" s="974" t="s">
        <v>2138</v>
      </c>
      <c r="H597" s="121">
        <v>4500110840</v>
      </c>
      <c r="I597" s="121"/>
      <c r="J597" s="121"/>
      <c r="K597" s="977">
        <v>1.7032591999999999E-2</v>
      </c>
      <c r="L597" s="121"/>
      <c r="M597" s="977">
        <v>1.7032591999999999E-2</v>
      </c>
      <c r="N597" s="979"/>
    </row>
    <row r="598" spans="2:14" ht="28" x14ac:dyDescent="0.3">
      <c r="B598" s="973">
        <v>583</v>
      </c>
      <c r="C598" s="386" t="s">
        <v>1909</v>
      </c>
      <c r="D598" s="386" t="s">
        <v>2142</v>
      </c>
      <c r="E598" s="121" t="s">
        <v>1478</v>
      </c>
      <c r="F598" s="121">
        <v>3</v>
      </c>
      <c r="G598" s="974" t="s">
        <v>2143</v>
      </c>
      <c r="H598" s="121">
        <v>4500108697</v>
      </c>
      <c r="I598" s="121"/>
      <c r="J598" s="121"/>
      <c r="K598" s="977">
        <v>2.2902265999999998E-2</v>
      </c>
      <c r="L598" s="121"/>
      <c r="M598" s="977">
        <v>2.2902265999999998E-2</v>
      </c>
      <c r="N598" s="979"/>
    </row>
    <row r="599" spans="2:14" ht="42" x14ac:dyDescent="0.3">
      <c r="B599" s="973">
        <v>584</v>
      </c>
      <c r="C599" s="386" t="s">
        <v>1909</v>
      </c>
      <c r="D599" s="386" t="s">
        <v>2144</v>
      </c>
      <c r="E599" s="121" t="s">
        <v>1478</v>
      </c>
      <c r="F599" s="121">
        <v>4</v>
      </c>
      <c r="G599" s="974" t="s">
        <v>2143</v>
      </c>
      <c r="H599" s="121">
        <v>4500111004</v>
      </c>
      <c r="I599" s="121"/>
      <c r="J599" s="121"/>
      <c r="K599" s="977">
        <v>2.1994728000000002E-2</v>
      </c>
      <c r="L599" s="121"/>
      <c r="M599" s="977">
        <v>2.1994728000000002E-2</v>
      </c>
      <c r="N599" s="979"/>
    </row>
    <row r="600" spans="2:14" ht="28" x14ac:dyDescent="0.3">
      <c r="B600" s="973">
        <v>585</v>
      </c>
      <c r="C600" s="386" t="s">
        <v>1927</v>
      </c>
      <c r="D600" s="386" t="s">
        <v>2145</v>
      </c>
      <c r="E600" s="121" t="s">
        <v>1478</v>
      </c>
      <c r="F600" s="121">
        <v>3</v>
      </c>
      <c r="G600" s="974" t="s">
        <v>2143</v>
      </c>
      <c r="H600" s="121">
        <v>4500111011</v>
      </c>
      <c r="I600" s="121"/>
      <c r="J600" s="121"/>
      <c r="K600" s="977">
        <v>2.3165878000000001E-2</v>
      </c>
      <c r="L600" s="121"/>
      <c r="M600" s="977">
        <v>2.3165878000000001E-2</v>
      </c>
      <c r="N600" s="979"/>
    </row>
    <row r="601" spans="2:14" ht="28" x14ac:dyDescent="0.3">
      <c r="B601" s="973">
        <v>586</v>
      </c>
      <c r="C601" s="386" t="s">
        <v>1909</v>
      </c>
      <c r="D601" s="386" t="s">
        <v>2146</v>
      </c>
      <c r="E601" s="121" t="s">
        <v>1478</v>
      </c>
      <c r="F601" s="121">
        <v>4</v>
      </c>
      <c r="G601" s="974" t="s">
        <v>2143</v>
      </c>
      <c r="H601" s="121">
        <v>4500111014</v>
      </c>
      <c r="I601" s="121"/>
      <c r="J601" s="121"/>
      <c r="K601" s="977">
        <v>2.3325532E-2</v>
      </c>
      <c r="L601" s="121"/>
      <c r="M601" s="977">
        <v>2.3325532E-2</v>
      </c>
      <c r="N601" s="979"/>
    </row>
    <row r="602" spans="2:14" x14ac:dyDescent="0.3">
      <c r="B602" s="973">
        <v>587</v>
      </c>
      <c r="C602" s="386" t="s">
        <v>1927</v>
      </c>
      <c r="D602" s="386" t="s">
        <v>2147</v>
      </c>
      <c r="E602" s="121" t="s">
        <v>1478</v>
      </c>
      <c r="F602" s="121">
        <v>3</v>
      </c>
      <c r="G602" s="974" t="s">
        <v>2143</v>
      </c>
      <c r="H602" s="121">
        <v>4500111003</v>
      </c>
      <c r="I602" s="121"/>
      <c r="J602" s="121"/>
      <c r="K602" s="977">
        <v>3.0752097999999999E-2</v>
      </c>
      <c r="L602" s="121"/>
      <c r="M602" s="977">
        <v>3.0752097999999999E-2</v>
      </c>
      <c r="N602" s="979"/>
    </row>
    <row r="603" spans="2:14" ht="28" x14ac:dyDescent="0.3">
      <c r="B603" s="973">
        <v>588</v>
      </c>
      <c r="C603" s="386" t="s">
        <v>1909</v>
      </c>
      <c r="D603" s="386" t="s">
        <v>2148</v>
      </c>
      <c r="E603" s="121" t="s">
        <v>1478</v>
      </c>
      <c r="F603" s="121">
        <v>3</v>
      </c>
      <c r="G603" s="974" t="s">
        <v>2143</v>
      </c>
      <c r="H603" s="121">
        <v>4500111012</v>
      </c>
      <c r="I603" s="121"/>
      <c r="J603" s="121"/>
      <c r="K603" s="977">
        <v>2.2771050000000001E-2</v>
      </c>
      <c r="L603" s="121"/>
      <c r="M603" s="977">
        <v>2.2771050000000001E-2</v>
      </c>
      <c r="N603" s="979"/>
    </row>
    <row r="604" spans="2:14" ht="28" x14ac:dyDescent="0.3">
      <c r="B604" s="973">
        <v>589</v>
      </c>
      <c r="C604" s="386" t="s">
        <v>1909</v>
      </c>
      <c r="D604" s="386" t="s">
        <v>2149</v>
      </c>
      <c r="E604" s="121" t="s">
        <v>1478</v>
      </c>
      <c r="F604" s="121">
        <v>3</v>
      </c>
      <c r="G604" s="974" t="s">
        <v>2150</v>
      </c>
      <c r="H604" s="121">
        <v>4500111015</v>
      </c>
      <c r="I604" s="121"/>
      <c r="J604" s="121"/>
      <c r="K604" s="977">
        <v>2.3224759999999997E-2</v>
      </c>
      <c r="L604" s="121"/>
      <c r="M604" s="977">
        <v>2.3224759999999997E-2</v>
      </c>
      <c r="N604" s="979"/>
    </row>
    <row r="605" spans="2:14" ht="56" x14ac:dyDescent="0.3">
      <c r="B605" s="973">
        <v>590</v>
      </c>
      <c r="C605" s="386" t="s">
        <v>1927</v>
      </c>
      <c r="D605" s="386" t="s">
        <v>2151</v>
      </c>
      <c r="E605" s="121" t="s">
        <v>1478</v>
      </c>
      <c r="F605" s="121">
        <v>4</v>
      </c>
      <c r="G605" s="974" t="s">
        <v>2150</v>
      </c>
      <c r="H605" s="121">
        <v>4500111117</v>
      </c>
      <c r="I605" s="121"/>
      <c r="J605" s="121"/>
      <c r="K605" s="977">
        <v>1.9735972000000001E-2</v>
      </c>
      <c r="L605" s="121"/>
      <c r="M605" s="977">
        <v>1.9735972000000001E-2</v>
      </c>
      <c r="N605" s="979"/>
    </row>
    <row r="606" spans="2:14" x14ac:dyDescent="0.3">
      <c r="B606" s="973">
        <v>591</v>
      </c>
      <c r="C606" s="386" t="s">
        <v>1909</v>
      </c>
      <c r="D606" s="386" t="s">
        <v>2152</v>
      </c>
      <c r="E606" s="121" t="s">
        <v>1478</v>
      </c>
      <c r="F606" s="121"/>
      <c r="G606" s="974" t="s">
        <v>2153</v>
      </c>
      <c r="H606" s="121">
        <v>4500111002</v>
      </c>
      <c r="I606" s="121"/>
      <c r="J606" s="121"/>
      <c r="K606" s="977">
        <v>7.8489941999999993E-2</v>
      </c>
      <c r="L606" s="121"/>
      <c r="M606" s="977">
        <v>7.8489941999999993E-2</v>
      </c>
      <c r="N606" s="979"/>
    </row>
    <row r="607" spans="2:14" ht="42" x14ac:dyDescent="0.3">
      <c r="B607" s="973">
        <v>592</v>
      </c>
      <c r="C607" s="386" t="s">
        <v>1909</v>
      </c>
      <c r="D607" s="386" t="s">
        <v>2154</v>
      </c>
      <c r="E607" s="121" t="s">
        <v>1478</v>
      </c>
      <c r="F607" s="121">
        <v>5</v>
      </c>
      <c r="G607" s="974" t="s">
        <v>2153</v>
      </c>
      <c r="H607" s="121">
        <v>4500111013</v>
      </c>
      <c r="I607" s="121"/>
      <c r="J607" s="121"/>
      <c r="K607" s="977">
        <v>2.3199744000000001E-2</v>
      </c>
      <c r="L607" s="121"/>
      <c r="M607" s="977">
        <v>2.3199744000000001E-2</v>
      </c>
      <c r="N607" s="979"/>
    </row>
    <row r="608" spans="2:14" ht="28" x14ac:dyDescent="0.3">
      <c r="B608" s="973">
        <v>593</v>
      </c>
      <c r="C608" s="386" t="s">
        <v>1909</v>
      </c>
      <c r="D608" s="386" t="s">
        <v>2155</v>
      </c>
      <c r="E608" s="121" t="s">
        <v>1478</v>
      </c>
      <c r="F608" s="121">
        <v>3</v>
      </c>
      <c r="G608" s="974" t="s">
        <v>2156</v>
      </c>
      <c r="H608" s="121">
        <v>4500111298</v>
      </c>
      <c r="I608" s="121"/>
      <c r="J608" s="121"/>
      <c r="K608" s="977">
        <v>1.7692919999999997E-2</v>
      </c>
      <c r="L608" s="121"/>
      <c r="M608" s="977">
        <v>1.7692919999999997E-2</v>
      </c>
      <c r="N608" s="979"/>
    </row>
    <row r="609" spans="2:14" x14ac:dyDescent="0.3">
      <c r="B609" s="973">
        <v>594</v>
      </c>
      <c r="C609" s="386" t="s">
        <v>1927</v>
      </c>
      <c r="D609" s="386" t="s">
        <v>2157</v>
      </c>
      <c r="E609" s="121" t="s">
        <v>1478</v>
      </c>
      <c r="F609" s="121">
        <v>4</v>
      </c>
      <c r="G609" s="974" t="s">
        <v>2158</v>
      </c>
      <c r="H609" s="121">
        <v>4500111430</v>
      </c>
      <c r="I609" s="121"/>
      <c r="J609" s="121"/>
      <c r="K609" s="977">
        <v>1.9667767999999999E-2</v>
      </c>
      <c r="L609" s="121"/>
      <c r="M609" s="977">
        <v>1.9667767999999999E-2</v>
      </c>
      <c r="N609" s="979"/>
    </row>
    <row r="610" spans="2:14" ht="42" x14ac:dyDescent="0.3">
      <c r="B610" s="973">
        <v>595</v>
      </c>
      <c r="C610" s="386" t="s">
        <v>1927</v>
      </c>
      <c r="D610" s="386" t="s">
        <v>2159</v>
      </c>
      <c r="E610" s="121" t="s">
        <v>1478</v>
      </c>
      <c r="F610" s="121">
        <v>5</v>
      </c>
      <c r="G610" s="974" t="s">
        <v>2160</v>
      </c>
      <c r="H610" s="121">
        <v>4500111641</v>
      </c>
      <c r="I610" s="121"/>
      <c r="J610" s="121"/>
      <c r="K610" s="977">
        <v>0.33494889999999999</v>
      </c>
      <c r="L610" s="121"/>
      <c r="M610" s="977">
        <v>0.33494889999999999</v>
      </c>
      <c r="N610" s="979"/>
    </row>
    <row r="611" spans="2:14" ht="28" x14ac:dyDescent="0.3">
      <c r="B611" s="973">
        <v>596</v>
      </c>
      <c r="C611" s="386" t="s">
        <v>1909</v>
      </c>
      <c r="D611" s="386" t="s">
        <v>2161</v>
      </c>
      <c r="E611" s="121" t="s">
        <v>1478</v>
      </c>
      <c r="F611" s="121">
        <v>3</v>
      </c>
      <c r="G611" s="974" t="s">
        <v>2162</v>
      </c>
      <c r="H611" s="121">
        <v>4500111697</v>
      </c>
      <c r="I611" s="121"/>
      <c r="J611" s="121"/>
      <c r="K611" s="977">
        <v>2.2983567999999999E-2</v>
      </c>
      <c r="L611" s="121"/>
      <c r="M611" s="977">
        <v>2.2983567999999999E-2</v>
      </c>
      <c r="N611" s="979"/>
    </row>
    <row r="612" spans="2:14" ht="28" x14ac:dyDescent="0.3">
      <c r="B612" s="973">
        <v>597</v>
      </c>
      <c r="C612" s="386" t="s">
        <v>1909</v>
      </c>
      <c r="D612" s="386" t="s">
        <v>2163</v>
      </c>
      <c r="E612" s="121" t="s">
        <v>1478</v>
      </c>
      <c r="F612" s="121">
        <v>3</v>
      </c>
      <c r="G612" s="974" t="s">
        <v>2164</v>
      </c>
      <c r="H612" s="121">
        <v>4500111695</v>
      </c>
      <c r="I612" s="121"/>
      <c r="J612" s="121"/>
      <c r="K612" s="977">
        <v>2.2508500000000001E-2</v>
      </c>
      <c r="L612" s="121"/>
      <c r="M612" s="977">
        <v>2.2508500000000001E-2</v>
      </c>
      <c r="N612" s="979"/>
    </row>
    <row r="613" spans="2:14" ht="28" x14ac:dyDescent="0.3">
      <c r="B613" s="973">
        <v>598</v>
      </c>
      <c r="C613" s="386" t="s">
        <v>1909</v>
      </c>
      <c r="D613" s="386" t="s">
        <v>2165</v>
      </c>
      <c r="E613" s="121" t="s">
        <v>1478</v>
      </c>
      <c r="F613" s="121">
        <v>3</v>
      </c>
      <c r="G613" s="974" t="s">
        <v>2164</v>
      </c>
      <c r="H613" s="121">
        <v>4500111699</v>
      </c>
      <c r="I613" s="121"/>
      <c r="J613" s="121"/>
      <c r="K613" s="977">
        <v>2.3531559999999997E-2</v>
      </c>
      <c r="L613" s="121"/>
      <c r="M613" s="977">
        <v>2.3531559999999997E-2</v>
      </c>
      <c r="N613" s="979"/>
    </row>
    <row r="614" spans="2:14" ht="28" x14ac:dyDescent="0.3">
      <c r="B614" s="973">
        <v>599</v>
      </c>
      <c r="C614" s="386" t="s">
        <v>1909</v>
      </c>
      <c r="D614" s="386" t="s">
        <v>2166</v>
      </c>
      <c r="E614" s="121" t="s">
        <v>1478</v>
      </c>
      <c r="F614" s="121">
        <v>4</v>
      </c>
      <c r="G614" s="974" t="s">
        <v>2167</v>
      </c>
      <c r="H614" s="121">
        <v>4500111765</v>
      </c>
      <c r="I614" s="121"/>
      <c r="J614" s="121"/>
      <c r="K614" s="977">
        <v>2.3068999999999999E-2</v>
      </c>
      <c r="L614" s="121"/>
      <c r="M614" s="977">
        <v>2.3068999999999999E-2</v>
      </c>
      <c r="N614" s="979"/>
    </row>
    <row r="615" spans="2:14" ht="28" x14ac:dyDescent="0.3">
      <c r="B615" s="973">
        <v>600</v>
      </c>
      <c r="C615" s="386" t="s">
        <v>1909</v>
      </c>
      <c r="D615" s="386" t="s">
        <v>2168</v>
      </c>
      <c r="E615" s="121" t="s">
        <v>1478</v>
      </c>
      <c r="F615" s="121">
        <v>4</v>
      </c>
      <c r="G615" s="974" t="s">
        <v>2167</v>
      </c>
      <c r="H615" s="121">
        <v>4500111801</v>
      </c>
      <c r="I615" s="121"/>
      <c r="J615" s="121"/>
      <c r="K615" s="977">
        <v>2.31752E-2</v>
      </c>
      <c r="L615" s="121"/>
      <c r="M615" s="977">
        <v>2.31752E-2</v>
      </c>
      <c r="N615" s="979"/>
    </row>
    <row r="616" spans="2:14" ht="28" x14ac:dyDescent="0.3">
      <c r="B616" s="973">
        <v>601</v>
      </c>
      <c r="C616" s="386" t="s">
        <v>1909</v>
      </c>
      <c r="D616" s="386" t="s">
        <v>2169</v>
      </c>
      <c r="E616" s="121" t="s">
        <v>1483</v>
      </c>
      <c r="F616" s="121"/>
      <c r="G616" s="974" t="s">
        <v>2170</v>
      </c>
      <c r="H616" s="121">
        <v>4500111887</v>
      </c>
      <c r="I616" s="121"/>
      <c r="J616" s="121"/>
      <c r="K616" s="977">
        <v>3.2782759999999997E-3</v>
      </c>
      <c r="L616" s="121"/>
      <c r="M616" s="977">
        <v>3.2782759999999997E-3</v>
      </c>
      <c r="N616" s="979"/>
    </row>
    <row r="617" spans="2:14" ht="28" x14ac:dyDescent="0.3">
      <c r="B617" s="973">
        <v>602</v>
      </c>
      <c r="C617" s="386" t="s">
        <v>1909</v>
      </c>
      <c r="D617" s="386" t="s">
        <v>2171</v>
      </c>
      <c r="E617" s="121" t="s">
        <v>1483</v>
      </c>
      <c r="F617" s="121"/>
      <c r="G617" s="974" t="s">
        <v>2170</v>
      </c>
      <c r="H617" s="121">
        <v>4500111884</v>
      </c>
      <c r="I617" s="121"/>
      <c r="J617" s="121"/>
      <c r="K617" s="977">
        <v>3.2782759999999997E-3</v>
      </c>
      <c r="L617" s="121"/>
      <c r="M617" s="977">
        <v>3.2782759999999997E-3</v>
      </c>
      <c r="N617" s="979"/>
    </row>
    <row r="618" spans="2:14" ht="28" x14ac:dyDescent="0.3">
      <c r="B618" s="973">
        <v>603</v>
      </c>
      <c r="C618" s="386" t="s">
        <v>1909</v>
      </c>
      <c r="D618" s="386" t="s">
        <v>2172</v>
      </c>
      <c r="E618" s="121" t="s">
        <v>1483</v>
      </c>
      <c r="F618" s="121"/>
      <c r="G618" s="974" t="s">
        <v>2170</v>
      </c>
      <c r="H618" s="121">
        <v>4500111882</v>
      </c>
      <c r="I618" s="121"/>
      <c r="J618" s="121"/>
      <c r="K618" s="977">
        <v>3.2782759999999997E-3</v>
      </c>
      <c r="L618" s="121"/>
      <c r="M618" s="977">
        <v>3.2782759999999997E-3</v>
      </c>
      <c r="N618" s="979"/>
    </row>
    <row r="619" spans="2:14" ht="28" x14ac:dyDescent="0.3">
      <c r="B619" s="973">
        <v>604</v>
      </c>
      <c r="C619" s="386" t="s">
        <v>1909</v>
      </c>
      <c r="D619" s="386" t="s">
        <v>2173</v>
      </c>
      <c r="E619" s="121" t="s">
        <v>1483</v>
      </c>
      <c r="F619" s="121"/>
      <c r="G619" s="974" t="s">
        <v>2170</v>
      </c>
      <c r="H619" s="121">
        <v>4500111883</v>
      </c>
      <c r="I619" s="121"/>
      <c r="J619" s="121"/>
      <c r="K619" s="977">
        <v>3.2782759999999997E-3</v>
      </c>
      <c r="L619" s="121"/>
      <c r="M619" s="977">
        <v>3.2782759999999997E-3</v>
      </c>
      <c r="N619" s="979"/>
    </row>
    <row r="620" spans="2:14" ht="28" x14ac:dyDescent="0.3">
      <c r="B620" s="973">
        <v>605</v>
      </c>
      <c r="C620" s="386" t="s">
        <v>1909</v>
      </c>
      <c r="D620" s="386" t="s">
        <v>2174</v>
      </c>
      <c r="E620" s="121" t="s">
        <v>1483</v>
      </c>
      <c r="F620" s="121"/>
      <c r="G620" s="974" t="s">
        <v>2170</v>
      </c>
      <c r="H620" s="121">
        <v>4500111885</v>
      </c>
      <c r="I620" s="121"/>
      <c r="J620" s="121"/>
      <c r="K620" s="977">
        <v>3.2782759999999997E-3</v>
      </c>
      <c r="L620" s="121"/>
      <c r="M620" s="977">
        <v>3.2782759999999997E-3</v>
      </c>
      <c r="N620" s="979"/>
    </row>
    <row r="621" spans="2:14" ht="28" x14ac:dyDescent="0.3">
      <c r="B621" s="973">
        <v>606</v>
      </c>
      <c r="C621" s="386" t="s">
        <v>1909</v>
      </c>
      <c r="D621" s="386" t="s">
        <v>2175</v>
      </c>
      <c r="E621" s="121" t="s">
        <v>1483</v>
      </c>
      <c r="F621" s="121"/>
      <c r="G621" s="974" t="s">
        <v>2170</v>
      </c>
      <c r="H621" s="121">
        <v>4500111886</v>
      </c>
      <c r="I621" s="121"/>
      <c r="J621" s="121"/>
      <c r="K621" s="977">
        <v>3.2782759999999997E-3</v>
      </c>
      <c r="L621" s="121"/>
      <c r="M621" s="977">
        <v>3.2782759999999997E-3</v>
      </c>
      <c r="N621" s="979"/>
    </row>
    <row r="622" spans="2:14" ht="28" x14ac:dyDescent="0.3">
      <c r="B622" s="973">
        <v>607</v>
      </c>
      <c r="C622" s="386" t="s">
        <v>1927</v>
      </c>
      <c r="D622" s="386" t="s">
        <v>2176</v>
      </c>
      <c r="E622" s="121" t="s">
        <v>1478</v>
      </c>
      <c r="F622" s="121">
        <v>5</v>
      </c>
      <c r="G622" s="974" t="s">
        <v>2170</v>
      </c>
      <c r="H622" s="121">
        <v>4500111890</v>
      </c>
      <c r="I622" s="121"/>
      <c r="J622" s="121"/>
      <c r="K622" s="977">
        <v>2.2537528000000001E-2</v>
      </c>
      <c r="L622" s="121"/>
      <c r="M622" s="977">
        <v>2.2537528000000001E-2</v>
      </c>
      <c r="N622" s="979"/>
    </row>
    <row r="623" spans="2:14" ht="28" x14ac:dyDescent="0.3">
      <c r="B623" s="973">
        <v>608</v>
      </c>
      <c r="C623" s="386" t="s">
        <v>1927</v>
      </c>
      <c r="D623" s="386" t="s">
        <v>2177</v>
      </c>
      <c r="E623" s="121" t="s">
        <v>1478</v>
      </c>
      <c r="F623" s="121">
        <v>3</v>
      </c>
      <c r="G623" s="974" t="s">
        <v>2178</v>
      </c>
      <c r="H623" s="121">
        <v>4500111889</v>
      </c>
      <c r="I623" s="121"/>
      <c r="J623" s="121"/>
      <c r="K623" s="977">
        <v>2.18654E-2</v>
      </c>
      <c r="L623" s="121"/>
      <c r="M623" s="977">
        <v>2.18654E-2</v>
      </c>
      <c r="N623" s="979"/>
    </row>
    <row r="624" spans="2:14" ht="42" x14ac:dyDescent="0.3">
      <c r="B624" s="973">
        <v>609</v>
      </c>
      <c r="C624" s="386" t="s">
        <v>1927</v>
      </c>
      <c r="D624" s="386" t="s">
        <v>2179</v>
      </c>
      <c r="E624" s="121" t="s">
        <v>1478</v>
      </c>
      <c r="F624" s="121"/>
      <c r="G624" s="974" t="s">
        <v>2180</v>
      </c>
      <c r="H624" s="121">
        <v>4500111969</v>
      </c>
      <c r="I624" s="121"/>
      <c r="J624" s="121"/>
      <c r="K624" s="977">
        <v>2.3224759999999997E-2</v>
      </c>
      <c r="L624" s="121"/>
      <c r="M624" s="977">
        <v>2.3224759999999997E-2</v>
      </c>
      <c r="N624" s="979"/>
    </row>
    <row r="625" spans="2:14" ht="28" x14ac:dyDescent="0.3">
      <c r="B625" s="973">
        <v>610</v>
      </c>
      <c r="C625" s="386" t="s">
        <v>1927</v>
      </c>
      <c r="D625" s="386" t="s">
        <v>2181</v>
      </c>
      <c r="E625" s="121" t="s">
        <v>1478</v>
      </c>
      <c r="F625" s="121">
        <v>3</v>
      </c>
      <c r="G625" s="974" t="s">
        <v>2182</v>
      </c>
      <c r="H625" s="121">
        <v>4500112001</v>
      </c>
      <c r="I625" s="121"/>
      <c r="J625" s="121"/>
      <c r="K625" s="977">
        <v>2.2788277999999999E-2</v>
      </c>
      <c r="L625" s="121"/>
      <c r="M625" s="977">
        <v>2.2788277999999999E-2</v>
      </c>
      <c r="N625" s="979"/>
    </row>
    <row r="626" spans="2:14" ht="28" x14ac:dyDescent="0.3">
      <c r="B626" s="973">
        <v>611</v>
      </c>
      <c r="C626" s="386" t="s">
        <v>1909</v>
      </c>
      <c r="D626" s="386" t="s">
        <v>2183</v>
      </c>
      <c r="E626" s="121" t="s">
        <v>1478</v>
      </c>
      <c r="F626" s="121">
        <v>3</v>
      </c>
      <c r="G626" s="974" t="s">
        <v>2184</v>
      </c>
      <c r="H626" s="121">
        <v>4500112014</v>
      </c>
      <c r="I626" s="121"/>
      <c r="J626" s="121"/>
      <c r="K626" s="977">
        <v>2.35941E-2</v>
      </c>
      <c r="L626" s="121"/>
      <c r="M626" s="977">
        <v>2.35941E-2</v>
      </c>
      <c r="N626" s="979"/>
    </row>
    <row r="627" spans="2:14" ht="28" x14ac:dyDescent="0.3">
      <c r="B627" s="973">
        <v>612</v>
      </c>
      <c r="C627" s="386" t="s">
        <v>1909</v>
      </c>
      <c r="D627" s="386" t="s">
        <v>2185</v>
      </c>
      <c r="E627" s="121" t="s">
        <v>1478</v>
      </c>
      <c r="F627" s="121">
        <v>3</v>
      </c>
      <c r="G627" s="974" t="s">
        <v>2186</v>
      </c>
      <c r="H627" s="121">
        <v>4500112074</v>
      </c>
      <c r="I627" s="121"/>
      <c r="J627" s="121"/>
      <c r="K627" s="977">
        <v>1.21776E-2</v>
      </c>
      <c r="L627" s="121"/>
      <c r="M627" s="977">
        <v>1.21776E-2</v>
      </c>
      <c r="N627" s="979"/>
    </row>
    <row r="628" spans="2:14" ht="28" x14ac:dyDescent="0.3">
      <c r="B628" s="973">
        <v>613</v>
      </c>
      <c r="C628" s="386" t="s">
        <v>1909</v>
      </c>
      <c r="D628" s="386" t="s">
        <v>2187</v>
      </c>
      <c r="E628" s="121" t="s">
        <v>1478</v>
      </c>
      <c r="F628" s="121">
        <v>3</v>
      </c>
      <c r="G628" s="974" t="s">
        <v>2186</v>
      </c>
      <c r="H628" s="121">
        <v>4500112073</v>
      </c>
      <c r="I628" s="121"/>
      <c r="J628" s="121"/>
      <c r="K628" s="977">
        <v>2.2980500000000001E-2</v>
      </c>
      <c r="L628" s="121"/>
      <c r="M628" s="977">
        <v>2.2980500000000001E-2</v>
      </c>
      <c r="N628" s="979"/>
    </row>
    <row r="629" spans="2:14" x14ac:dyDescent="0.3">
      <c r="B629" s="973">
        <v>614</v>
      </c>
      <c r="C629" s="386" t="s">
        <v>1927</v>
      </c>
      <c r="D629" s="386" t="s">
        <v>2188</v>
      </c>
      <c r="E629" s="121" t="s">
        <v>1478</v>
      </c>
      <c r="F629" s="121">
        <v>4</v>
      </c>
      <c r="G629" s="974" t="s">
        <v>2189</v>
      </c>
      <c r="H629" s="121">
        <v>4500112101</v>
      </c>
      <c r="I629" s="121"/>
      <c r="J629" s="121"/>
      <c r="K629" s="977">
        <v>1.3894500000000001E-2</v>
      </c>
      <c r="L629" s="121"/>
      <c r="M629" s="977">
        <v>1.3894500000000001E-2</v>
      </c>
      <c r="N629" s="979"/>
    </row>
    <row r="630" spans="2:14" x14ac:dyDescent="0.3">
      <c r="B630" s="973">
        <v>615</v>
      </c>
      <c r="C630" s="386" t="s">
        <v>1909</v>
      </c>
      <c r="D630" s="386" t="s">
        <v>2190</v>
      </c>
      <c r="E630" s="121" t="s">
        <v>1478</v>
      </c>
      <c r="F630" s="121">
        <v>4</v>
      </c>
      <c r="G630" s="974" t="s">
        <v>2189</v>
      </c>
      <c r="H630" s="121">
        <v>4500112100</v>
      </c>
      <c r="I630" s="121"/>
      <c r="J630" s="121"/>
      <c r="K630" s="977">
        <v>2.3581709999999999E-2</v>
      </c>
      <c r="L630" s="121"/>
      <c r="M630" s="977">
        <v>2.3581709999999999E-2</v>
      </c>
      <c r="N630" s="979"/>
    </row>
    <row r="631" spans="2:14" ht="28" x14ac:dyDescent="0.3">
      <c r="B631" s="973">
        <v>616</v>
      </c>
      <c r="C631" s="386" t="s">
        <v>1927</v>
      </c>
      <c r="D631" s="386" t="s">
        <v>2191</v>
      </c>
      <c r="E631" s="121" t="s">
        <v>1483</v>
      </c>
      <c r="F631" s="121"/>
      <c r="G631" s="974" t="s">
        <v>2189</v>
      </c>
      <c r="H631" s="121">
        <v>4500112102</v>
      </c>
      <c r="I631" s="121"/>
      <c r="J631" s="121"/>
      <c r="K631" s="977">
        <v>5.7149759999999992E-3</v>
      </c>
      <c r="L631" s="121"/>
      <c r="M631" s="977">
        <v>5.7149759999999992E-3</v>
      </c>
      <c r="N631" s="979"/>
    </row>
    <row r="632" spans="2:14" ht="28" x14ac:dyDescent="0.3">
      <c r="B632" s="973">
        <v>617</v>
      </c>
      <c r="C632" s="386" t="s">
        <v>1927</v>
      </c>
      <c r="D632" s="386" t="s">
        <v>2192</v>
      </c>
      <c r="E632" s="121" t="s">
        <v>1478</v>
      </c>
      <c r="F632" s="121">
        <v>4</v>
      </c>
      <c r="G632" s="974" t="s">
        <v>2189</v>
      </c>
      <c r="H632" s="121">
        <v>4500112103</v>
      </c>
      <c r="I632" s="121"/>
      <c r="J632" s="121"/>
      <c r="K632" s="977">
        <v>2.1991423999999999E-2</v>
      </c>
      <c r="L632" s="121"/>
      <c r="M632" s="977">
        <v>2.1991423999999999E-2</v>
      </c>
      <c r="N632" s="979"/>
    </row>
    <row r="633" spans="2:14" ht="28" x14ac:dyDescent="0.3">
      <c r="B633" s="973">
        <v>618</v>
      </c>
      <c r="C633" s="386" t="s">
        <v>1927</v>
      </c>
      <c r="D633" s="386" t="s">
        <v>2193</v>
      </c>
      <c r="E633" s="121" t="s">
        <v>1478</v>
      </c>
      <c r="F633" s="121">
        <v>3</v>
      </c>
      <c r="G633" s="974" t="s">
        <v>2194</v>
      </c>
      <c r="H633" s="121">
        <v>4500112158</v>
      </c>
      <c r="I633" s="121"/>
      <c r="J633" s="121"/>
      <c r="K633" s="977">
        <v>2.2875007999999999E-2</v>
      </c>
      <c r="L633" s="121"/>
      <c r="M633" s="977">
        <v>2.2875007999999999E-2</v>
      </c>
      <c r="N633" s="979"/>
    </row>
    <row r="634" spans="2:14" x14ac:dyDescent="0.3">
      <c r="B634" s="973">
        <v>619</v>
      </c>
      <c r="C634" s="386" t="s">
        <v>1909</v>
      </c>
      <c r="D634" s="386" t="s">
        <v>2195</v>
      </c>
      <c r="E634" s="121" t="s">
        <v>1478</v>
      </c>
      <c r="F634" s="121">
        <v>4</v>
      </c>
      <c r="G634" s="974" t="s">
        <v>2194</v>
      </c>
      <c r="H634" s="121">
        <v>4500112160</v>
      </c>
      <c r="I634" s="121"/>
      <c r="J634" s="121"/>
      <c r="K634" s="977">
        <v>2.2676177999999998E-2</v>
      </c>
      <c r="L634" s="121"/>
      <c r="M634" s="977">
        <v>2.2676177999999998E-2</v>
      </c>
      <c r="N634" s="979"/>
    </row>
    <row r="635" spans="2:14" ht="28" x14ac:dyDescent="0.3">
      <c r="B635" s="973">
        <v>620</v>
      </c>
      <c r="C635" s="386" t="s">
        <v>1909</v>
      </c>
      <c r="D635" s="386" t="s">
        <v>2196</v>
      </c>
      <c r="E635" s="121" t="s">
        <v>1478</v>
      </c>
      <c r="F635" s="121">
        <v>3</v>
      </c>
      <c r="G635" s="974" t="s">
        <v>2194</v>
      </c>
      <c r="H635" s="121">
        <v>4500112163</v>
      </c>
      <c r="I635" s="121"/>
      <c r="J635" s="121"/>
      <c r="K635" s="977">
        <v>2.2275567999999999E-2</v>
      </c>
      <c r="L635" s="121"/>
      <c r="M635" s="977">
        <v>2.2275567999999999E-2</v>
      </c>
      <c r="N635" s="979"/>
    </row>
    <row r="636" spans="2:14" ht="28" x14ac:dyDescent="0.3">
      <c r="B636" s="973">
        <v>621</v>
      </c>
      <c r="C636" s="386" t="s">
        <v>1909</v>
      </c>
      <c r="D636" s="386" t="s">
        <v>2197</v>
      </c>
      <c r="E636" s="121" t="s">
        <v>1478</v>
      </c>
      <c r="F636" s="121">
        <v>3</v>
      </c>
      <c r="G636" s="974" t="s">
        <v>2198</v>
      </c>
      <c r="H636" s="121">
        <v>4500112346</v>
      </c>
      <c r="I636" s="121"/>
      <c r="J636" s="121"/>
      <c r="K636" s="977">
        <v>0.24239654399999999</v>
      </c>
      <c r="L636" s="121"/>
      <c r="M636" s="977">
        <v>0.24239654399999999</v>
      </c>
      <c r="N636" s="979"/>
    </row>
    <row r="637" spans="2:14" ht="28" x14ac:dyDescent="0.3">
      <c r="B637" s="973">
        <v>622</v>
      </c>
      <c r="C637" s="386" t="s">
        <v>1909</v>
      </c>
      <c r="D637" s="386" t="s">
        <v>2199</v>
      </c>
      <c r="E637" s="121" t="s">
        <v>1478</v>
      </c>
      <c r="F637" s="121">
        <v>3</v>
      </c>
      <c r="G637" s="974" t="s">
        <v>2198</v>
      </c>
      <c r="H637" s="121">
        <v>4500112345</v>
      </c>
      <c r="I637" s="121"/>
      <c r="J637" s="121"/>
      <c r="K637" s="977">
        <v>0.17930242449599998</v>
      </c>
      <c r="L637" s="121"/>
      <c r="M637" s="977">
        <v>0.17930242449599998</v>
      </c>
      <c r="N637" s="979"/>
    </row>
    <row r="638" spans="2:14" x14ac:dyDescent="0.3">
      <c r="B638" s="973">
        <v>623</v>
      </c>
      <c r="C638" s="386" t="s">
        <v>1909</v>
      </c>
      <c r="D638" s="386" t="s">
        <v>2200</v>
      </c>
      <c r="E638" s="121" t="s">
        <v>1478</v>
      </c>
      <c r="F638" s="121">
        <v>4</v>
      </c>
      <c r="G638" s="974" t="s">
        <v>2198</v>
      </c>
      <c r="H638" s="121">
        <v>4500112309</v>
      </c>
      <c r="I638" s="121"/>
      <c r="J638" s="121"/>
      <c r="K638" s="977">
        <v>2.290085E-2</v>
      </c>
      <c r="L638" s="121"/>
      <c r="M638" s="977">
        <v>2.290085E-2</v>
      </c>
      <c r="N638" s="979"/>
    </row>
    <row r="639" spans="2:14" ht="28" x14ac:dyDescent="0.3">
      <c r="B639" s="973">
        <v>624</v>
      </c>
      <c r="C639" s="386" t="s">
        <v>1909</v>
      </c>
      <c r="D639" s="386" t="s">
        <v>2201</v>
      </c>
      <c r="E639" s="121" t="s">
        <v>1478</v>
      </c>
      <c r="F639" s="121">
        <v>3</v>
      </c>
      <c r="G639" s="974" t="s">
        <v>2198</v>
      </c>
      <c r="H639" s="121">
        <v>4500112161</v>
      </c>
      <c r="I639" s="121"/>
      <c r="J639" s="121"/>
      <c r="K639" s="977">
        <v>1.2979882E-2</v>
      </c>
      <c r="L639" s="121"/>
      <c r="M639" s="977">
        <v>1.2979882E-2</v>
      </c>
      <c r="N639" s="979"/>
    </row>
    <row r="640" spans="2:14" ht="28" x14ac:dyDescent="0.3">
      <c r="B640" s="973">
        <v>625</v>
      </c>
      <c r="C640" s="386" t="s">
        <v>1909</v>
      </c>
      <c r="D640" s="386" t="s">
        <v>2202</v>
      </c>
      <c r="E640" s="121" t="s">
        <v>1483</v>
      </c>
      <c r="F640" s="121"/>
      <c r="G640" s="974" t="s">
        <v>2198</v>
      </c>
      <c r="H640" s="121">
        <v>4500112334</v>
      </c>
      <c r="I640" s="121"/>
      <c r="J640" s="121"/>
      <c r="K640" s="977">
        <v>2.9382000000000002E-3</v>
      </c>
      <c r="L640" s="121"/>
      <c r="M640" s="977">
        <v>2.9382000000000002E-3</v>
      </c>
      <c r="N640" s="979"/>
    </row>
    <row r="641" spans="2:14" ht="28" x14ac:dyDescent="0.3">
      <c r="B641" s="973">
        <v>626</v>
      </c>
      <c r="C641" s="386" t="s">
        <v>1909</v>
      </c>
      <c r="D641" s="386" t="s">
        <v>2203</v>
      </c>
      <c r="E641" s="121" t="s">
        <v>1483</v>
      </c>
      <c r="F641" s="121"/>
      <c r="G641" s="974" t="s">
        <v>2198</v>
      </c>
      <c r="H641" s="121">
        <v>4500112335</v>
      </c>
      <c r="I641" s="121"/>
      <c r="J641" s="121"/>
      <c r="K641" s="977">
        <v>2.1768640000000001E-3</v>
      </c>
      <c r="L641" s="121"/>
      <c r="M641" s="977">
        <v>2.1768640000000001E-3</v>
      </c>
      <c r="N641" s="979"/>
    </row>
    <row r="642" spans="2:14" ht="28" x14ac:dyDescent="0.3">
      <c r="B642" s="973">
        <v>627</v>
      </c>
      <c r="C642" s="386" t="s">
        <v>1927</v>
      </c>
      <c r="D642" s="386" t="s">
        <v>2204</v>
      </c>
      <c r="E642" s="121" t="s">
        <v>1478</v>
      </c>
      <c r="F642" s="121">
        <v>3</v>
      </c>
      <c r="G642" s="974" t="s">
        <v>2205</v>
      </c>
      <c r="H642" s="121">
        <v>4500112356</v>
      </c>
      <c r="I642" s="121"/>
      <c r="J642" s="121"/>
      <c r="K642" s="977">
        <v>1.6250960000000002E-2</v>
      </c>
      <c r="L642" s="121"/>
      <c r="M642" s="977">
        <v>1.6250960000000002E-2</v>
      </c>
      <c r="N642" s="979"/>
    </row>
    <row r="643" spans="2:14" x14ac:dyDescent="0.3">
      <c r="B643" s="973">
        <v>628</v>
      </c>
      <c r="C643" s="386" t="s">
        <v>1909</v>
      </c>
      <c r="D643" s="386" t="s">
        <v>2206</v>
      </c>
      <c r="E643" s="121" t="s">
        <v>1478</v>
      </c>
      <c r="F643" s="121">
        <v>6</v>
      </c>
      <c r="G643" s="974" t="s">
        <v>2205</v>
      </c>
      <c r="H643" s="121">
        <v>4500112353</v>
      </c>
      <c r="I643" s="121"/>
      <c r="J643" s="121"/>
      <c r="K643" s="977">
        <v>0.10554218303999999</v>
      </c>
      <c r="L643" s="121"/>
      <c r="M643" s="977">
        <v>0.10554218303999999</v>
      </c>
      <c r="N643" s="979"/>
    </row>
    <row r="644" spans="2:14" ht="28" x14ac:dyDescent="0.3">
      <c r="B644" s="973">
        <v>629</v>
      </c>
      <c r="C644" s="386" t="s">
        <v>1909</v>
      </c>
      <c r="D644" s="386" t="s">
        <v>2207</v>
      </c>
      <c r="E644" s="121" t="s">
        <v>1483</v>
      </c>
      <c r="F644" s="121"/>
      <c r="G644" s="974" t="s">
        <v>2208</v>
      </c>
      <c r="H644" s="121">
        <v>4500112490</v>
      </c>
      <c r="I644" s="121"/>
      <c r="J644" s="121"/>
      <c r="K644" s="977">
        <v>2.7363019999999995E-3</v>
      </c>
      <c r="L644" s="121"/>
      <c r="M644" s="977">
        <v>2.7363019999999995E-3</v>
      </c>
      <c r="N644" s="979"/>
    </row>
    <row r="645" spans="2:14" ht="28" x14ac:dyDescent="0.3">
      <c r="B645" s="973">
        <v>630</v>
      </c>
      <c r="C645" s="386" t="s">
        <v>1909</v>
      </c>
      <c r="D645" s="386" t="s">
        <v>2209</v>
      </c>
      <c r="E645" s="121" t="s">
        <v>1483</v>
      </c>
      <c r="F645" s="121"/>
      <c r="G645" s="974" t="s">
        <v>2208</v>
      </c>
      <c r="H645" s="121">
        <v>4500112487</v>
      </c>
      <c r="I645" s="121"/>
      <c r="J645" s="121"/>
      <c r="K645" s="977">
        <v>2.5233119999999998E-3</v>
      </c>
      <c r="L645" s="121"/>
      <c r="M645" s="977">
        <v>2.5233119999999998E-3</v>
      </c>
      <c r="N645" s="979"/>
    </row>
    <row r="646" spans="2:14" ht="28" x14ac:dyDescent="0.3">
      <c r="B646" s="973">
        <v>631</v>
      </c>
      <c r="C646" s="386" t="s">
        <v>1909</v>
      </c>
      <c r="D646" s="386" t="s">
        <v>2210</v>
      </c>
      <c r="E646" s="121" t="s">
        <v>1483</v>
      </c>
      <c r="F646" s="121"/>
      <c r="G646" s="974" t="s">
        <v>2208</v>
      </c>
      <c r="H646" s="121">
        <v>4500112486</v>
      </c>
      <c r="I646" s="121"/>
      <c r="J646" s="121"/>
      <c r="K646" s="977">
        <v>2.7363019999999995E-3</v>
      </c>
      <c r="L646" s="121"/>
      <c r="M646" s="977">
        <v>2.7363019999999995E-3</v>
      </c>
      <c r="N646" s="979"/>
    </row>
    <row r="647" spans="2:14" ht="28" x14ac:dyDescent="0.3">
      <c r="B647" s="973">
        <v>632</v>
      </c>
      <c r="C647" s="386" t="s">
        <v>1909</v>
      </c>
      <c r="D647" s="386" t="s">
        <v>2211</v>
      </c>
      <c r="E647" s="121" t="s">
        <v>1483</v>
      </c>
      <c r="F647" s="121"/>
      <c r="G647" s="974" t="s">
        <v>2208</v>
      </c>
      <c r="H647" s="121">
        <v>4500112488</v>
      </c>
      <c r="I647" s="121"/>
      <c r="J647" s="121"/>
      <c r="K647" s="977">
        <v>2.7363019999999995E-3</v>
      </c>
      <c r="L647" s="121"/>
      <c r="M647" s="977">
        <v>2.7363019999999995E-3</v>
      </c>
      <c r="N647" s="979"/>
    </row>
    <row r="648" spans="2:14" ht="28" x14ac:dyDescent="0.3">
      <c r="B648" s="973">
        <v>633</v>
      </c>
      <c r="C648" s="386" t="s">
        <v>1909</v>
      </c>
      <c r="D648" s="386" t="s">
        <v>2212</v>
      </c>
      <c r="E648" s="121" t="s">
        <v>1483</v>
      </c>
      <c r="F648" s="121"/>
      <c r="G648" s="974" t="s">
        <v>2208</v>
      </c>
      <c r="H648" s="121">
        <v>4500112491</v>
      </c>
      <c r="I648" s="121"/>
      <c r="J648" s="121"/>
      <c r="K648" s="977">
        <v>2.7363019999999995E-3</v>
      </c>
      <c r="L648" s="121"/>
      <c r="M648" s="977">
        <v>2.7363019999999995E-3</v>
      </c>
      <c r="N648" s="979"/>
    </row>
    <row r="649" spans="2:14" ht="28" x14ac:dyDescent="0.3">
      <c r="B649" s="973">
        <v>634</v>
      </c>
      <c r="C649" s="386" t="s">
        <v>1909</v>
      </c>
      <c r="D649" s="386" t="s">
        <v>2213</v>
      </c>
      <c r="E649" s="121" t="s">
        <v>1478</v>
      </c>
      <c r="F649" s="121">
        <v>4</v>
      </c>
      <c r="G649" s="974" t="s">
        <v>2208</v>
      </c>
      <c r="H649" s="121">
        <v>4500112497</v>
      </c>
      <c r="I649" s="121"/>
      <c r="J649" s="121"/>
      <c r="K649" s="977">
        <v>2.3515040000000001E-2</v>
      </c>
      <c r="L649" s="121"/>
      <c r="M649" s="977">
        <v>2.3515040000000001E-2</v>
      </c>
      <c r="N649" s="979"/>
    </row>
    <row r="650" spans="2:14" ht="28" x14ac:dyDescent="0.3">
      <c r="B650" s="973">
        <v>635</v>
      </c>
      <c r="C650" s="386" t="s">
        <v>1927</v>
      </c>
      <c r="D650" s="386" t="s">
        <v>2214</v>
      </c>
      <c r="E650" s="121" t="s">
        <v>1478</v>
      </c>
      <c r="F650" s="121">
        <v>3</v>
      </c>
      <c r="G650" s="974" t="s">
        <v>2208</v>
      </c>
      <c r="H650" s="121">
        <v>4500112496</v>
      </c>
      <c r="I650" s="121"/>
      <c r="J650" s="121"/>
      <c r="K650" s="977">
        <v>2.2801140000000001E-2</v>
      </c>
      <c r="L650" s="121"/>
      <c r="M650" s="977">
        <v>2.2801140000000001E-2</v>
      </c>
      <c r="N650" s="979"/>
    </row>
    <row r="651" spans="2:14" ht="28" x14ac:dyDescent="0.3">
      <c r="B651" s="973">
        <v>636</v>
      </c>
      <c r="C651" s="386" t="s">
        <v>1909</v>
      </c>
      <c r="D651" s="386" t="s">
        <v>2215</v>
      </c>
      <c r="E651" s="121" t="s">
        <v>1478</v>
      </c>
      <c r="F651" s="121">
        <v>3</v>
      </c>
      <c r="G651" s="974" t="s">
        <v>1369</v>
      </c>
      <c r="H651" s="121">
        <v>4500112530</v>
      </c>
      <c r="I651" s="121"/>
      <c r="J651" s="121"/>
      <c r="K651" s="977">
        <v>2.3414622E-2</v>
      </c>
      <c r="L651" s="121"/>
      <c r="M651" s="977">
        <v>2.3414622E-2</v>
      </c>
      <c r="N651" s="979"/>
    </row>
    <row r="652" spans="2:14" ht="28" x14ac:dyDescent="0.3">
      <c r="B652" s="973">
        <v>637</v>
      </c>
      <c r="C652" s="386" t="s">
        <v>1909</v>
      </c>
      <c r="D652" s="386" t="s">
        <v>2216</v>
      </c>
      <c r="E652" s="121" t="s">
        <v>1478</v>
      </c>
      <c r="F652" s="121">
        <v>3</v>
      </c>
      <c r="G652" s="974" t="s">
        <v>2217</v>
      </c>
      <c r="H652" s="121">
        <v>4500112565</v>
      </c>
      <c r="I652" s="121"/>
      <c r="J652" s="121"/>
      <c r="K652" s="977">
        <v>2.3055783999999999E-2</v>
      </c>
      <c r="L652" s="121"/>
      <c r="M652" s="977">
        <v>2.3055783999999999E-2</v>
      </c>
      <c r="N652" s="979"/>
    </row>
    <row r="653" spans="2:14" ht="28" x14ac:dyDescent="0.3">
      <c r="B653" s="973">
        <v>638</v>
      </c>
      <c r="C653" s="386" t="s">
        <v>1909</v>
      </c>
      <c r="D653" s="386" t="s">
        <v>2218</v>
      </c>
      <c r="E653" s="121" t="s">
        <v>1478</v>
      </c>
      <c r="F653" s="121">
        <v>4</v>
      </c>
      <c r="G653" s="974" t="s">
        <v>2217</v>
      </c>
      <c r="H653" s="121">
        <v>4500112564</v>
      </c>
      <c r="I653" s="121"/>
      <c r="J653" s="121"/>
      <c r="K653" s="977">
        <v>1.4124599999999999E-2</v>
      </c>
      <c r="L653" s="121"/>
      <c r="M653" s="977">
        <v>1.4124599999999999E-2</v>
      </c>
      <c r="N653" s="979"/>
    </row>
    <row r="654" spans="2:14" ht="28" x14ac:dyDescent="0.3">
      <c r="B654" s="973">
        <v>639</v>
      </c>
      <c r="C654" s="386" t="s">
        <v>1909</v>
      </c>
      <c r="D654" s="386" t="s">
        <v>2219</v>
      </c>
      <c r="E654" s="121" t="s">
        <v>1478</v>
      </c>
      <c r="F654" s="121">
        <v>4</v>
      </c>
      <c r="G654" s="974" t="s">
        <v>2220</v>
      </c>
      <c r="H654" s="121">
        <v>4500112592</v>
      </c>
      <c r="I654" s="121"/>
      <c r="J654" s="121"/>
      <c r="K654" s="977">
        <v>2.3086700000000002E-2</v>
      </c>
      <c r="L654" s="121"/>
      <c r="M654" s="977">
        <v>2.3086700000000002E-2</v>
      </c>
      <c r="N654" s="979"/>
    </row>
    <row r="655" spans="2:14" ht="28" x14ac:dyDescent="0.3">
      <c r="B655" s="973">
        <v>640</v>
      </c>
      <c r="C655" s="386" t="s">
        <v>1927</v>
      </c>
      <c r="D655" s="386" t="s">
        <v>2221</v>
      </c>
      <c r="E655" s="121" t="s">
        <v>1478</v>
      </c>
      <c r="F655" s="121">
        <v>3</v>
      </c>
      <c r="G655" s="974" t="s">
        <v>2222</v>
      </c>
      <c r="H655" s="121">
        <v>4500112617</v>
      </c>
      <c r="I655" s="121"/>
      <c r="J655" s="121"/>
      <c r="K655" s="977">
        <v>2.3394679999999998E-2</v>
      </c>
      <c r="L655" s="121"/>
      <c r="M655" s="977">
        <v>2.3394679999999998E-2</v>
      </c>
      <c r="N655" s="979"/>
    </row>
    <row r="656" spans="2:14" ht="28" x14ac:dyDescent="0.3">
      <c r="B656" s="973">
        <v>641</v>
      </c>
      <c r="C656" s="386" t="s">
        <v>1927</v>
      </c>
      <c r="D656" s="386" t="s">
        <v>2223</v>
      </c>
      <c r="E656" s="121" t="s">
        <v>1478</v>
      </c>
      <c r="F656" s="121">
        <v>4</v>
      </c>
      <c r="G656" s="974" t="s">
        <v>2224</v>
      </c>
      <c r="H656" s="121">
        <v>4500112673</v>
      </c>
      <c r="I656" s="121"/>
      <c r="J656" s="121"/>
      <c r="K656" s="977">
        <v>2.3117143999999999E-2</v>
      </c>
      <c r="L656" s="121"/>
      <c r="M656" s="977">
        <v>2.3117143999999999E-2</v>
      </c>
      <c r="N656" s="979"/>
    </row>
    <row r="657" spans="2:14" ht="28" x14ac:dyDescent="0.3">
      <c r="B657" s="973">
        <v>642</v>
      </c>
      <c r="C657" s="386" t="s">
        <v>1909</v>
      </c>
      <c r="D657" s="386" t="s">
        <v>2225</v>
      </c>
      <c r="E657" s="121" t="s">
        <v>1483</v>
      </c>
      <c r="F657" s="121"/>
      <c r="G657" s="974" t="s">
        <v>2226</v>
      </c>
      <c r="H657" s="121">
        <v>4500112740</v>
      </c>
      <c r="I657" s="121"/>
      <c r="J657" s="121"/>
      <c r="K657" s="977">
        <v>2.8695239999999996E-3</v>
      </c>
      <c r="L657" s="121"/>
      <c r="M657" s="977">
        <v>2.8695239999999996E-3</v>
      </c>
      <c r="N657" s="979"/>
    </row>
    <row r="658" spans="2:14" x14ac:dyDescent="0.3">
      <c r="B658" s="973">
        <v>643</v>
      </c>
      <c r="C658" s="386" t="s">
        <v>1909</v>
      </c>
      <c r="D658" s="386" t="s">
        <v>2227</v>
      </c>
      <c r="E658" s="121" t="s">
        <v>1483</v>
      </c>
      <c r="F658" s="121"/>
      <c r="G658" s="974" t="s">
        <v>2226</v>
      </c>
      <c r="H658" s="121">
        <v>4500112744</v>
      </c>
      <c r="I658" s="121"/>
      <c r="J658" s="121"/>
      <c r="K658" s="977">
        <v>1.18E-2</v>
      </c>
      <c r="L658" s="121"/>
      <c r="M658" s="977">
        <v>1.18E-2</v>
      </c>
      <c r="N658" s="979"/>
    </row>
    <row r="659" spans="2:14" ht="28" x14ac:dyDescent="0.3">
      <c r="B659" s="973">
        <v>644</v>
      </c>
      <c r="C659" s="386" t="s">
        <v>1909</v>
      </c>
      <c r="D659" s="386" t="s">
        <v>2228</v>
      </c>
      <c r="E659" s="121" t="s">
        <v>1478</v>
      </c>
      <c r="F659" s="121">
        <v>5</v>
      </c>
      <c r="G659" s="974" t="s">
        <v>2229</v>
      </c>
      <c r="H659" s="121">
        <v>4500112879</v>
      </c>
      <c r="I659" s="121"/>
      <c r="J659" s="121"/>
      <c r="K659" s="977">
        <v>2.3316799999999999E-2</v>
      </c>
      <c r="L659" s="121"/>
      <c r="M659" s="977">
        <v>2.3316799999999999E-2</v>
      </c>
      <c r="N659" s="979"/>
    </row>
    <row r="660" spans="2:14" ht="42" x14ac:dyDescent="0.3">
      <c r="B660" s="973">
        <v>645</v>
      </c>
      <c r="C660" s="386" t="s">
        <v>1909</v>
      </c>
      <c r="D660" s="386" t="s">
        <v>2230</v>
      </c>
      <c r="E660" s="121" t="s">
        <v>1478</v>
      </c>
      <c r="F660" s="121">
        <v>3</v>
      </c>
      <c r="G660" s="974" t="s">
        <v>2229</v>
      </c>
      <c r="H660" s="121">
        <v>4500112881</v>
      </c>
      <c r="I660" s="121"/>
      <c r="J660" s="121"/>
      <c r="K660" s="977">
        <v>2.3460524E-2</v>
      </c>
      <c r="L660" s="121"/>
      <c r="M660" s="977">
        <v>2.3460524E-2</v>
      </c>
      <c r="N660" s="979"/>
    </row>
    <row r="661" spans="2:14" ht="28" x14ac:dyDescent="0.3">
      <c r="B661" s="973">
        <v>646</v>
      </c>
      <c r="C661" s="386" t="s">
        <v>1927</v>
      </c>
      <c r="D661" s="386" t="s">
        <v>2231</v>
      </c>
      <c r="E661" s="121" t="s">
        <v>1478</v>
      </c>
      <c r="F661" s="121">
        <v>5</v>
      </c>
      <c r="G661" s="974" t="s">
        <v>2232</v>
      </c>
      <c r="H661" s="121">
        <v>4500112923</v>
      </c>
      <c r="I661" s="121"/>
      <c r="J661" s="121"/>
      <c r="K661" s="977">
        <v>2.3016253999999996E-2</v>
      </c>
      <c r="L661" s="121"/>
      <c r="M661" s="977">
        <v>2.3016253999999996E-2</v>
      </c>
      <c r="N661" s="979"/>
    </row>
    <row r="662" spans="2:14" ht="28" x14ac:dyDescent="0.3">
      <c r="B662" s="973">
        <v>647</v>
      </c>
      <c r="C662" s="386" t="s">
        <v>1909</v>
      </c>
      <c r="D662" s="386" t="s">
        <v>2233</v>
      </c>
      <c r="E662" s="121" t="s">
        <v>1478</v>
      </c>
      <c r="F662" s="121">
        <v>3</v>
      </c>
      <c r="G662" s="974" t="s">
        <v>2234</v>
      </c>
      <c r="H662" s="121">
        <v>4500112942</v>
      </c>
      <c r="I662" s="121"/>
      <c r="J662" s="121"/>
      <c r="K662" s="977">
        <v>2.2275567999999999E-2</v>
      </c>
      <c r="L662" s="121"/>
      <c r="M662" s="977">
        <v>2.2275567999999999E-2</v>
      </c>
      <c r="N662" s="979"/>
    </row>
    <row r="663" spans="2:14" x14ac:dyDescent="0.3">
      <c r="B663" s="973">
        <v>648</v>
      </c>
      <c r="C663" s="386" t="s">
        <v>1927</v>
      </c>
      <c r="D663" s="386" t="s">
        <v>2235</v>
      </c>
      <c r="E663" s="121" t="s">
        <v>1478</v>
      </c>
      <c r="F663" s="121">
        <v>5</v>
      </c>
      <c r="G663" s="974" t="s">
        <v>2236</v>
      </c>
      <c r="H663" s="121">
        <v>4500112967</v>
      </c>
      <c r="I663" s="121"/>
      <c r="J663" s="121"/>
      <c r="K663" s="977">
        <v>2.2562544E-2</v>
      </c>
      <c r="L663" s="121"/>
      <c r="M663" s="977">
        <v>2.2562544E-2</v>
      </c>
      <c r="N663" s="979"/>
    </row>
    <row r="664" spans="2:14" x14ac:dyDescent="0.3">
      <c r="B664" s="973">
        <v>649</v>
      </c>
      <c r="C664" s="386" t="s">
        <v>1927</v>
      </c>
      <c r="D664" s="386" t="s">
        <v>2237</v>
      </c>
      <c r="E664" s="121" t="s">
        <v>1478</v>
      </c>
      <c r="F664" s="121">
        <v>3</v>
      </c>
      <c r="G664" s="974" t="s">
        <v>2236</v>
      </c>
      <c r="H664" s="121">
        <v>4500112969</v>
      </c>
      <c r="I664" s="121"/>
      <c r="J664" s="121"/>
      <c r="K664" s="977">
        <v>2.2736593999999999E-2</v>
      </c>
      <c r="L664" s="121"/>
      <c r="M664" s="977">
        <v>2.2736593999999999E-2</v>
      </c>
      <c r="N664" s="979"/>
    </row>
    <row r="665" spans="2:14" x14ac:dyDescent="0.3">
      <c r="B665" s="973">
        <v>650</v>
      </c>
      <c r="C665" s="386" t="s">
        <v>1909</v>
      </c>
      <c r="D665" s="386" t="s">
        <v>2238</v>
      </c>
      <c r="E665" s="121" t="s">
        <v>1478</v>
      </c>
      <c r="F665" s="121">
        <v>4</v>
      </c>
      <c r="G665" s="974" t="s">
        <v>2239</v>
      </c>
      <c r="H665" s="121">
        <v>4500112947</v>
      </c>
      <c r="I665" s="121"/>
      <c r="J665" s="121"/>
      <c r="K665" s="977">
        <v>2.2086768E-2</v>
      </c>
      <c r="L665" s="121"/>
      <c r="M665" s="977">
        <v>2.2086768E-2</v>
      </c>
      <c r="N665" s="979"/>
    </row>
    <row r="666" spans="2:14" x14ac:dyDescent="0.3">
      <c r="B666" s="973">
        <v>651</v>
      </c>
      <c r="C666" s="386" t="s">
        <v>1927</v>
      </c>
      <c r="D666" s="386" t="s">
        <v>2240</v>
      </c>
      <c r="E666" s="121" t="s">
        <v>1478</v>
      </c>
      <c r="F666" s="121">
        <v>3</v>
      </c>
      <c r="G666" s="974" t="s">
        <v>2239</v>
      </c>
      <c r="H666" s="121">
        <v>4500112954</v>
      </c>
      <c r="I666" s="121"/>
      <c r="J666" s="121"/>
      <c r="K666" s="977">
        <v>1.3562684E-2</v>
      </c>
      <c r="L666" s="121"/>
      <c r="M666" s="977">
        <v>1.3562684E-2</v>
      </c>
      <c r="N666" s="979"/>
    </row>
    <row r="667" spans="2:14" x14ac:dyDescent="0.3">
      <c r="B667" s="973">
        <v>652</v>
      </c>
      <c r="C667" s="386" t="s">
        <v>1927</v>
      </c>
      <c r="D667" s="386" t="s">
        <v>2241</v>
      </c>
      <c r="E667" s="121" t="s">
        <v>1478</v>
      </c>
      <c r="F667" s="121">
        <v>7</v>
      </c>
      <c r="G667" s="974" t="s">
        <v>2242</v>
      </c>
      <c r="H667" s="121">
        <v>4500113012</v>
      </c>
      <c r="I667" s="121"/>
      <c r="J667" s="121"/>
      <c r="K667" s="977">
        <v>2.0772601999999998E-2</v>
      </c>
      <c r="L667" s="121"/>
      <c r="M667" s="977">
        <v>2.0772601999999998E-2</v>
      </c>
      <c r="N667" s="979"/>
    </row>
    <row r="668" spans="2:14" x14ac:dyDescent="0.3">
      <c r="B668" s="973">
        <v>653</v>
      </c>
      <c r="C668" s="386" t="s">
        <v>1909</v>
      </c>
      <c r="D668" s="386" t="s">
        <v>2243</v>
      </c>
      <c r="E668" s="121" t="s">
        <v>1478</v>
      </c>
      <c r="F668" s="121">
        <v>3</v>
      </c>
      <c r="G668" s="974" t="s">
        <v>2244</v>
      </c>
      <c r="H668" s="121">
        <v>4500113045</v>
      </c>
      <c r="I668" s="121"/>
      <c r="J668" s="121"/>
      <c r="K668" s="977">
        <v>2.0430047999999999E-2</v>
      </c>
      <c r="L668" s="121"/>
      <c r="M668" s="977">
        <v>2.0430047999999999E-2</v>
      </c>
      <c r="N668" s="979"/>
    </row>
    <row r="669" spans="2:14" ht="28" x14ac:dyDescent="0.3">
      <c r="B669" s="973">
        <v>654</v>
      </c>
      <c r="C669" s="386" t="s">
        <v>1909</v>
      </c>
      <c r="D669" s="386" t="s">
        <v>2245</v>
      </c>
      <c r="E669" s="121" t="s">
        <v>1483</v>
      </c>
      <c r="F669" s="121"/>
      <c r="G669" s="974" t="s">
        <v>2246</v>
      </c>
      <c r="H669" s="121">
        <v>4500113141</v>
      </c>
      <c r="I669" s="121"/>
      <c r="J669" s="121"/>
      <c r="K669" s="977">
        <v>2.655826E-3</v>
      </c>
      <c r="L669" s="121"/>
      <c r="M669" s="977">
        <v>2.655826E-3</v>
      </c>
      <c r="N669" s="979"/>
    </row>
    <row r="670" spans="2:14" x14ac:dyDescent="0.3">
      <c r="B670" s="973">
        <v>655</v>
      </c>
      <c r="C670" s="386" t="s">
        <v>1909</v>
      </c>
      <c r="D670" s="386" t="s">
        <v>2247</v>
      </c>
      <c r="E670" s="121" t="s">
        <v>1478</v>
      </c>
      <c r="F670" s="121">
        <v>4</v>
      </c>
      <c r="G670" s="974" t="s">
        <v>2248</v>
      </c>
      <c r="H670" s="121">
        <v>4500113151</v>
      </c>
      <c r="I670" s="121"/>
      <c r="J670" s="121"/>
      <c r="K670" s="977">
        <v>2.2519119999999997E-2</v>
      </c>
      <c r="L670" s="121"/>
      <c r="M670" s="977">
        <v>2.2519119999999997E-2</v>
      </c>
      <c r="N670" s="979"/>
    </row>
    <row r="671" spans="2:14" ht="28" x14ac:dyDescent="0.3">
      <c r="B671" s="973">
        <v>656</v>
      </c>
      <c r="C671" s="386" t="s">
        <v>1909</v>
      </c>
      <c r="D671" s="386" t="s">
        <v>2249</v>
      </c>
      <c r="E671" s="121" t="s">
        <v>1478</v>
      </c>
      <c r="F671" s="121">
        <v>3</v>
      </c>
      <c r="G671" s="974" t="s">
        <v>2250</v>
      </c>
      <c r="H671" s="121">
        <v>4500113202</v>
      </c>
      <c r="I671" s="121"/>
      <c r="J671" s="121"/>
      <c r="K671" s="977">
        <v>2.3458400000000001E-2</v>
      </c>
      <c r="L671" s="121"/>
      <c r="M671" s="977">
        <v>2.3458400000000001E-2</v>
      </c>
      <c r="N671" s="979"/>
    </row>
    <row r="672" spans="2:14" x14ac:dyDescent="0.3">
      <c r="B672" s="973">
        <v>657</v>
      </c>
      <c r="C672" s="386" t="s">
        <v>1909</v>
      </c>
      <c r="D672" s="386" t="s">
        <v>2251</v>
      </c>
      <c r="E672" s="121" t="s">
        <v>1478</v>
      </c>
      <c r="F672" s="121">
        <v>3</v>
      </c>
      <c r="G672" s="974" t="s">
        <v>2252</v>
      </c>
      <c r="H672" s="121">
        <v>4500113212</v>
      </c>
      <c r="I672" s="121"/>
      <c r="J672" s="121"/>
      <c r="K672" s="977">
        <v>1.239E-2</v>
      </c>
      <c r="L672" s="121"/>
      <c r="M672" s="977">
        <v>1.239E-2</v>
      </c>
      <c r="N672" s="979"/>
    </row>
    <row r="673" spans="2:14" x14ac:dyDescent="0.3">
      <c r="B673" s="973">
        <v>658</v>
      </c>
      <c r="C673" s="386" t="s">
        <v>1909</v>
      </c>
      <c r="D673" s="386" t="s">
        <v>2253</v>
      </c>
      <c r="E673" s="121" t="s">
        <v>1478</v>
      </c>
      <c r="F673" s="121">
        <v>4</v>
      </c>
      <c r="G673" s="974" t="s">
        <v>2252</v>
      </c>
      <c r="H673" s="121">
        <v>4500113216</v>
      </c>
      <c r="I673" s="121"/>
      <c r="J673" s="121"/>
      <c r="K673" s="977">
        <v>2.2385071999999999E-2</v>
      </c>
      <c r="L673" s="121"/>
      <c r="M673" s="977">
        <v>2.2385071999999999E-2</v>
      </c>
      <c r="N673" s="979"/>
    </row>
    <row r="674" spans="2:14" ht="28" x14ac:dyDescent="0.3">
      <c r="B674" s="973">
        <v>659</v>
      </c>
      <c r="C674" s="386" t="s">
        <v>1909</v>
      </c>
      <c r="D674" s="386" t="s">
        <v>2254</v>
      </c>
      <c r="E674" s="121" t="s">
        <v>1478</v>
      </c>
      <c r="F674" s="121">
        <v>3</v>
      </c>
      <c r="G674" s="974" t="s">
        <v>2252</v>
      </c>
      <c r="H674" s="121">
        <v>4500113217</v>
      </c>
      <c r="I674" s="121"/>
      <c r="J674" s="121"/>
      <c r="K674" s="977">
        <v>2.3210600000000001E-2</v>
      </c>
      <c r="L674" s="121"/>
      <c r="M674" s="977">
        <v>2.3210600000000001E-2</v>
      </c>
      <c r="N674" s="979"/>
    </row>
    <row r="675" spans="2:14" x14ac:dyDescent="0.3">
      <c r="B675" s="973">
        <v>660</v>
      </c>
      <c r="C675" s="386" t="s">
        <v>1909</v>
      </c>
      <c r="D675" s="386" t="s">
        <v>2255</v>
      </c>
      <c r="E675" s="121" t="s">
        <v>1478</v>
      </c>
      <c r="F675" s="121">
        <v>3</v>
      </c>
      <c r="G675" s="974" t="s">
        <v>2256</v>
      </c>
      <c r="H675" s="121">
        <v>4500113427</v>
      </c>
      <c r="I675" s="121"/>
      <c r="J675" s="121"/>
      <c r="K675" s="977">
        <v>1.7692919999999997E-2</v>
      </c>
      <c r="L675" s="121"/>
      <c r="M675" s="977">
        <v>1.7692919999999997E-2</v>
      </c>
      <c r="N675" s="979"/>
    </row>
    <row r="676" spans="2:14" ht="28" x14ac:dyDescent="0.3">
      <c r="B676" s="973">
        <v>661</v>
      </c>
      <c r="C676" s="386" t="s">
        <v>1927</v>
      </c>
      <c r="D676" s="386" t="s">
        <v>2257</v>
      </c>
      <c r="E676" s="121" t="s">
        <v>1478</v>
      </c>
      <c r="F676" s="121">
        <v>3</v>
      </c>
      <c r="G676" s="974" t="s">
        <v>2258</v>
      </c>
      <c r="H676" s="121">
        <v>4500113438</v>
      </c>
      <c r="I676" s="121"/>
      <c r="J676" s="121"/>
      <c r="K676" s="977">
        <v>2.2198868E-2</v>
      </c>
      <c r="L676" s="121"/>
      <c r="M676" s="977">
        <v>2.2198868E-2</v>
      </c>
      <c r="N676" s="979"/>
    </row>
    <row r="677" spans="2:14" x14ac:dyDescent="0.3">
      <c r="B677" s="973">
        <v>662</v>
      </c>
      <c r="C677" s="386" t="s">
        <v>1909</v>
      </c>
      <c r="D677" s="386" t="s">
        <v>2259</v>
      </c>
      <c r="E677" s="121" t="s">
        <v>1478</v>
      </c>
      <c r="F677" s="121"/>
      <c r="G677" s="974" t="s">
        <v>1366</v>
      </c>
      <c r="H677" s="121">
        <v>4500113374</v>
      </c>
      <c r="I677" s="121"/>
      <c r="J677" s="121"/>
      <c r="K677" s="977">
        <v>2.2300229999999997E-2</v>
      </c>
      <c r="L677" s="121"/>
      <c r="M677" s="977">
        <v>2.2300229999999997E-2</v>
      </c>
      <c r="N677" s="979"/>
    </row>
    <row r="678" spans="2:14" x14ac:dyDescent="0.3">
      <c r="B678" s="973">
        <v>663</v>
      </c>
      <c r="C678" s="386" t="s">
        <v>1927</v>
      </c>
      <c r="D678" s="386" t="s">
        <v>2260</v>
      </c>
      <c r="E678" s="121" t="s">
        <v>1478</v>
      </c>
      <c r="F678" s="121">
        <v>3</v>
      </c>
      <c r="G678" s="974" t="s">
        <v>2261</v>
      </c>
      <c r="H678" s="121">
        <v>4500113480</v>
      </c>
      <c r="I678" s="121"/>
      <c r="J678" s="121"/>
      <c r="K678" s="977">
        <v>2.2041573999999998E-2</v>
      </c>
      <c r="L678" s="121"/>
      <c r="M678" s="977">
        <v>2.2041573999999998E-2</v>
      </c>
      <c r="N678" s="979"/>
    </row>
    <row r="679" spans="2:14" ht="28" x14ac:dyDescent="0.3">
      <c r="B679" s="973">
        <v>664</v>
      </c>
      <c r="C679" s="386" t="s">
        <v>1909</v>
      </c>
      <c r="D679" s="386" t="s">
        <v>2262</v>
      </c>
      <c r="E679" s="121" t="s">
        <v>1483</v>
      </c>
      <c r="F679" s="121"/>
      <c r="G679" s="974" t="s">
        <v>2263</v>
      </c>
      <c r="H679" s="121">
        <v>4500113547</v>
      </c>
      <c r="I679" s="121"/>
      <c r="J679" s="121"/>
      <c r="K679" s="977">
        <v>2.9264E-3</v>
      </c>
      <c r="L679" s="121"/>
      <c r="M679" s="977">
        <v>2.9264E-3</v>
      </c>
      <c r="N679" s="979"/>
    </row>
    <row r="680" spans="2:14" x14ac:dyDescent="0.3">
      <c r="B680" s="973">
        <v>665</v>
      </c>
      <c r="C680" s="386" t="s">
        <v>1927</v>
      </c>
      <c r="D680" s="386" t="s">
        <v>2264</v>
      </c>
      <c r="E680" s="121" t="s">
        <v>1478</v>
      </c>
      <c r="F680" s="121">
        <v>4</v>
      </c>
      <c r="G680" s="974" t="s">
        <v>2265</v>
      </c>
      <c r="H680" s="121">
        <v>4500113634</v>
      </c>
      <c r="I680" s="121"/>
      <c r="J680" s="121"/>
      <c r="K680" s="977">
        <v>2.3534981999999999E-2</v>
      </c>
      <c r="L680" s="121"/>
      <c r="M680" s="977">
        <v>2.3534981999999999E-2</v>
      </c>
      <c r="N680" s="979"/>
    </row>
    <row r="681" spans="2:14" ht="28" x14ac:dyDescent="0.3">
      <c r="B681" s="973">
        <v>666</v>
      </c>
      <c r="C681" s="386" t="s">
        <v>1927</v>
      </c>
      <c r="D681" s="386" t="s">
        <v>2266</v>
      </c>
      <c r="E681" s="121" t="s">
        <v>1478</v>
      </c>
      <c r="F681" s="121">
        <v>3</v>
      </c>
      <c r="G681" s="974" t="s">
        <v>2267</v>
      </c>
      <c r="H681" s="121">
        <v>4500114559</v>
      </c>
      <c r="I681" s="121"/>
      <c r="J681" s="121"/>
      <c r="K681" s="977">
        <v>2.3086700000000002E-2</v>
      </c>
      <c r="L681" s="121"/>
      <c r="M681" s="977">
        <v>2.3086700000000002E-2</v>
      </c>
      <c r="N681" s="979"/>
    </row>
    <row r="682" spans="2:14" ht="28" x14ac:dyDescent="0.3">
      <c r="B682" s="973">
        <v>667</v>
      </c>
      <c r="C682" s="386" t="s">
        <v>1927</v>
      </c>
      <c r="D682" s="386" t="s">
        <v>2268</v>
      </c>
      <c r="E682" s="121" t="s">
        <v>1478</v>
      </c>
      <c r="F682" s="121">
        <v>4</v>
      </c>
      <c r="G682" s="974" t="s">
        <v>2267</v>
      </c>
      <c r="H682" s="121">
        <v>4500114561</v>
      </c>
      <c r="I682" s="121"/>
      <c r="J682" s="121"/>
      <c r="K682" s="977">
        <v>2.0064719999999998E-2</v>
      </c>
      <c r="L682" s="121"/>
      <c r="M682" s="977">
        <v>2.0064719999999998E-2</v>
      </c>
      <c r="N682" s="979"/>
    </row>
    <row r="683" spans="2:14" ht="28" x14ac:dyDescent="0.3">
      <c r="B683" s="973">
        <v>668</v>
      </c>
      <c r="C683" s="386" t="s">
        <v>1909</v>
      </c>
      <c r="D683" s="386" t="s">
        <v>2269</v>
      </c>
      <c r="E683" s="121" t="s">
        <v>1478</v>
      </c>
      <c r="F683" s="121">
        <v>3</v>
      </c>
      <c r="G683" s="974" t="s">
        <v>2267</v>
      </c>
      <c r="H683" s="121">
        <v>4500114560</v>
      </c>
      <c r="I683" s="121"/>
      <c r="J683" s="121"/>
      <c r="K683" s="977">
        <v>2.2307663999999998E-2</v>
      </c>
      <c r="L683" s="121"/>
      <c r="M683" s="977">
        <v>2.2307663999999998E-2</v>
      </c>
      <c r="N683" s="979"/>
    </row>
    <row r="684" spans="2:14" x14ac:dyDescent="0.3">
      <c r="B684" s="973">
        <v>669</v>
      </c>
      <c r="C684" s="386" t="s">
        <v>1927</v>
      </c>
      <c r="D684" s="386" t="s">
        <v>2270</v>
      </c>
      <c r="E684" s="121" t="s">
        <v>1478</v>
      </c>
      <c r="F684" s="121">
        <v>3</v>
      </c>
      <c r="G684" s="974" t="s">
        <v>2267</v>
      </c>
      <c r="H684" s="121">
        <v>4500114570</v>
      </c>
      <c r="I684" s="121"/>
      <c r="J684" s="121"/>
      <c r="K684" s="977">
        <v>2.3513151999999999E-2</v>
      </c>
      <c r="L684" s="121"/>
      <c r="M684" s="977">
        <v>2.3513151999999999E-2</v>
      </c>
      <c r="N684" s="979"/>
    </row>
    <row r="685" spans="2:14" ht="28" x14ac:dyDescent="0.3">
      <c r="B685" s="973">
        <v>670</v>
      </c>
      <c r="C685" s="386" t="s">
        <v>1909</v>
      </c>
      <c r="D685" s="386" t="s">
        <v>2271</v>
      </c>
      <c r="E685" s="121" t="s">
        <v>1478</v>
      </c>
      <c r="F685" s="121">
        <v>6</v>
      </c>
      <c r="G685" s="974" t="s">
        <v>2267</v>
      </c>
      <c r="H685" s="121">
        <v>4500114562</v>
      </c>
      <c r="I685" s="121"/>
      <c r="J685" s="121"/>
      <c r="K685" s="977">
        <v>2.0997391999999997E-2</v>
      </c>
      <c r="L685" s="121"/>
      <c r="M685" s="977">
        <v>2.0997391999999997E-2</v>
      </c>
      <c r="N685" s="979"/>
    </row>
    <row r="686" spans="2:14" x14ac:dyDescent="0.3">
      <c r="B686" s="973">
        <v>671</v>
      </c>
      <c r="C686" s="386" t="s">
        <v>1927</v>
      </c>
      <c r="D686" s="386" t="s">
        <v>2272</v>
      </c>
      <c r="E686" s="121" t="s">
        <v>1478</v>
      </c>
      <c r="F686" s="121">
        <v>4</v>
      </c>
      <c r="G686" s="974" t="s">
        <v>2267</v>
      </c>
      <c r="H686" s="121">
        <v>4500114573</v>
      </c>
      <c r="I686" s="121"/>
      <c r="J686" s="121"/>
      <c r="K686" s="977">
        <v>1.750707E-2</v>
      </c>
      <c r="L686" s="121"/>
      <c r="M686" s="977">
        <v>1.750707E-2</v>
      </c>
      <c r="N686" s="979"/>
    </row>
    <row r="687" spans="2:14" ht="28" x14ac:dyDescent="0.3">
      <c r="B687" s="973">
        <v>672</v>
      </c>
      <c r="C687" s="386" t="s">
        <v>1927</v>
      </c>
      <c r="D687" s="386" t="s">
        <v>2273</v>
      </c>
      <c r="E687" s="121" t="s">
        <v>1478</v>
      </c>
      <c r="F687" s="121">
        <v>3</v>
      </c>
      <c r="G687" s="974" t="s">
        <v>2274</v>
      </c>
      <c r="H687" s="121">
        <v>4500114581</v>
      </c>
      <c r="I687" s="121"/>
      <c r="J687" s="121"/>
      <c r="K687" s="977">
        <v>9.8943E-3</v>
      </c>
      <c r="L687" s="121"/>
      <c r="M687" s="977">
        <v>9.8943E-3</v>
      </c>
      <c r="N687" s="979"/>
    </row>
    <row r="688" spans="2:14" ht="28" x14ac:dyDescent="0.3">
      <c r="B688" s="973">
        <v>673</v>
      </c>
      <c r="C688" s="386" t="s">
        <v>1927</v>
      </c>
      <c r="D688" s="386" t="s">
        <v>2275</v>
      </c>
      <c r="E688" s="121" t="s">
        <v>1478</v>
      </c>
      <c r="F688" s="121">
        <v>4</v>
      </c>
      <c r="G688" s="974" t="s">
        <v>2274</v>
      </c>
      <c r="H688" s="121">
        <v>4500114619</v>
      </c>
      <c r="I688" s="121"/>
      <c r="J688" s="121"/>
      <c r="K688" s="977">
        <v>2.3487428000000001E-2</v>
      </c>
      <c r="L688" s="121"/>
      <c r="M688" s="977">
        <v>2.3487428000000001E-2</v>
      </c>
      <c r="N688" s="979"/>
    </row>
    <row r="689" spans="2:14" ht="28" x14ac:dyDescent="0.3">
      <c r="B689" s="973">
        <v>674</v>
      </c>
      <c r="C689" s="386" t="s">
        <v>1927</v>
      </c>
      <c r="D689" s="386" t="s">
        <v>2276</v>
      </c>
      <c r="E689" s="121" t="s">
        <v>1478</v>
      </c>
      <c r="F689" s="121">
        <v>5</v>
      </c>
      <c r="G689" s="974" t="s">
        <v>2274</v>
      </c>
      <c r="H689" s="121">
        <v>4500114580</v>
      </c>
      <c r="I689" s="121"/>
      <c r="J689" s="121"/>
      <c r="K689" s="977">
        <v>2.19834E-2</v>
      </c>
      <c r="L689" s="121"/>
      <c r="M689" s="977">
        <v>2.19834E-2</v>
      </c>
      <c r="N689" s="979"/>
    </row>
    <row r="690" spans="2:14" ht="28" x14ac:dyDescent="0.3">
      <c r="B690" s="973">
        <v>675</v>
      </c>
      <c r="C690" s="386" t="s">
        <v>1927</v>
      </c>
      <c r="D690" s="386" t="s">
        <v>2277</v>
      </c>
      <c r="E690" s="121" t="s">
        <v>1478</v>
      </c>
      <c r="F690" s="121">
        <v>3</v>
      </c>
      <c r="G690" s="974" t="s">
        <v>2274</v>
      </c>
      <c r="H690" s="121">
        <v>4500114642</v>
      </c>
      <c r="I690" s="121"/>
      <c r="J690" s="121"/>
      <c r="K690" s="977">
        <v>2.3526367999999999E-2</v>
      </c>
      <c r="L690" s="121"/>
      <c r="M690" s="977">
        <v>2.3526367999999999E-2</v>
      </c>
      <c r="N690" s="979"/>
    </row>
    <row r="691" spans="2:14" ht="28" x14ac:dyDescent="0.3">
      <c r="B691" s="973">
        <v>676</v>
      </c>
      <c r="C691" s="386" t="s">
        <v>1909</v>
      </c>
      <c r="D691" s="386" t="s">
        <v>2278</v>
      </c>
      <c r="E691" s="121" t="s">
        <v>1483</v>
      </c>
      <c r="F691" s="121"/>
      <c r="G691" s="974" t="s">
        <v>2274</v>
      </c>
      <c r="H691" s="121">
        <v>4500114639</v>
      </c>
      <c r="I691" s="121"/>
      <c r="J691" s="121"/>
      <c r="K691" s="977">
        <v>2.9200279999999999E-3</v>
      </c>
      <c r="L691" s="121"/>
      <c r="M691" s="977">
        <v>2.9200279999999999E-3</v>
      </c>
      <c r="N691" s="979"/>
    </row>
    <row r="692" spans="2:14" x14ac:dyDescent="0.3">
      <c r="B692" s="973">
        <v>677</v>
      </c>
      <c r="C692" s="386" t="s">
        <v>1909</v>
      </c>
      <c r="D692" s="386" t="s">
        <v>2279</v>
      </c>
      <c r="E692" s="121" t="s">
        <v>1478</v>
      </c>
      <c r="F692" s="121"/>
      <c r="G692" s="974" t="s">
        <v>2280</v>
      </c>
      <c r="H692" s="121">
        <v>4500114882</v>
      </c>
      <c r="I692" s="121"/>
      <c r="J692" s="121"/>
      <c r="K692" s="977">
        <v>3.5060159999999998E-3</v>
      </c>
      <c r="L692" s="121"/>
      <c r="M692" s="977">
        <v>3.5060159999999998E-3</v>
      </c>
      <c r="N692" s="979"/>
    </row>
    <row r="693" spans="2:14" x14ac:dyDescent="0.3">
      <c r="B693" s="973">
        <v>678</v>
      </c>
      <c r="C693" s="386" t="s">
        <v>1909</v>
      </c>
      <c r="D693" s="386" t="s">
        <v>2281</v>
      </c>
      <c r="E693" s="121" t="s">
        <v>1483</v>
      </c>
      <c r="F693" s="121"/>
      <c r="G693" s="974" t="s">
        <v>2280</v>
      </c>
      <c r="H693" s="121">
        <v>4500114886</v>
      </c>
      <c r="I693" s="121"/>
      <c r="J693" s="121"/>
      <c r="K693" s="977">
        <v>2.5233119999999998E-3</v>
      </c>
      <c r="L693" s="121"/>
      <c r="M693" s="977">
        <v>2.5233119999999998E-3</v>
      </c>
      <c r="N693" s="979"/>
    </row>
    <row r="694" spans="2:14" ht="28" x14ac:dyDescent="0.3">
      <c r="B694" s="973">
        <v>679</v>
      </c>
      <c r="C694" s="386" t="s">
        <v>1909</v>
      </c>
      <c r="D694" s="386" t="s">
        <v>2282</v>
      </c>
      <c r="E694" s="121" t="s">
        <v>1478</v>
      </c>
      <c r="F694" s="121"/>
      <c r="G694" s="974" t="s">
        <v>2280</v>
      </c>
      <c r="H694" s="121">
        <v>4500114897</v>
      </c>
      <c r="I694" s="121"/>
      <c r="J694" s="121"/>
      <c r="K694" s="977">
        <v>2.3234435999999997E-2</v>
      </c>
      <c r="L694" s="121"/>
      <c r="M694" s="977">
        <v>2.3234435999999997E-2</v>
      </c>
      <c r="N694" s="979"/>
    </row>
    <row r="695" spans="2:14" ht="28" x14ac:dyDescent="0.3">
      <c r="B695" s="973">
        <v>680</v>
      </c>
      <c r="C695" s="386" t="s">
        <v>1909</v>
      </c>
      <c r="D695" s="386" t="s">
        <v>2283</v>
      </c>
      <c r="E695" s="121" t="s">
        <v>1483</v>
      </c>
      <c r="F695" s="121"/>
      <c r="G695" s="974" t="s">
        <v>2284</v>
      </c>
      <c r="H695" s="121">
        <v>4500114885</v>
      </c>
      <c r="I695" s="121"/>
      <c r="J695" s="121"/>
      <c r="K695" s="977">
        <v>2.7812599999999998E-3</v>
      </c>
      <c r="L695" s="121"/>
      <c r="M695" s="977">
        <v>2.7812599999999998E-3</v>
      </c>
      <c r="N695" s="979"/>
    </row>
    <row r="696" spans="2:14" ht="28" x14ac:dyDescent="0.3">
      <c r="B696" s="973">
        <v>681</v>
      </c>
      <c r="C696" s="386" t="s">
        <v>1927</v>
      </c>
      <c r="D696" s="386" t="s">
        <v>2285</v>
      </c>
      <c r="E696" s="121" t="s">
        <v>1478</v>
      </c>
      <c r="F696" s="121">
        <v>3</v>
      </c>
      <c r="G696" s="974" t="s">
        <v>2286</v>
      </c>
      <c r="H696" s="121">
        <v>4500115095</v>
      </c>
      <c r="I696" s="121"/>
      <c r="J696" s="121"/>
      <c r="K696" s="977">
        <v>1.31924E-2</v>
      </c>
      <c r="L696" s="121"/>
      <c r="M696" s="977">
        <v>1.31924E-2</v>
      </c>
      <c r="N696" s="979"/>
    </row>
    <row r="697" spans="2:14" x14ac:dyDescent="0.3">
      <c r="B697" s="973">
        <v>682</v>
      </c>
      <c r="C697" s="386" t="s">
        <v>1927</v>
      </c>
      <c r="D697" s="386" t="s">
        <v>2287</v>
      </c>
      <c r="E697" s="121" t="s">
        <v>1478</v>
      </c>
      <c r="F697" s="121">
        <v>3</v>
      </c>
      <c r="G697" s="974" t="s">
        <v>2286</v>
      </c>
      <c r="H697" s="121">
        <v>4500115093</v>
      </c>
      <c r="I697" s="121"/>
      <c r="J697" s="121"/>
      <c r="K697" s="977">
        <v>2.2963744000000001E-2</v>
      </c>
      <c r="L697" s="121"/>
      <c r="M697" s="977">
        <v>2.2963744000000001E-2</v>
      </c>
      <c r="N697" s="979"/>
    </row>
    <row r="698" spans="2:14" x14ac:dyDescent="0.3">
      <c r="B698" s="973">
        <v>683</v>
      </c>
      <c r="C698" s="386" t="s">
        <v>1927</v>
      </c>
      <c r="D698" s="386" t="s">
        <v>2288</v>
      </c>
      <c r="E698" s="121" t="s">
        <v>1478</v>
      </c>
      <c r="F698" s="121">
        <v>3</v>
      </c>
      <c r="G698" s="974" t="s">
        <v>2286</v>
      </c>
      <c r="H698" s="121">
        <v>4500115092</v>
      </c>
      <c r="I698" s="121"/>
      <c r="J698" s="121"/>
      <c r="K698" s="977">
        <v>2.2626027999999999E-2</v>
      </c>
      <c r="L698" s="121"/>
      <c r="M698" s="977">
        <v>2.2626027999999999E-2</v>
      </c>
      <c r="N698" s="979"/>
    </row>
    <row r="699" spans="2:14" ht="28" x14ac:dyDescent="0.3">
      <c r="B699" s="973">
        <v>684</v>
      </c>
      <c r="C699" s="386" t="s">
        <v>1909</v>
      </c>
      <c r="D699" s="386" t="s">
        <v>2289</v>
      </c>
      <c r="E699" s="121" t="s">
        <v>1478</v>
      </c>
      <c r="F699" s="121">
        <v>3</v>
      </c>
      <c r="G699" s="974" t="s">
        <v>2290</v>
      </c>
      <c r="H699" s="121">
        <v>4500114891</v>
      </c>
      <c r="I699" s="121"/>
      <c r="J699" s="121"/>
      <c r="K699" s="977">
        <v>5.6333317999999993E-2</v>
      </c>
      <c r="L699" s="121"/>
      <c r="M699" s="977">
        <v>5.6333317999999993E-2</v>
      </c>
      <c r="N699" s="979"/>
    </row>
    <row r="700" spans="2:14" ht="28" x14ac:dyDescent="0.3">
      <c r="B700" s="973">
        <v>685</v>
      </c>
      <c r="C700" s="386" t="s">
        <v>1909</v>
      </c>
      <c r="D700" s="386" t="s">
        <v>2291</v>
      </c>
      <c r="E700" s="121" t="s">
        <v>1478</v>
      </c>
      <c r="F700" s="121">
        <v>4</v>
      </c>
      <c r="G700" s="974" t="s">
        <v>2292</v>
      </c>
      <c r="H700" s="121">
        <v>4500115153</v>
      </c>
      <c r="I700" s="121"/>
      <c r="J700" s="121"/>
      <c r="K700" s="977">
        <v>2.1620195999999998E-2</v>
      </c>
      <c r="L700" s="121"/>
      <c r="M700" s="977">
        <v>2.1620195999999998E-2</v>
      </c>
      <c r="N700" s="979"/>
    </row>
    <row r="701" spans="2:14" ht="28" x14ac:dyDescent="0.3">
      <c r="B701" s="973">
        <v>686</v>
      </c>
      <c r="C701" s="386" t="s">
        <v>1927</v>
      </c>
      <c r="D701" s="386" t="s">
        <v>2293</v>
      </c>
      <c r="E701" s="121" t="s">
        <v>1478</v>
      </c>
      <c r="F701" s="121">
        <v>4</v>
      </c>
      <c r="G701" s="974" t="s">
        <v>1362</v>
      </c>
      <c r="H701" s="121">
        <v>4500115152</v>
      </c>
      <c r="I701" s="121"/>
      <c r="J701" s="121"/>
      <c r="K701" s="977">
        <v>2.3086700000000002E-2</v>
      </c>
      <c r="L701" s="121"/>
      <c r="M701" s="977">
        <v>2.3086700000000002E-2</v>
      </c>
      <c r="N701" s="979"/>
    </row>
    <row r="702" spans="2:14" x14ac:dyDescent="0.3">
      <c r="B702" s="973">
        <v>687</v>
      </c>
      <c r="C702" s="386" t="s">
        <v>1927</v>
      </c>
      <c r="D702" s="386" t="s">
        <v>2294</v>
      </c>
      <c r="E702" s="121" t="s">
        <v>1478</v>
      </c>
      <c r="F702" s="121">
        <v>4</v>
      </c>
      <c r="G702" s="974" t="s">
        <v>1362</v>
      </c>
      <c r="H702" s="121">
        <v>4500115145</v>
      </c>
      <c r="I702" s="121"/>
      <c r="J702" s="121"/>
      <c r="K702" s="977">
        <v>2.3119858E-2</v>
      </c>
      <c r="L702" s="121"/>
      <c r="M702" s="977">
        <v>2.3119858E-2</v>
      </c>
      <c r="N702" s="979"/>
    </row>
    <row r="703" spans="2:14" ht="28" x14ac:dyDescent="0.3">
      <c r="B703" s="973">
        <v>688</v>
      </c>
      <c r="C703" s="386" t="s">
        <v>1909</v>
      </c>
      <c r="D703" s="386" t="s">
        <v>2295</v>
      </c>
      <c r="E703" s="121" t="s">
        <v>1478</v>
      </c>
      <c r="F703" s="121">
        <v>4</v>
      </c>
      <c r="G703" s="974" t="s">
        <v>2296</v>
      </c>
      <c r="H703" s="121">
        <v>4500115218</v>
      </c>
      <c r="I703" s="121"/>
      <c r="J703" s="121"/>
      <c r="K703" s="977">
        <v>1.2517439999999999E-2</v>
      </c>
      <c r="L703" s="121"/>
      <c r="M703" s="977">
        <v>1.2517439999999999E-2</v>
      </c>
      <c r="N703" s="979"/>
    </row>
    <row r="704" spans="2:14" x14ac:dyDescent="0.3">
      <c r="B704" s="973">
        <v>689</v>
      </c>
      <c r="C704" s="386" t="s">
        <v>1927</v>
      </c>
      <c r="D704" s="386" t="s">
        <v>2297</v>
      </c>
      <c r="E704" s="121" t="s">
        <v>1478</v>
      </c>
      <c r="F704" s="121">
        <v>3</v>
      </c>
      <c r="G704" s="974" t="s">
        <v>2296</v>
      </c>
      <c r="H704" s="121">
        <v>4500115216</v>
      </c>
      <c r="I704" s="121"/>
      <c r="J704" s="121"/>
      <c r="K704" s="977">
        <v>5.8926816400000004E-3</v>
      </c>
      <c r="L704" s="121"/>
      <c r="M704" s="977">
        <v>5.8926816400000004E-3</v>
      </c>
      <c r="N704" s="979"/>
    </row>
    <row r="705" spans="2:14" ht="28" x14ac:dyDescent="0.3">
      <c r="B705" s="973">
        <v>690</v>
      </c>
      <c r="C705" s="386" t="s">
        <v>1927</v>
      </c>
      <c r="D705" s="386" t="s">
        <v>2298</v>
      </c>
      <c r="E705" s="121" t="s">
        <v>1478</v>
      </c>
      <c r="F705" s="121">
        <v>4</v>
      </c>
      <c r="G705" s="974" t="s">
        <v>2296</v>
      </c>
      <c r="H705" s="121">
        <v>4500115217</v>
      </c>
      <c r="I705" s="121"/>
      <c r="J705" s="121"/>
      <c r="K705" s="977">
        <v>2.1707279999999999E-2</v>
      </c>
      <c r="L705" s="121"/>
      <c r="M705" s="977">
        <v>2.1707279999999999E-2</v>
      </c>
      <c r="N705" s="979"/>
    </row>
    <row r="706" spans="2:14" ht="28" x14ac:dyDescent="0.3">
      <c r="B706" s="973">
        <v>691</v>
      </c>
      <c r="C706" s="386" t="s">
        <v>1927</v>
      </c>
      <c r="D706" s="386" t="s">
        <v>2299</v>
      </c>
      <c r="E706" s="121" t="s">
        <v>1478</v>
      </c>
      <c r="F706" s="121">
        <v>6</v>
      </c>
      <c r="G706" s="974" t="s">
        <v>2296</v>
      </c>
      <c r="H706" s="121">
        <v>4500115214</v>
      </c>
      <c r="I706" s="121"/>
      <c r="J706" s="121"/>
      <c r="K706" s="977">
        <v>9.3314399999999999E-3</v>
      </c>
      <c r="L706" s="121"/>
      <c r="M706" s="977">
        <v>9.3314399999999999E-3</v>
      </c>
      <c r="N706" s="979"/>
    </row>
    <row r="707" spans="2:14" ht="28" x14ac:dyDescent="0.3">
      <c r="B707" s="973">
        <v>692</v>
      </c>
      <c r="C707" s="386" t="s">
        <v>1927</v>
      </c>
      <c r="D707" s="386" t="s">
        <v>2300</v>
      </c>
      <c r="E707" s="121" t="s">
        <v>1478</v>
      </c>
      <c r="F707" s="121">
        <v>3</v>
      </c>
      <c r="G707" s="974" t="s">
        <v>2296</v>
      </c>
      <c r="H707" s="121">
        <v>4500115213</v>
      </c>
      <c r="I707" s="121"/>
      <c r="J707" s="121"/>
      <c r="K707" s="977">
        <v>2.3436806000000001E-2</v>
      </c>
      <c r="L707" s="121"/>
      <c r="M707" s="977">
        <v>2.3436806000000001E-2</v>
      </c>
      <c r="N707" s="979"/>
    </row>
    <row r="708" spans="2:14" ht="28" x14ac:dyDescent="0.3">
      <c r="B708" s="973">
        <v>693</v>
      </c>
      <c r="C708" s="386" t="s">
        <v>1927</v>
      </c>
      <c r="D708" s="386" t="s">
        <v>2301</v>
      </c>
      <c r="E708" s="121" t="s">
        <v>1478</v>
      </c>
      <c r="F708" s="121">
        <v>3</v>
      </c>
      <c r="G708" s="974" t="s">
        <v>2302</v>
      </c>
      <c r="H708" s="121">
        <v>4500115233</v>
      </c>
      <c r="I708" s="121"/>
      <c r="J708" s="121"/>
      <c r="K708" s="977">
        <v>2.3283287999999999E-2</v>
      </c>
      <c r="L708" s="121"/>
      <c r="M708" s="977">
        <v>2.3283287999999999E-2</v>
      </c>
      <c r="N708" s="979"/>
    </row>
    <row r="709" spans="2:14" x14ac:dyDescent="0.3">
      <c r="B709" s="973">
        <v>694</v>
      </c>
      <c r="C709" s="386" t="s">
        <v>1927</v>
      </c>
      <c r="D709" s="386" t="s">
        <v>2303</v>
      </c>
      <c r="E709" s="121" t="s">
        <v>1478</v>
      </c>
      <c r="F709" s="121">
        <v>5</v>
      </c>
      <c r="G709" s="974" t="s">
        <v>2302</v>
      </c>
      <c r="H709" s="121">
        <v>4500115232</v>
      </c>
      <c r="I709" s="121"/>
      <c r="J709" s="121"/>
      <c r="K709" s="977">
        <v>2.2863915999999998E-2</v>
      </c>
      <c r="L709" s="121"/>
      <c r="M709" s="977">
        <v>2.2863915999999998E-2</v>
      </c>
      <c r="N709" s="979"/>
    </row>
    <row r="710" spans="2:14" x14ac:dyDescent="0.3">
      <c r="B710" s="973">
        <v>695</v>
      </c>
      <c r="C710" s="386" t="s">
        <v>1927</v>
      </c>
      <c r="D710" s="386" t="s">
        <v>2304</v>
      </c>
      <c r="E710" s="121" t="s">
        <v>1478</v>
      </c>
      <c r="F710" s="121"/>
      <c r="G710" s="974" t="s">
        <v>2302</v>
      </c>
      <c r="H710" s="121">
        <v>4500115234</v>
      </c>
      <c r="I710" s="121"/>
      <c r="J710" s="121"/>
      <c r="K710" s="977">
        <v>1.8039839999999998E-2</v>
      </c>
      <c r="L710" s="121"/>
      <c r="M710" s="977">
        <v>1.8039839999999998E-2</v>
      </c>
      <c r="N710" s="979"/>
    </row>
    <row r="711" spans="2:14" x14ac:dyDescent="0.3">
      <c r="B711" s="973">
        <v>696</v>
      </c>
      <c r="C711" s="386" t="s">
        <v>1927</v>
      </c>
      <c r="D711" s="386" t="s">
        <v>2305</v>
      </c>
      <c r="E711" s="121" t="s">
        <v>1478</v>
      </c>
      <c r="F711" s="121">
        <v>4</v>
      </c>
      <c r="G711" s="974" t="s">
        <v>2306</v>
      </c>
      <c r="H711" s="121">
        <v>4500115267</v>
      </c>
      <c r="I711" s="121"/>
      <c r="J711" s="121"/>
      <c r="K711" s="977">
        <v>2.1804629999999998E-2</v>
      </c>
      <c r="L711" s="121"/>
      <c r="M711" s="977">
        <v>2.1804629999999998E-2</v>
      </c>
      <c r="N711" s="979"/>
    </row>
    <row r="712" spans="2:14" ht="28" x14ac:dyDescent="0.3">
      <c r="B712" s="973">
        <v>697</v>
      </c>
      <c r="C712" s="386" t="s">
        <v>1909</v>
      </c>
      <c r="D712" s="386" t="s">
        <v>2307</v>
      </c>
      <c r="E712" s="121" t="s">
        <v>1478</v>
      </c>
      <c r="F712" s="121">
        <v>3</v>
      </c>
      <c r="G712" s="974" t="s">
        <v>2308</v>
      </c>
      <c r="H712" s="121">
        <v>4500115304</v>
      </c>
      <c r="I712" s="121"/>
      <c r="J712" s="121"/>
      <c r="K712" s="977">
        <v>2.2275567999999999E-2</v>
      </c>
      <c r="L712" s="121"/>
      <c r="M712" s="977">
        <v>2.2275567999999999E-2</v>
      </c>
      <c r="N712" s="979"/>
    </row>
    <row r="713" spans="2:14" x14ac:dyDescent="0.3">
      <c r="B713" s="973">
        <v>698</v>
      </c>
      <c r="C713" s="386" t="s">
        <v>1927</v>
      </c>
      <c r="D713" s="386" t="s">
        <v>2309</v>
      </c>
      <c r="E713" s="121" t="s">
        <v>1478</v>
      </c>
      <c r="F713" s="121">
        <v>4</v>
      </c>
      <c r="G713" s="974" t="s">
        <v>2310</v>
      </c>
      <c r="H713" s="121">
        <v>4500115391</v>
      </c>
      <c r="I713" s="121"/>
      <c r="J713" s="121"/>
      <c r="K713" s="977">
        <v>1.7995000000000001E-2</v>
      </c>
      <c r="L713" s="121"/>
      <c r="M713" s="977">
        <v>1.7995000000000001E-2</v>
      </c>
      <c r="N713" s="979"/>
    </row>
    <row r="714" spans="2:14" x14ac:dyDescent="0.3">
      <c r="B714" s="973">
        <v>699</v>
      </c>
      <c r="C714" s="386" t="s">
        <v>1927</v>
      </c>
      <c r="D714" s="386" t="s">
        <v>2311</v>
      </c>
      <c r="E714" s="121" t="s">
        <v>1478</v>
      </c>
      <c r="F714" s="121">
        <v>4</v>
      </c>
      <c r="G714" s="974" t="s">
        <v>2310</v>
      </c>
      <c r="H714" s="121">
        <v>4500115389</v>
      </c>
      <c r="I714" s="121"/>
      <c r="J714" s="121"/>
      <c r="K714" s="977">
        <v>2.2347312000000001E-2</v>
      </c>
      <c r="L714" s="121"/>
      <c r="M714" s="977">
        <v>2.2347312000000001E-2</v>
      </c>
      <c r="N714" s="979"/>
    </row>
    <row r="715" spans="2:14" ht="28" x14ac:dyDescent="0.3">
      <c r="B715" s="973">
        <v>700</v>
      </c>
      <c r="C715" s="386" t="s">
        <v>1909</v>
      </c>
      <c r="D715" s="386" t="s">
        <v>2312</v>
      </c>
      <c r="E715" s="121" t="s">
        <v>1478</v>
      </c>
      <c r="F715" s="121">
        <v>3</v>
      </c>
      <c r="G715" s="974" t="s">
        <v>2310</v>
      </c>
      <c r="H715" s="121">
        <v>4500115390</v>
      </c>
      <c r="I715" s="121"/>
      <c r="J715" s="121"/>
      <c r="K715" s="977">
        <v>2.0616959999999997E-2</v>
      </c>
      <c r="L715" s="121"/>
      <c r="M715" s="977">
        <v>2.0616959999999997E-2</v>
      </c>
      <c r="N715" s="979"/>
    </row>
    <row r="716" spans="2:14" ht="28" x14ac:dyDescent="0.3">
      <c r="B716" s="973">
        <v>701</v>
      </c>
      <c r="C716" s="386" t="s">
        <v>1927</v>
      </c>
      <c r="D716" s="386" t="s">
        <v>2313</v>
      </c>
      <c r="E716" s="121" t="s">
        <v>1478</v>
      </c>
      <c r="F716" s="121">
        <v>4</v>
      </c>
      <c r="G716" s="974" t="s">
        <v>2314</v>
      </c>
      <c r="H716" s="121">
        <v>4500115467</v>
      </c>
      <c r="I716" s="121"/>
      <c r="J716" s="121"/>
      <c r="K716" s="977">
        <v>2.3420875999999997E-2</v>
      </c>
      <c r="L716" s="121"/>
      <c r="M716" s="977">
        <v>2.3420875999999997E-2</v>
      </c>
      <c r="N716" s="979"/>
    </row>
    <row r="717" spans="2:14" ht="28" x14ac:dyDescent="0.3">
      <c r="B717" s="973">
        <v>702</v>
      </c>
      <c r="C717" s="386" t="s">
        <v>1927</v>
      </c>
      <c r="D717" s="386" t="s">
        <v>2315</v>
      </c>
      <c r="E717" s="121" t="s">
        <v>1478</v>
      </c>
      <c r="F717" s="121">
        <v>4</v>
      </c>
      <c r="G717" s="974" t="s">
        <v>2314</v>
      </c>
      <c r="H717" s="121">
        <v>4500115465</v>
      </c>
      <c r="I717" s="121"/>
      <c r="J717" s="121"/>
      <c r="K717" s="977">
        <v>2.3082097999999999E-2</v>
      </c>
      <c r="L717" s="121"/>
      <c r="M717" s="977">
        <v>2.3082097999999999E-2</v>
      </c>
      <c r="N717" s="979"/>
    </row>
    <row r="718" spans="2:14" x14ac:dyDescent="0.3">
      <c r="B718" s="973">
        <v>703</v>
      </c>
      <c r="C718" s="386" t="s">
        <v>1909</v>
      </c>
      <c r="D718" s="386" t="s">
        <v>2316</v>
      </c>
      <c r="E718" s="121" t="s">
        <v>1478</v>
      </c>
      <c r="F718" s="121">
        <v>4</v>
      </c>
      <c r="G718" s="974" t="s">
        <v>2314</v>
      </c>
      <c r="H718" s="121">
        <v>4500115464</v>
      </c>
      <c r="I718" s="121"/>
      <c r="J718" s="121"/>
      <c r="K718" s="977">
        <v>1.889888E-2</v>
      </c>
      <c r="L718" s="121"/>
      <c r="M718" s="977">
        <v>1.889888E-2</v>
      </c>
      <c r="N718" s="979"/>
    </row>
    <row r="719" spans="2:14" ht="28" x14ac:dyDescent="0.3">
      <c r="B719" s="973">
        <v>704</v>
      </c>
      <c r="C719" s="386" t="s">
        <v>1909</v>
      </c>
      <c r="D719" s="386" t="s">
        <v>2317</v>
      </c>
      <c r="E719" s="121" t="s">
        <v>1478</v>
      </c>
      <c r="F719" s="121"/>
      <c r="G719" s="974" t="s">
        <v>2318</v>
      </c>
      <c r="H719" s="121">
        <v>4500115507</v>
      </c>
      <c r="I719" s="121"/>
      <c r="J719" s="121"/>
      <c r="K719" s="977">
        <v>2.1031375999999997E-2</v>
      </c>
      <c r="L719" s="121"/>
      <c r="M719" s="977">
        <v>2.1031375999999997E-2</v>
      </c>
      <c r="N719" s="979"/>
    </row>
    <row r="720" spans="2:14" ht="28" x14ac:dyDescent="0.3">
      <c r="B720" s="973">
        <v>705</v>
      </c>
      <c r="C720" s="386" t="s">
        <v>1927</v>
      </c>
      <c r="D720" s="386" t="s">
        <v>2319</v>
      </c>
      <c r="E720" s="121" t="s">
        <v>1478</v>
      </c>
      <c r="F720" s="121">
        <v>5</v>
      </c>
      <c r="G720" s="974" t="s">
        <v>2318</v>
      </c>
      <c r="H720" s="121">
        <v>4500115483</v>
      </c>
      <c r="I720" s="121"/>
      <c r="J720" s="121"/>
      <c r="K720" s="977">
        <v>1.97886E-2</v>
      </c>
      <c r="L720" s="121"/>
      <c r="M720" s="977">
        <v>1.97886E-2</v>
      </c>
      <c r="N720" s="979"/>
    </row>
    <row r="721" spans="2:14" x14ac:dyDescent="0.3">
      <c r="B721" s="973">
        <v>706</v>
      </c>
      <c r="C721" s="386" t="s">
        <v>1909</v>
      </c>
      <c r="D721" s="386" t="s">
        <v>2320</v>
      </c>
      <c r="E721" s="121" t="s">
        <v>1478</v>
      </c>
      <c r="F721" s="121">
        <v>4</v>
      </c>
      <c r="G721" s="974" t="s">
        <v>2321</v>
      </c>
      <c r="H721" s="121">
        <v>4500115660</v>
      </c>
      <c r="I721" s="121"/>
      <c r="J721" s="121"/>
      <c r="K721" s="977">
        <v>1.5110135999999998E-2</v>
      </c>
      <c r="L721" s="121"/>
      <c r="M721" s="977">
        <v>1.5110135999999998E-2</v>
      </c>
      <c r="N721" s="979"/>
    </row>
    <row r="722" spans="2:14" x14ac:dyDescent="0.3">
      <c r="B722" s="973">
        <v>707</v>
      </c>
      <c r="C722" s="386" t="s">
        <v>1927</v>
      </c>
      <c r="D722" s="386" t="s">
        <v>2322</v>
      </c>
      <c r="E722" s="121" t="s">
        <v>1478</v>
      </c>
      <c r="F722" s="121">
        <v>3</v>
      </c>
      <c r="G722" s="974" t="s">
        <v>2321</v>
      </c>
      <c r="H722" s="121">
        <v>4500115657</v>
      </c>
      <c r="I722" s="121"/>
      <c r="J722" s="121"/>
      <c r="K722" s="977">
        <v>2.2478999999999999E-2</v>
      </c>
      <c r="L722" s="121"/>
      <c r="M722" s="977">
        <v>2.2478999999999999E-2</v>
      </c>
      <c r="N722" s="979"/>
    </row>
    <row r="723" spans="2:14" x14ac:dyDescent="0.3">
      <c r="B723" s="973">
        <v>708</v>
      </c>
      <c r="C723" s="386" t="s">
        <v>1927</v>
      </c>
      <c r="D723" s="386" t="s">
        <v>2323</v>
      </c>
      <c r="E723" s="121" t="s">
        <v>1478</v>
      </c>
      <c r="F723" s="121">
        <v>4</v>
      </c>
      <c r="G723" s="974" t="s">
        <v>2321</v>
      </c>
      <c r="H723" s="121">
        <v>4500115661</v>
      </c>
      <c r="I723" s="121"/>
      <c r="J723" s="121"/>
      <c r="K723" s="977">
        <v>2.16294E-2</v>
      </c>
      <c r="L723" s="121"/>
      <c r="M723" s="977">
        <v>2.16294E-2</v>
      </c>
      <c r="N723" s="979"/>
    </row>
    <row r="724" spans="2:14" x14ac:dyDescent="0.3">
      <c r="B724" s="973">
        <v>709</v>
      </c>
      <c r="C724" s="386" t="s">
        <v>1927</v>
      </c>
      <c r="D724" s="386" t="s">
        <v>2324</v>
      </c>
      <c r="E724" s="121" t="s">
        <v>1478</v>
      </c>
      <c r="F724" s="121">
        <v>3</v>
      </c>
      <c r="G724" s="974" t="s">
        <v>2325</v>
      </c>
      <c r="H724" s="121">
        <v>4500115658</v>
      </c>
      <c r="I724" s="121"/>
      <c r="J724" s="121"/>
      <c r="K724" s="977">
        <v>2.1939267999999998E-2</v>
      </c>
      <c r="L724" s="121"/>
      <c r="M724" s="977">
        <v>2.1939267999999998E-2</v>
      </c>
      <c r="N724" s="979"/>
    </row>
    <row r="725" spans="2:14" ht="28" x14ac:dyDescent="0.3">
      <c r="B725" s="973">
        <v>710</v>
      </c>
      <c r="C725" s="386" t="s">
        <v>1927</v>
      </c>
      <c r="D725" s="386" t="s">
        <v>2326</v>
      </c>
      <c r="E725" s="121" t="s">
        <v>1478</v>
      </c>
      <c r="F725" s="121">
        <v>3</v>
      </c>
      <c r="G725" s="974" t="s">
        <v>2325</v>
      </c>
      <c r="H725" s="121">
        <v>4500115659</v>
      </c>
      <c r="I725" s="121"/>
      <c r="J725" s="121"/>
      <c r="K725" s="977">
        <v>2.2966103999999998E-2</v>
      </c>
      <c r="L725" s="121"/>
      <c r="M725" s="977">
        <v>2.2966103999999998E-2</v>
      </c>
      <c r="N725" s="979"/>
    </row>
    <row r="726" spans="2:14" x14ac:dyDescent="0.3">
      <c r="B726" s="973">
        <v>711</v>
      </c>
      <c r="C726" s="386" t="s">
        <v>1927</v>
      </c>
      <c r="D726" s="386" t="s">
        <v>2327</v>
      </c>
      <c r="E726" s="121" t="s">
        <v>1478</v>
      </c>
      <c r="F726" s="121">
        <v>3</v>
      </c>
      <c r="G726" s="974" t="s">
        <v>2328</v>
      </c>
      <c r="H726" s="121">
        <v>4500115769</v>
      </c>
      <c r="I726" s="121"/>
      <c r="J726" s="121"/>
      <c r="K726" s="977">
        <v>2.3414975999999997E-2</v>
      </c>
      <c r="L726" s="121"/>
      <c r="M726" s="977">
        <v>2.3414975999999997E-2</v>
      </c>
      <c r="N726" s="979"/>
    </row>
    <row r="727" spans="2:14" ht="28" x14ac:dyDescent="0.3">
      <c r="B727" s="973">
        <v>712</v>
      </c>
      <c r="C727" s="386" t="s">
        <v>1927</v>
      </c>
      <c r="D727" s="386" t="s">
        <v>2329</v>
      </c>
      <c r="E727" s="121" t="s">
        <v>1483</v>
      </c>
      <c r="F727" s="121"/>
      <c r="G727" s="974" t="s">
        <v>2330</v>
      </c>
      <c r="H727" s="121">
        <v>4500115826</v>
      </c>
      <c r="I727" s="121"/>
      <c r="J727" s="121"/>
      <c r="K727" s="977">
        <v>3.3139119999999996E-3</v>
      </c>
      <c r="L727" s="121"/>
      <c r="M727" s="977">
        <v>3.3139119999999996E-3</v>
      </c>
      <c r="N727" s="979"/>
    </row>
    <row r="728" spans="2:14" ht="28" x14ac:dyDescent="0.3">
      <c r="B728" s="973">
        <v>713</v>
      </c>
      <c r="C728" s="386" t="s">
        <v>1909</v>
      </c>
      <c r="D728" s="386" t="s">
        <v>2331</v>
      </c>
      <c r="E728" s="121" t="s">
        <v>1478</v>
      </c>
      <c r="F728" s="121">
        <v>4</v>
      </c>
      <c r="G728" s="974" t="s">
        <v>2332</v>
      </c>
      <c r="H728" s="121">
        <v>4500115772</v>
      </c>
      <c r="I728" s="121"/>
      <c r="J728" s="121"/>
      <c r="K728" s="977">
        <v>2.9706735999999997E-2</v>
      </c>
      <c r="L728" s="121"/>
      <c r="M728" s="977">
        <v>2.9706735999999997E-2</v>
      </c>
      <c r="N728" s="979"/>
    </row>
    <row r="729" spans="2:14" ht="28" x14ac:dyDescent="0.3">
      <c r="B729" s="973">
        <v>714</v>
      </c>
      <c r="C729" s="386" t="s">
        <v>1909</v>
      </c>
      <c r="D729" s="386" t="s">
        <v>2333</v>
      </c>
      <c r="E729" s="121" t="s">
        <v>1483</v>
      </c>
      <c r="F729" s="121"/>
      <c r="G729" s="974" t="s">
        <v>2332</v>
      </c>
      <c r="H729" s="121">
        <v>4500115518</v>
      </c>
      <c r="I729" s="121"/>
      <c r="J729" s="121"/>
      <c r="K729" s="977">
        <v>2.1947999999999998E-3</v>
      </c>
      <c r="L729" s="121"/>
      <c r="M729" s="977">
        <v>2.1947999999999998E-3</v>
      </c>
      <c r="N729" s="979"/>
    </row>
    <row r="730" spans="2:14" x14ac:dyDescent="0.3">
      <c r="B730" s="973">
        <v>715</v>
      </c>
      <c r="C730" s="386" t="s">
        <v>1927</v>
      </c>
      <c r="D730" s="386" t="s">
        <v>2334</v>
      </c>
      <c r="E730" s="121" t="s">
        <v>1478</v>
      </c>
      <c r="F730" s="121">
        <v>3</v>
      </c>
      <c r="G730" s="974" t="s">
        <v>2335</v>
      </c>
      <c r="H730" s="121">
        <v>4500115937</v>
      </c>
      <c r="I730" s="121"/>
      <c r="J730" s="121"/>
      <c r="K730" s="977">
        <v>2.3444122000000001E-2</v>
      </c>
      <c r="L730" s="121"/>
      <c r="M730" s="977">
        <v>2.3444122000000001E-2</v>
      </c>
      <c r="N730" s="979"/>
    </row>
    <row r="731" spans="2:14" ht="28" x14ac:dyDescent="0.3">
      <c r="B731" s="973">
        <v>716</v>
      </c>
      <c r="C731" s="386" t="s">
        <v>1927</v>
      </c>
      <c r="D731" s="386" t="s">
        <v>2336</v>
      </c>
      <c r="E731" s="121" t="s">
        <v>1478</v>
      </c>
      <c r="F731" s="121">
        <v>3</v>
      </c>
      <c r="G731" s="974" t="s">
        <v>2335</v>
      </c>
      <c r="H731" s="121">
        <v>4500115936</v>
      </c>
      <c r="I731" s="121"/>
      <c r="J731" s="121"/>
      <c r="K731" s="977">
        <v>2.0073333999999998E-2</v>
      </c>
      <c r="L731" s="121"/>
      <c r="M731" s="977">
        <v>2.0073333999999998E-2</v>
      </c>
      <c r="N731" s="979"/>
    </row>
    <row r="732" spans="2:14" ht="28" x14ac:dyDescent="0.3">
      <c r="B732" s="973">
        <v>717</v>
      </c>
      <c r="C732" s="386" t="s">
        <v>1927</v>
      </c>
      <c r="D732" s="386" t="s">
        <v>2337</v>
      </c>
      <c r="E732" s="121" t="s">
        <v>1478</v>
      </c>
      <c r="F732" s="121">
        <v>3</v>
      </c>
      <c r="G732" s="974" t="s">
        <v>2335</v>
      </c>
      <c r="H732" s="121">
        <v>4500116003</v>
      </c>
      <c r="I732" s="121"/>
      <c r="J732" s="121"/>
      <c r="K732" s="977">
        <v>2.3194079999999999E-2</v>
      </c>
      <c r="L732" s="121"/>
      <c r="M732" s="977">
        <v>2.3194079999999999E-2</v>
      </c>
      <c r="N732" s="979"/>
    </row>
    <row r="733" spans="2:14" x14ac:dyDescent="0.3">
      <c r="B733" s="973">
        <v>718</v>
      </c>
      <c r="C733" s="386" t="s">
        <v>1909</v>
      </c>
      <c r="D733" s="386" t="s">
        <v>2338</v>
      </c>
      <c r="E733" s="121" t="s">
        <v>1478</v>
      </c>
      <c r="F733" s="121">
        <v>4</v>
      </c>
      <c r="G733" s="974" t="s">
        <v>2335</v>
      </c>
      <c r="H733" s="121">
        <v>4500116004</v>
      </c>
      <c r="I733" s="121"/>
      <c r="J733" s="121"/>
      <c r="K733" s="977">
        <v>2.3423236E-2</v>
      </c>
      <c r="L733" s="121"/>
      <c r="M733" s="977">
        <v>2.3423236E-2</v>
      </c>
      <c r="N733" s="979"/>
    </row>
    <row r="734" spans="2:14" ht="28" x14ac:dyDescent="0.3">
      <c r="B734" s="973">
        <v>719</v>
      </c>
      <c r="C734" s="386" t="s">
        <v>1927</v>
      </c>
      <c r="D734" s="386" t="s">
        <v>2339</v>
      </c>
      <c r="E734" s="121" t="s">
        <v>1478</v>
      </c>
      <c r="F734" s="121">
        <v>3</v>
      </c>
      <c r="G734" s="974" t="s">
        <v>2340</v>
      </c>
      <c r="H734" s="121">
        <v>4500115999</v>
      </c>
      <c r="I734" s="121"/>
      <c r="J734" s="121"/>
      <c r="K734" s="977">
        <v>2.287194E-2</v>
      </c>
      <c r="L734" s="121"/>
      <c r="M734" s="977">
        <v>2.287194E-2</v>
      </c>
      <c r="N734" s="979"/>
    </row>
    <row r="735" spans="2:14" ht="28" x14ac:dyDescent="0.3">
      <c r="B735" s="973">
        <v>720</v>
      </c>
      <c r="C735" s="386" t="s">
        <v>1909</v>
      </c>
      <c r="D735" s="386" t="s">
        <v>2341</v>
      </c>
      <c r="E735" s="121" t="s">
        <v>1478</v>
      </c>
      <c r="F735" s="121">
        <v>5</v>
      </c>
      <c r="G735" s="974" t="s">
        <v>2342</v>
      </c>
      <c r="H735" s="121">
        <v>4500116061</v>
      </c>
      <c r="I735" s="121"/>
      <c r="J735" s="121"/>
      <c r="K735" s="977">
        <v>1.5462719999999998E-2</v>
      </c>
      <c r="L735" s="121"/>
      <c r="M735" s="977">
        <v>1.5462719999999998E-2</v>
      </c>
      <c r="N735" s="979"/>
    </row>
    <row r="736" spans="2:14" x14ac:dyDescent="0.3">
      <c r="B736" s="973">
        <v>721</v>
      </c>
      <c r="C736" s="386" t="s">
        <v>1927</v>
      </c>
      <c r="D736" s="386" t="s">
        <v>2343</v>
      </c>
      <c r="E736" s="121" t="s">
        <v>1478</v>
      </c>
      <c r="F736" s="121">
        <v>4</v>
      </c>
      <c r="G736" s="974" t="s">
        <v>2342</v>
      </c>
      <c r="H736" s="121">
        <v>4500116055</v>
      </c>
      <c r="I736" s="121"/>
      <c r="J736" s="121"/>
      <c r="K736" s="977">
        <v>1.5230496E-2</v>
      </c>
      <c r="L736" s="121"/>
      <c r="M736" s="977">
        <v>1.5230496E-2</v>
      </c>
      <c r="N736" s="979"/>
    </row>
    <row r="737" spans="2:14" ht="28" x14ac:dyDescent="0.3">
      <c r="B737" s="973">
        <v>722</v>
      </c>
      <c r="C737" s="386" t="s">
        <v>1909</v>
      </c>
      <c r="D737" s="386" t="s">
        <v>2344</v>
      </c>
      <c r="E737" s="121" t="s">
        <v>1478</v>
      </c>
      <c r="F737" s="121">
        <v>3</v>
      </c>
      <c r="G737" s="974" t="s">
        <v>2345</v>
      </c>
      <c r="H737" s="121">
        <v>4500116363</v>
      </c>
      <c r="I737" s="121"/>
      <c r="J737" s="121"/>
      <c r="K737" s="977">
        <v>5.8594788000000002E-2</v>
      </c>
      <c r="L737" s="121"/>
      <c r="M737" s="977">
        <v>5.8594788000000002E-2</v>
      </c>
      <c r="N737" s="979"/>
    </row>
    <row r="738" spans="2:14" x14ac:dyDescent="0.3">
      <c r="B738" s="973">
        <v>723</v>
      </c>
      <c r="C738" s="386" t="s">
        <v>1909</v>
      </c>
      <c r="D738" s="386" t="s">
        <v>2346</v>
      </c>
      <c r="E738" s="121" t="s">
        <v>1478</v>
      </c>
      <c r="F738" s="121">
        <v>5</v>
      </c>
      <c r="G738" s="974" t="s">
        <v>2345</v>
      </c>
      <c r="H738" s="121">
        <v>4500116057</v>
      </c>
      <c r="I738" s="121"/>
      <c r="J738" s="121"/>
      <c r="K738" s="977">
        <v>2.2124999999999999E-2</v>
      </c>
      <c r="L738" s="121"/>
      <c r="M738" s="977">
        <v>2.2124999999999999E-2</v>
      </c>
      <c r="N738" s="979"/>
    </row>
    <row r="739" spans="2:14" ht="28" x14ac:dyDescent="0.3">
      <c r="B739" s="973">
        <v>724</v>
      </c>
      <c r="C739" s="386" t="s">
        <v>1927</v>
      </c>
      <c r="D739" s="386" t="s">
        <v>2347</v>
      </c>
      <c r="E739" s="121" t="s">
        <v>1478</v>
      </c>
      <c r="F739" s="121">
        <v>3</v>
      </c>
      <c r="G739" s="974" t="s">
        <v>2345</v>
      </c>
      <c r="H739" s="121">
        <v>4500116056</v>
      </c>
      <c r="I739" s="121"/>
      <c r="J739" s="121"/>
      <c r="K739" s="977">
        <v>2.0565865999999999E-2</v>
      </c>
      <c r="L739" s="121"/>
      <c r="M739" s="977">
        <v>2.0565865999999999E-2</v>
      </c>
      <c r="N739" s="979"/>
    </row>
    <row r="740" spans="2:14" x14ac:dyDescent="0.3">
      <c r="B740" s="973">
        <v>725</v>
      </c>
      <c r="C740" s="386" t="s">
        <v>1909</v>
      </c>
      <c r="D740" s="386" t="s">
        <v>2348</v>
      </c>
      <c r="E740" s="121" t="s">
        <v>1478</v>
      </c>
      <c r="F740" s="121">
        <v>4</v>
      </c>
      <c r="G740" s="974" t="s">
        <v>2345</v>
      </c>
      <c r="H740" s="121">
        <v>4500116062</v>
      </c>
      <c r="I740" s="121"/>
      <c r="J740" s="121"/>
      <c r="K740" s="977">
        <v>2.0616959999999997E-2</v>
      </c>
      <c r="L740" s="121"/>
      <c r="M740" s="977">
        <v>2.0616959999999997E-2</v>
      </c>
      <c r="N740" s="979"/>
    </row>
    <row r="741" spans="2:14" ht="28" x14ac:dyDescent="0.3">
      <c r="B741" s="973">
        <v>726</v>
      </c>
      <c r="C741" s="386" t="s">
        <v>1909</v>
      </c>
      <c r="D741" s="386" t="s">
        <v>2349</v>
      </c>
      <c r="E741" s="121" t="s">
        <v>1478</v>
      </c>
      <c r="F741" s="121">
        <v>3</v>
      </c>
      <c r="G741" s="974" t="s">
        <v>2350</v>
      </c>
      <c r="H741" s="121">
        <v>4500116426</v>
      </c>
      <c r="I741" s="121"/>
      <c r="J741" s="121"/>
      <c r="K741" s="977">
        <v>1.8039839999999998E-2</v>
      </c>
      <c r="L741" s="121"/>
      <c r="M741" s="977">
        <v>1.8039839999999998E-2</v>
      </c>
      <c r="N741" s="979"/>
    </row>
    <row r="742" spans="2:14" x14ac:dyDescent="0.3">
      <c r="B742" s="973">
        <v>727</v>
      </c>
      <c r="C742" s="386" t="s">
        <v>1927</v>
      </c>
      <c r="D742" s="386" t="s">
        <v>2351</v>
      </c>
      <c r="E742" s="121" t="s">
        <v>1478</v>
      </c>
      <c r="F742" s="121">
        <v>4</v>
      </c>
      <c r="G742" s="974" t="s">
        <v>2352</v>
      </c>
      <c r="H742" s="121">
        <v>4500116508</v>
      </c>
      <c r="I742" s="121"/>
      <c r="J742" s="121"/>
      <c r="K742" s="977">
        <v>2.2576822E-2</v>
      </c>
      <c r="L742" s="121"/>
      <c r="M742" s="977">
        <v>2.2576822E-2</v>
      </c>
      <c r="N742" s="979"/>
    </row>
    <row r="743" spans="2:14" ht="28" x14ac:dyDescent="0.3">
      <c r="B743" s="973">
        <v>728</v>
      </c>
      <c r="C743" s="386" t="s">
        <v>1909</v>
      </c>
      <c r="D743" s="386" t="s">
        <v>2353</v>
      </c>
      <c r="E743" s="121" t="s">
        <v>1478</v>
      </c>
      <c r="F743" s="121">
        <v>3</v>
      </c>
      <c r="G743" s="974" t="s">
        <v>2352</v>
      </c>
      <c r="H743" s="121">
        <v>4500116428</v>
      </c>
      <c r="I743" s="121"/>
      <c r="J743" s="121"/>
      <c r="K743" s="977">
        <v>5.8594788000000002E-2</v>
      </c>
      <c r="L743" s="121"/>
      <c r="M743" s="977">
        <v>5.8594788000000002E-2</v>
      </c>
      <c r="N743" s="979"/>
    </row>
    <row r="744" spans="2:14" x14ac:dyDescent="0.3">
      <c r="B744" s="973">
        <v>729</v>
      </c>
      <c r="C744" s="386" t="s">
        <v>1927</v>
      </c>
      <c r="D744" s="386" t="s">
        <v>2354</v>
      </c>
      <c r="E744" s="121" t="s">
        <v>1478</v>
      </c>
      <c r="F744" s="121">
        <v>4</v>
      </c>
      <c r="G744" s="974" t="s">
        <v>2355</v>
      </c>
      <c r="H744" s="121">
        <v>4500116756</v>
      </c>
      <c r="I744" s="121"/>
      <c r="J744" s="121"/>
      <c r="K744" s="977">
        <v>2.3456984E-2</v>
      </c>
      <c r="L744" s="121"/>
      <c r="M744" s="977">
        <v>2.3456984E-2</v>
      </c>
      <c r="N744" s="979"/>
    </row>
    <row r="745" spans="2:14" x14ac:dyDescent="0.3">
      <c r="B745" s="973">
        <v>730</v>
      </c>
      <c r="C745" s="386" t="s">
        <v>1927</v>
      </c>
      <c r="D745" s="386" t="s">
        <v>2356</v>
      </c>
      <c r="E745" s="121" t="s">
        <v>1478</v>
      </c>
      <c r="F745" s="121">
        <v>6</v>
      </c>
      <c r="G745" s="974" t="s">
        <v>2357</v>
      </c>
      <c r="H745" s="121">
        <v>4500116849</v>
      </c>
      <c r="I745" s="121"/>
      <c r="J745" s="121"/>
      <c r="K745" s="977">
        <v>2.2677239999999998E-2</v>
      </c>
      <c r="L745" s="121"/>
      <c r="M745" s="977">
        <v>2.2677239999999998E-2</v>
      </c>
      <c r="N745" s="979"/>
    </row>
    <row r="746" spans="2:14" x14ac:dyDescent="0.3">
      <c r="B746" s="973">
        <v>731</v>
      </c>
      <c r="C746" s="386" t="s">
        <v>1909</v>
      </c>
      <c r="D746" s="386" t="s">
        <v>2358</v>
      </c>
      <c r="E746" s="121" t="s">
        <v>1478</v>
      </c>
      <c r="F746" s="121">
        <v>6</v>
      </c>
      <c r="G746" s="974" t="s">
        <v>2357</v>
      </c>
      <c r="H746" s="121">
        <v>4500116807</v>
      </c>
      <c r="I746" s="121"/>
      <c r="J746" s="121"/>
      <c r="K746" s="977">
        <v>1.5037663939999998E-2</v>
      </c>
      <c r="L746" s="121"/>
      <c r="M746" s="977">
        <v>1.5037663939999998E-2</v>
      </c>
      <c r="N746" s="979"/>
    </row>
    <row r="747" spans="2:14" x14ac:dyDescent="0.3">
      <c r="B747" s="973">
        <v>732</v>
      </c>
      <c r="C747" s="386" t="s">
        <v>1927</v>
      </c>
      <c r="D747" s="386" t="s">
        <v>2359</v>
      </c>
      <c r="E747" s="121" t="s">
        <v>1478</v>
      </c>
      <c r="F747" s="121">
        <v>3</v>
      </c>
      <c r="G747" s="974" t="s">
        <v>2357</v>
      </c>
      <c r="H747" s="121">
        <v>4500116809</v>
      </c>
      <c r="I747" s="121"/>
      <c r="J747" s="121"/>
      <c r="K747" s="977">
        <v>2.3598583999999999E-2</v>
      </c>
      <c r="L747" s="121"/>
      <c r="M747" s="977">
        <v>2.3598583999999999E-2</v>
      </c>
      <c r="N747" s="979"/>
    </row>
    <row r="748" spans="2:14" x14ac:dyDescent="0.3">
      <c r="B748" s="973">
        <v>733</v>
      </c>
      <c r="C748" s="386" t="s">
        <v>1927</v>
      </c>
      <c r="D748" s="386" t="s">
        <v>2360</v>
      </c>
      <c r="E748" s="121" t="s">
        <v>1478</v>
      </c>
      <c r="F748" s="121">
        <v>3</v>
      </c>
      <c r="G748" s="974" t="s">
        <v>2357</v>
      </c>
      <c r="H748" s="121">
        <v>4500116839</v>
      </c>
      <c r="I748" s="121"/>
      <c r="J748" s="121"/>
      <c r="K748" s="977">
        <v>2.3265352E-2</v>
      </c>
      <c r="L748" s="121"/>
      <c r="M748" s="977">
        <v>2.3265352E-2</v>
      </c>
      <c r="N748" s="979"/>
    </row>
    <row r="749" spans="2:14" x14ac:dyDescent="0.3">
      <c r="B749" s="973">
        <v>734</v>
      </c>
      <c r="C749" s="386" t="s">
        <v>1927</v>
      </c>
      <c r="D749" s="386" t="s">
        <v>2361</v>
      </c>
      <c r="E749" s="121" t="s">
        <v>1478</v>
      </c>
      <c r="F749" s="121">
        <v>4</v>
      </c>
      <c r="G749" s="974" t="s">
        <v>2357</v>
      </c>
      <c r="H749" s="121">
        <v>4500116848</v>
      </c>
      <c r="I749" s="121"/>
      <c r="J749" s="121"/>
      <c r="K749" s="977">
        <v>1.5512279999999998E-2</v>
      </c>
      <c r="L749" s="121"/>
      <c r="M749" s="977">
        <v>1.5512279999999998E-2</v>
      </c>
      <c r="N749" s="979"/>
    </row>
    <row r="750" spans="2:14" x14ac:dyDescent="0.3">
      <c r="B750" s="973">
        <v>735</v>
      </c>
      <c r="C750" s="386" t="s">
        <v>1927</v>
      </c>
      <c r="D750" s="386" t="s">
        <v>2362</v>
      </c>
      <c r="E750" s="121" t="s">
        <v>1478</v>
      </c>
      <c r="F750" s="121">
        <v>5</v>
      </c>
      <c r="G750" s="974" t="s">
        <v>2357</v>
      </c>
      <c r="H750" s="121">
        <v>4500116808</v>
      </c>
      <c r="I750" s="121"/>
      <c r="J750" s="121"/>
      <c r="K750" s="977">
        <v>2.2635467999999999E-2</v>
      </c>
      <c r="L750" s="121"/>
      <c r="M750" s="977">
        <v>2.2635467999999999E-2</v>
      </c>
      <c r="N750" s="979"/>
    </row>
    <row r="751" spans="2:14" ht="28" x14ac:dyDescent="0.3">
      <c r="B751" s="973">
        <v>736</v>
      </c>
      <c r="C751" s="386" t="s">
        <v>1909</v>
      </c>
      <c r="D751" s="386" t="s">
        <v>2363</v>
      </c>
      <c r="E751" s="121" t="s">
        <v>1483</v>
      </c>
      <c r="F751" s="121"/>
      <c r="G751" s="974" t="s">
        <v>2364</v>
      </c>
      <c r="H751" s="121">
        <v>4500116914</v>
      </c>
      <c r="I751" s="121"/>
      <c r="J751" s="121"/>
      <c r="K751" s="977">
        <v>2.9216799999999999E-3</v>
      </c>
      <c r="L751" s="121"/>
      <c r="M751" s="977">
        <v>2.9216799999999999E-3</v>
      </c>
      <c r="N751" s="979"/>
    </row>
    <row r="752" spans="2:14" x14ac:dyDescent="0.3">
      <c r="B752" s="973">
        <v>737</v>
      </c>
      <c r="C752" s="386" t="s">
        <v>1927</v>
      </c>
      <c r="D752" s="386" t="s">
        <v>2365</v>
      </c>
      <c r="E752" s="121" t="s">
        <v>1478</v>
      </c>
      <c r="F752" s="121">
        <v>3</v>
      </c>
      <c r="G752" s="974" t="s">
        <v>2366</v>
      </c>
      <c r="H752" s="121">
        <v>4500116607</v>
      </c>
      <c r="I752" s="121"/>
      <c r="J752" s="121"/>
      <c r="K752" s="977">
        <v>3.4622615999999995E-2</v>
      </c>
      <c r="L752" s="121"/>
      <c r="M752" s="977">
        <v>3.4622615999999995E-2</v>
      </c>
      <c r="N752" s="979"/>
    </row>
    <row r="753" spans="2:14" x14ac:dyDescent="0.3">
      <c r="B753" s="973">
        <v>738</v>
      </c>
      <c r="C753" s="386" t="s">
        <v>1927</v>
      </c>
      <c r="D753" s="386" t="s">
        <v>2367</v>
      </c>
      <c r="E753" s="121" t="s">
        <v>1478</v>
      </c>
      <c r="F753" s="121">
        <v>3</v>
      </c>
      <c r="G753" s="974" t="s">
        <v>2366</v>
      </c>
      <c r="H753" s="121">
        <v>4500116917</v>
      </c>
      <c r="I753" s="121"/>
      <c r="J753" s="121"/>
      <c r="K753" s="977">
        <v>2.1256048E-2</v>
      </c>
      <c r="L753" s="121"/>
      <c r="M753" s="977">
        <v>2.1256048E-2</v>
      </c>
      <c r="N753" s="979"/>
    </row>
    <row r="754" spans="2:14" ht="28" x14ac:dyDescent="0.3">
      <c r="B754" s="973">
        <v>739</v>
      </c>
      <c r="C754" s="386" t="s">
        <v>1909</v>
      </c>
      <c r="D754" s="386" t="s">
        <v>2368</v>
      </c>
      <c r="E754" s="121" t="s">
        <v>1478</v>
      </c>
      <c r="F754" s="121">
        <v>3</v>
      </c>
      <c r="G754" s="974" t="s">
        <v>2369</v>
      </c>
      <c r="H754" s="121">
        <v>4500116945</v>
      </c>
      <c r="I754" s="121"/>
      <c r="J754" s="121"/>
      <c r="K754" s="977">
        <v>5.8594788000000002E-2</v>
      </c>
      <c r="L754" s="121"/>
      <c r="M754" s="977">
        <v>5.8594788000000002E-2</v>
      </c>
      <c r="N754" s="979"/>
    </row>
    <row r="755" spans="2:14" ht="28" x14ac:dyDescent="0.3">
      <c r="B755" s="973">
        <v>740</v>
      </c>
      <c r="C755" s="386" t="s">
        <v>1909</v>
      </c>
      <c r="D755" s="386" t="s">
        <v>2370</v>
      </c>
      <c r="E755" s="121" t="s">
        <v>1478</v>
      </c>
      <c r="F755" s="121">
        <v>4</v>
      </c>
      <c r="G755" s="974" t="s">
        <v>2369</v>
      </c>
      <c r="H755" s="121">
        <v>4500116946</v>
      </c>
      <c r="I755" s="121"/>
      <c r="J755" s="121"/>
      <c r="K755" s="977">
        <v>5.8594788000000002E-2</v>
      </c>
      <c r="L755" s="121"/>
      <c r="M755" s="977">
        <v>5.8594788000000002E-2</v>
      </c>
      <c r="N755" s="979"/>
    </row>
    <row r="756" spans="2:14" ht="28" x14ac:dyDescent="0.3">
      <c r="B756" s="973">
        <v>741</v>
      </c>
      <c r="C756" s="386" t="s">
        <v>1909</v>
      </c>
      <c r="D756" s="386" t="s">
        <v>2371</v>
      </c>
      <c r="E756" s="121" t="s">
        <v>1478</v>
      </c>
      <c r="F756" s="121">
        <v>3</v>
      </c>
      <c r="G756" s="974" t="s">
        <v>2372</v>
      </c>
      <c r="H756" s="121">
        <v>4500116889</v>
      </c>
      <c r="I756" s="121"/>
      <c r="J756" s="121"/>
      <c r="K756" s="977">
        <v>0.36102800448</v>
      </c>
      <c r="L756" s="121"/>
      <c r="M756" s="977">
        <v>0.36102800448</v>
      </c>
      <c r="N756" s="979"/>
    </row>
    <row r="757" spans="2:14" x14ac:dyDescent="0.3">
      <c r="B757" s="973">
        <v>742</v>
      </c>
      <c r="C757" s="386" t="s">
        <v>1927</v>
      </c>
      <c r="D757" s="386" t="s">
        <v>2373</v>
      </c>
      <c r="E757" s="121" t="s">
        <v>1478</v>
      </c>
      <c r="F757" s="121">
        <v>3</v>
      </c>
      <c r="G757" s="974" t="s">
        <v>2374</v>
      </c>
      <c r="H757" s="121">
        <v>4500116983</v>
      </c>
      <c r="I757" s="121"/>
      <c r="J757" s="121"/>
      <c r="K757" s="977">
        <v>2.1186900000000002E-2</v>
      </c>
      <c r="L757" s="121"/>
      <c r="M757" s="977">
        <v>2.1186900000000002E-2</v>
      </c>
      <c r="N757" s="979"/>
    </row>
    <row r="758" spans="2:14" ht="28" x14ac:dyDescent="0.3">
      <c r="B758" s="973">
        <v>743</v>
      </c>
      <c r="C758" s="386" t="s">
        <v>1909</v>
      </c>
      <c r="D758" s="386" t="s">
        <v>2375</v>
      </c>
      <c r="E758" s="121" t="s">
        <v>1478</v>
      </c>
      <c r="F758" s="121">
        <v>4</v>
      </c>
      <c r="G758" s="974" t="s">
        <v>2374</v>
      </c>
      <c r="H758" s="121">
        <v>4500116918</v>
      </c>
      <c r="I758" s="121"/>
      <c r="J758" s="121"/>
      <c r="K758" s="977">
        <v>2.3421937999999996E-2</v>
      </c>
      <c r="L758" s="121"/>
      <c r="M758" s="977">
        <v>2.3421937999999996E-2</v>
      </c>
      <c r="N758" s="979"/>
    </row>
    <row r="759" spans="2:14" ht="28" x14ac:dyDescent="0.3">
      <c r="B759" s="973">
        <v>744</v>
      </c>
      <c r="C759" s="386" t="s">
        <v>1909</v>
      </c>
      <c r="D759" s="386" t="s">
        <v>2376</v>
      </c>
      <c r="E759" s="121" t="s">
        <v>1478</v>
      </c>
      <c r="F759" s="121">
        <v>4</v>
      </c>
      <c r="G759" s="974" t="s">
        <v>2374</v>
      </c>
      <c r="H759" s="121">
        <v>4500116938</v>
      </c>
      <c r="I759" s="121"/>
      <c r="J759" s="121"/>
      <c r="K759" s="977">
        <v>2.3397629999999999E-2</v>
      </c>
      <c r="L759" s="121"/>
      <c r="M759" s="977">
        <v>2.3397629999999999E-2</v>
      </c>
      <c r="N759" s="979"/>
    </row>
    <row r="760" spans="2:14" ht="28" x14ac:dyDescent="0.3">
      <c r="B760" s="973">
        <v>745</v>
      </c>
      <c r="C760" s="386" t="s">
        <v>1909</v>
      </c>
      <c r="D760" s="386" t="s">
        <v>2377</v>
      </c>
      <c r="E760" s="121" t="s">
        <v>1478</v>
      </c>
      <c r="F760" s="121">
        <v>3</v>
      </c>
      <c r="G760" s="974" t="s">
        <v>2374</v>
      </c>
      <c r="H760" s="121">
        <v>4500116942</v>
      </c>
      <c r="I760" s="121"/>
      <c r="J760" s="121"/>
      <c r="K760" s="977">
        <v>2.3078439999999999E-2</v>
      </c>
      <c r="L760" s="121"/>
      <c r="M760" s="977">
        <v>2.3078439999999999E-2</v>
      </c>
      <c r="N760" s="979"/>
    </row>
    <row r="761" spans="2:14" x14ac:dyDescent="0.3">
      <c r="B761" s="973">
        <v>746</v>
      </c>
      <c r="C761" s="386" t="s">
        <v>1927</v>
      </c>
      <c r="D761" s="386" t="s">
        <v>2378</v>
      </c>
      <c r="E761" s="121" t="s">
        <v>1478</v>
      </c>
      <c r="F761" s="121">
        <v>4</v>
      </c>
      <c r="G761" s="974" t="s">
        <v>2379</v>
      </c>
      <c r="H761" s="121">
        <v>4500117069</v>
      </c>
      <c r="I761" s="121"/>
      <c r="J761" s="121"/>
      <c r="K761" s="977">
        <v>2.3255591039999999E-2</v>
      </c>
      <c r="L761" s="121"/>
      <c r="M761" s="977">
        <v>2.3255591039999999E-2</v>
      </c>
      <c r="N761" s="979"/>
    </row>
    <row r="762" spans="2:14" ht="28" x14ac:dyDescent="0.3">
      <c r="B762" s="973">
        <v>747</v>
      </c>
      <c r="C762" s="386" t="s">
        <v>1909</v>
      </c>
      <c r="D762" s="386" t="s">
        <v>2380</v>
      </c>
      <c r="E762" s="121" t="s">
        <v>1478</v>
      </c>
      <c r="F762" s="121">
        <v>3</v>
      </c>
      <c r="G762" s="974" t="s">
        <v>2381</v>
      </c>
      <c r="H762" s="121">
        <v>4500116984</v>
      </c>
      <c r="I762" s="121"/>
      <c r="J762" s="121"/>
      <c r="K762" s="977">
        <v>2.0783222000000001E-2</v>
      </c>
      <c r="L762" s="121"/>
      <c r="M762" s="977">
        <v>2.0783222000000001E-2</v>
      </c>
      <c r="N762" s="979"/>
    </row>
    <row r="763" spans="2:14" ht="28" x14ac:dyDescent="0.3">
      <c r="B763" s="973">
        <v>748</v>
      </c>
      <c r="C763" s="386" t="s">
        <v>1909</v>
      </c>
      <c r="D763" s="386" t="s">
        <v>2382</v>
      </c>
      <c r="E763" s="121" t="s">
        <v>1478</v>
      </c>
      <c r="F763" s="121">
        <v>4</v>
      </c>
      <c r="G763" s="974" t="s">
        <v>2383</v>
      </c>
      <c r="H763" s="121">
        <v>4500117201</v>
      </c>
      <c r="I763" s="121"/>
      <c r="J763" s="121"/>
      <c r="K763" s="977">
        <v>2.0873090800000001E-2</v>
      </c>
      <c r="L763" s="121"/>
      <c r="M763" s="977">
        <v>2.0873090800000001E-2</v>
      </c>
      <c r="N763" s="979"/>
    </row>
    <row r="764" spans="2:14" x14ac:dyDescent="0.3">
      <c r="B764" s="973">
        <v>749</v>
      </c>
      <c r="C764" s="386" t="s">
        <v>1927</v>
      </c>
      <c r="D764" s="386" t="s">
        <v>2384</v>
      </c>
      <c r="E764" s="121" t="s">
        <v>1478</v>
      </c>
      <c r="F764" s="121">
        <v>4</v>
      </c>
      <c r="G764" s="974" t="s">
        <v>2383</v>
      </c>
      <c r="H764" s="121">
        <v>4500117202</v>
      </c>
      <c r="I764" s="121"/>
      <c r="J764" s="121"/>
      <c r="K764" s="977">
        <v>2.1463562799999999E-2</v>
      </c>
      <c r="L764" s="121"/>
      <c r="M764" s="977">
        <v>2.1463562799999999E-2</v>
      </c>
      <c r="N764" s="979"/>
    </row>
    <row r="765" spans="2:14" x14ac:dyDescent="0.3">
      <c r="B765" s="973">
        <v>750</v>
      </c>
      <c r="C765" s="386" t="s">
        <v>1909</v>
      </c>
      <c r="D765" s="386" t="s">
        <v>2385</v>
      </c>
      <c r="E765" s="121" t="s">
        <v>1478</v>
      </c>
      <c r="F765" s="121"/>
      <c r="G765" s="974" t="s">
        <v>2386</v>
      </c>
      <c r="H765" s="121">
        <v>4500117285</v>
      </c>
      <c r="I765" s="121"/>
      <c r="J765" s="121"/>
      <c r="K765" s="977">
        <v>2.0799859999999996E-2</v>
      </c>
      <c r="L765" s="121"/>
      <c r="M765" s="977">
        <v>2.0799859999999996E-2</v>
      </c>
      <c r="N765" s="979"/>
    </row>
    <row r="766" spans="2:14" ht="28" x14ac:dyDescent="0.3">
      <c r="B766" s="973">
        <v>751</v>
      </c>
      <c r="C766" s="386" t="s">
        <v>1927</v>
      </c>
      <c r="D766" s="386" t="s">
        <v>2387</v>
      </c>
      <c r="E766" s="121" t="s">
        <v>1483</v>
      </c>
      <c r="F766" s="121"/>
      <c r="G766" s="974" t="s">
        <v>2388</v>
      </c>
      <c r="H766" s="121">
        <v>4500117297</v>
      </c>
      <c r="I766" s="121"/>
      <c r="J766" s="121"/>
      <c r="K766" s="977">
        <v>3.3069499999999999E-3</v>
      </c>
      <c r="L766" s="121"/>
      <c r="M766" s="977">
        <v>3.3069499999999999E-3</v>
      </c>
      <c r="N766" s="979"/>
    </row>
    <row r="767" spans="2:14" ht="28" x14ac:dyDescent="0.3">
      <c r="B767" s="973">
        <v>752</v>
      </c>
      <c r="C767" s="386" t="s">
        <v>1927</v>
      </c>
      <c r="D767" s="386" t="s">
        <v>2389</v>
      </c>
      <c r="E767" s="121" t="s">
        <v>1483</v>
      </c>
      <c r="F767" s="121"/>
      <c r="G767" s="974" t="s">
        <v>2390</v>
      </c>
      <c r="H767" s="121">
        <v>4500117363</v>
      </c>
      <c r="I767" s="121"/>
      <c r="J767" s="121"/>
      <c r="K767" s="977">
        <v>2.9175500000000001E-3</v>
      </c>
      <c r="L767" s="121"/>
      <c r="M767" s="977">
        <v>2.9175500000000001E-3</v>
      </c>
      <c r="N767" s="979"/>
    </row>
    <row r="768" spans="2:14" x14ac:dyDescent="0.3">
      <c r="B768" s="973">
        <v>753</v>
      </c>
      <c r="C768" s="386" t="s">
        <v>1927</v>
      </c>
      <c r="D768" s="386" t="s">
        <v>2391</v>
      </c>
      <c r="E768" s="121" t="s">
        <v>1478</v>
      </c>
      <c r="F768" s="121">
        <v>4</v>
      </c>
      <c r="G768" s="974" t="s">
        <v>2390</v>
      </c>
      <c r="H768" s="121">
        <v>4500117362</v>
      </c>
      <c r="I768" s="121"/>
      <c r="J768" s="121"/>
      <c r="K768" s="977">
        <v>2.2037089999999999E-2</v>
      </c>
      <c r="L768" s="121"/>
      <c r="M768" s="977">
        <v>2.2037089999999999E-2</v>
      </c>
      <c r="N768" s="979"/>
    </row>
    <row r="769" spans="2:14" ht="28" x14ac:dyDescent="0.3">
      <c r="B769" s="973">
        <v>754</v>
      </c>
      <c r="C769" s="386" t="s">
        <v>1927</v>
      </c>
      <c r="D769" s="386" t="s">
        <v>2392</v>
      </c>
      <c r="E769" s="121" t="s">
        <v>1478</v>
      </c>
      <c r="F769" s="121">
        <v>4</v>
      </c>
      <c r="G769" s="974" t="s">
        <v>2390</v>
      </c>
      <c r="H769" s="121">
        <v>4500117376</v>
      </c>
      <c r="I769" s="121"/>
      <c r="J769" s="121"/>
      <c r="K769" s="977">
        <v>1.9604284E-2</v>
      </c>
      <c r="L769" s="121"/>
      <c r="M769" s="977">
        <v>1.9604284E-2</v>
      </c>
      <c r="N769" s="979"/>
    </row>
    <row r="770" spans="2:14" x14ac:dyDescent="0.3">
      <c r="B770" s="973">
        <v>755</v>
      </c>
      <c r="C770" s="386" t="s">
        <v>1909</v>
      </c>
      <c r="D770" s="386" t="s">
        <v>2393</v>
      </c>
      <c r="E770" s="121" t="s">
        <v>1478</v>
      </c>
      <c r="F770" s="121">
        <v>7</v>
      </c>
      <c r="G770" s="974" t="s">
        <v>2394</v>
      </c>
      <c r="H770" s="121">
        <v>4500117383</v>
      </c>
      <c r="I770" s="121"/>
      <c r="J770" s="121"/>
      <c r="K770" s="977">
        <v>0.12047935565952</v>
      </c>
      <c r="L770" s="121"/>
      <c r="M770" s="977">
        <v>0.12047935565952</v>
      </c>
      <c r="N770" s="979"/>
    </row>
    <row r="771" spans="2:14" x14ac:dyDescent="0.3">
      <c r="B771" s="973">
        <v>756</v>
      </c>
      <c r="C771" s="386" t="s">
        <v>1909</v>
      </c>
      <c r="D771" s="386" t="s">
        <v>2395</v>
      </c>
      <c r="E771" s="121" t="s">
        <v>1478</v>
      </c>
      <c r="F771" s="121">
        <v>7</v>
      </c>
      <c r="G771" s="974" t="s">
        <v>2394</v>
      </c>
      <c r="H771" s="121">
        <v>4500117386</v>
      </c>
      <c r="I771" s="121"/>
      <c r="J771" s="121"/>
      <c r="K771" s="977">
        <v>0.12047935565952</v>
      </c>
      <c r="L771" s="121"/>
      <c r="M771" s="977">
        <v>0.12047935565952</v>
      </c>
      <c r="N771" s="979"/>
    </row>
    <row r="772" spans="2:14" x14ac:dyDescent="0.3">
      <c r="B772" s="973">
        <v>757</v>
      </c>
      <c r="C772" s="386" t="s">
        <v>1909</v>
      </c>
      <c r="D772" s="386" t="s">
        <v>2396</v>
      </c>
      <c r="E772" s="121" t="s">
        <v>1478</v>
      </c>
      <c r="F772" s="121">
        <v>3</v>
      </c>
      <c r="G772" s="974" t="s">
        <v>2397</v>
      </c>
      <c r="H772" s="121">
        <v>4500117449</v>
      </c>
      <c r="I772" s="121"/>
      <c r="J772" s="121"/>
      <c r="K772" s="977">
        <v>1.0478400000000001E-2</v>
      </c>
      <c r="L772" s="121"/>
      <c r="M772" s="977">
        <v>1.0478400000000001E-2</v>
      </c>
      <c r="N772" s="979"/>
    </row>
    <row r="773" spans="2:14" ht="28" x14ac:dyDescent="0.3">
      <c r="B773" s="973">
        <v>758</v>
      </c>
      <c r="C773" s="386" t="s">
        <v>1927</v>
      </c>
      <c r="D773" s="386" t="s">
        <v>2398</v>
      </c>
      <c r="E773" s="121" t="s">
        <v>1483</v>
      </c>
      <c r="F773" s="121"/>
      <c r="G773" s="974" t="s">
        <v>2397</v>
      </c>
      <c r="H773" s="121">
        <v>4500117292</v>
      </c>
      <c r="I773" s="121"/>
      <c r="J773" s="121"/>
      <c r="K773" s="977">
        <v>3.2962119999999993E-3</v>
      </c>
      <c r="L773" s="121"/>
      <c r="M773" s="977">
        <v>3.2962119999999993E-3</v>
      </c>
      <c r="N773" s="979"/>
    </row>
    <row r="774" spans="2:14" ht="28" x14ac:dyDescent="0.3">
      <c r="B774" s="973">
        <v>759</v>
      </c>
      <c r="C774" s="386" t="s">
        <v>1909</v>
      </c>
      <c r="D774" s="386" t="s">
        <v>2399</v>
      </c>
      <c r="E774" s="121" t="s">
        <v>1478</v>
      </c>
      <c r="F774" s="121">
        <v>4</v>
      </c>
      <c r="G774" s="974" t="s">
        <v>2397</v>
      </c>
      <c r="H774" s="121">
        <v>4500117472</v>
      </c>
      <c r="I774" s="121"/>
      <c r="J774" s="121"/>
      <c r="K774" s="977">
        <v>2.0532000000000002E-2</v>
      </c>
      <c r="L774" s="121"/>
      <c r="M774" s="977">
        <v>2.0532000000000002E-2</v>
      </c>
      <c r="N774" s="979"/>
    </row>
    <row r="775" spans="2:14" x14ac:dyDescent="0.3">
      <c r="B775" s="973">
        <v>760</v>
      </c>
      <c r="C775" s="386" t="s">
        <v>1927</v>
      </c>
      <c r="D775" s="386" t="s">
        <v>2400</v>
      </c>
      <c r="E775" s="121" t="s">
        <v>1478</v>
      </c>
      <c r="F775" s="121">
        <v>4</v>
      </c>
      <c r="G775" s="974" t="s">
        <v>2397</v>
      </c>
      <c r="H775" s="121">
        <v>4500117497</v>
      </c>
      <c r="I775" s="121"/>
      <c r="J775" s="121"/>
      <c r="K775" s="977">
        <v>1.6288601999999999E-2</v>
      </c>
      <c r="L775" s="121"/>
      <c r="M775" s="977">
        <v>1.6288601999999999E-2</v>
      </c>
      <c r="N775" s="979"/>
    </row>
    <row r="776" spans="2:14" x14ac:dyDescent="0.3">
      <c r="B776" s="973">
        <v>761</v>
      </c>
      <c r="C776" s="386" t="s">
        <v>1909</v>
      </c>
      <c r="D776" s="386" t="s">
        <v>2401</v>
      </c>
      <c r="E776" s="121" t="s">
        <v>1478</v>
      </c>
      <c r="F776" s="121">
        <v>4</v>
      </c>
      <c r="G776" s="974" t="s">
        <v>2402</v>
      </c>
      <c r="H776" s="121">
        <v>4500117450</v>
      </c>
      <c r="I776" s="121"/>
      <c r="J776" s="121"/>
      <c r="K776" s="977">
        <v>2.6550000000000001E-2</v>
      </c>
      <c r="L776" s="121"/>
      <c r="M776" s="977">
        <v>2.6550000000000001E-2</v>
      </c>
      <c r="N776" s="979"/>
    </row>
    <row r="777" spans="2:14" x14ac:dyDescent="0.3">
      <c r="B777" s="973">
        <v>762</v>
      </c>
      <c r="C777" s="386" t="s">
        <v>1909</v>
      </c>
      <c r="D777" s="386" t="s">
        <v>2403</v>
      </c>
      <c r="E777" s="121" t="s">
        <v>1478</v>
      </c>
      <c r="F777" s="121">
        <v>5</v>
      </c>
      <c r="G777" s="974" t="s">
        <v>2404</v>
      </c>
      <c r="H777" s="121">
        <v>4500117612</v>
      </c>
      <c r="I777" s="121"/>
      <c r="J777" s="121"/>
      <c r="K777" s="977">
        <v>2.3471615999999997E-2</v>
      </c>
      <c r="L777" s="121"/>
      <c r="M777" s="977">
        <v>2.3471615999999997E-2</v>
      </c>
      <c r="N777" s="979"/>
    </row>
    <row r="778" spans="2:14" x14ac:dyDescent="0.3">
      <c r="B778" s="973">
        <v>763</v>
      </c>
      <c r="C778" s="386" t="s">
        <v>1927</v>
      </c>
      <c r="D778" s="386" t="s">
        <v>2405</v>
      </c>
      <c r="E778" s="121" t="s">
        <v>1478</v>
      </c>
      <c r="F778" s="121">
        <v>4</v>
      </c>
      <c r="G778" s="974" t="s">
        <v>2404</v>
      </c>
      <c r="H778" s="121">
        <v>4500117611</v>
      </c>
      <c r="I778" s="121"/>
      <c r="J778" s="121"/>
      <c r="K778" s="977">
        <v>1.3303674E-2</v>
      </c>
      <c r="L778" s="121"/>
      <c r="M778" s="977">
        <v>1.3303674E-2</v>
      </c>
      <c r="N778" s="979"/>
    </row>
    <row r="779" spans="2:14" ht="28" x14ac:dyDescent="0.3">
      <c r="B779" s="973">
        <v>764</v>
      </c>
      <c r="C779" s="386" t="s">
        <v>1927</v>
      </c>
      <c r="D779" s="386" t="s">
        <v>2406</v>
      </c>
      <c r="E779" s="121" t="s">
        <v>1478</v>
      </c>
      <c r="F779" s="121">
        <v>4</v>
      </c>
      <c r="G779" s="974" t="s">
        <v>2404</v>
      </c>
      <c r="H779" s="121">
        <v>4500117609</v>
      </c>
      <c r="I779" s="121"/>
      <c r="J779" s="121"/>
      <c r="K779" s="977">
        <v>2.1769583999999998E-2</v>
      </c>
      <c r="L779" s="121"/>
      <c r="M779" s="977">
        <v>2.1769583999999998E-2</v>
      </c>
      <c r="N779" s="979"/>
    </row>
    <row r="780" spans="2:14" x14ac:dyDescent="0.3">
      <c r="B780" s="973">
        <v>765</v>
      </c>
      <c r="C780" s="386" t="s">
        <v>1927</v>
      </c>
      <c r="D780" s="386" t="s">
        <v>2407</v>
      </c>
      <c r="E780" s="121" t="s">
        <v>1478</v>
      </c>
      <c r="F780" s="121">
        <v>4</v>
      </c>
      <c r="G780" s="974" t="s">
        <v>2404</v>
      </c>
      <c r="H780" s="121">
        <v>4500117610</v>
      </c>
      <c r="I780" s="121"/>
      <c r="J780" s="121"/>
      <c r="K780" s="977">
        <v>2.1845693999999999E-2</v>
      </c>
      <c r="L780" s="121"/>
      <c r="M780" s="977">
        <v>2.1845693999999999E-2</v>
      </c>
      <c r="N780" s="979"/>
    </row>
    <row r="781" spans="2:14" ht="28" x14ac:dyDescent="0.3">
      <c r="B781" s="973">
        <v>766</v>
      </c>
      <c r="C781" s="386" t="s">
        <v>1909</v>
      </c>
      <c r="D781" s="386" t="s">
        <v>2408</v>
      </c>
      <c r="E781" s="121" t="s">
        <v>1478</v>
      </c>
      <c r="F781" s="121">
        <v>3</v>
      </c>
      <c r="G781" s="974" t="s">
        <v>2409</v>
      </c>
      <c r="H781" s="121">
        <v>4500117747</v>
      </c>
      <c r="I781" s="121"/>
      <c r="J781" s="121"/>
      <c r="K781" s="977">
        <v>1.8776159999999997E-2</v>
      </c>
      <c r="L781" s="121"/>
      <c r="M781" s="977">
        <v>1.8776159999999997E-2</v>
      </c>
      <c r="N781" s="979"/>
    </row>
    <row r="782" spans="2:14" ht="28" x14ac:dyDescent="0.3">
      <c r="B782" s="973">
        <v>767</v>
      </c>
      <c r="C782" s="386" t="s">
        <v>1927</v>
      </c>
      <c r="D782" s="386" t="s">
        <v>2410</v>
      </c>
      <c r="E782" s="121" t="s">
        <v>1478</v>
      </c>
      <c r="F782" s="121">
        <v>3</v>
      </c>
      <c r="G782" s="974" t="s">
        <v>2409</v>
      </c>
      <c r="H782" s="121">
        <v>4500117622</v>
      </c>
      <c r="I782" s="121"/>
      <c r="J782" s="121"/>
      <c r="K782" s="977">
        <v>0.39309445610000004</v>
      </c>
      <c r="L782" s="121"/>
      <c r="M782" s="977">
        <v>0.39309445610000004</v>
      </c>
      <c r="N782" s="979"/>
    </row>
    <row r="783" spans="2:14" x14ac:dyDescent="0.3">
      <c r="B783" s="973">
        <v>768</v>
      </c>
      <c r="C783" s="386" t="s">
        <v>1909</v>
      </c>
      <c r="D783" s="386" t="s">
        <v>2411</v>
      </c>
      <c r="E783" s="121" t="s">
        <v>1478</v>
      </c>
      <c r="F783" s="121">
        <v>3</v>
      </c>
      <c r="G783" s="974" t="s">
        <v>1354</v>
      </c>
      <c r="H783" s="121">
        <v>4500117800</v>
      </c>
      <c r="I783" s="121"/>
      <c r="J783" s="121"/>
      <c r="K783" s="977">
        <v>2.3302050000000001E-2</v>
      </c>
      <c r="L783" s="121"/>
      <c r="M783" s="977">
        <v>2.3302050000000001E-2</v>
      </c>
      <c r="N783" s="979"/>
    </row>
    <row r="784" spans="2:14" x14ac:dyDescent="0.3">
      <c r="B784" s="973">
        <v>769</v>
      </c>
      <c r="C784" s="386" t="s">
        <v>1909</v>
      </c>
      <c r="D784" s="386" t="s">
        <v>2412</v>
      </c>
      <c r="E784" s="121" t="s">
        <v>1483</v>
      </c>
      <c r="F784" s="121"/>
      <c r="G784" s="974" t="s">
        <v>2413</v>
      </c>
      <c r="H784" s="121">
        <v>4500117827</v>
      </c>
      <c r="I784" s="121"/>
      <c r="J784" s="121"/>
      <c r="K784" s="977">
        <v>3.167474E-3</v>
      </c>
      <c r="L784" s="121"/>
      <c r="M784" s="977">
        <v>3.167474E-3</v>
      </c>
      <c r="N784" s="979"/>
    </row>
    <row r="785" spans="2:14" x14ac:dyDescent="0.3">
      <c r="B785" s="973">
        <v>770</v>
      </c>
      <c r="C785" s="386" t="s">
        <v>1927</v>
      </c>
      <c r="D785" s="386" t="s">
        <v>2414</v>
      </c>
      <c r="E785" s="121" t="s">
        <v>1478</v>
      </c>
      <c r="F785" s="121">
        <v>4</v>
      </c>
      <c r="G785" s="974" t="s">
        <v>2415</v>
      </c>
      <c r="H785" s="121">
        <v>4500117823</v>
      </c>
      <c r="I785" s="121"/>
      <c r="J785" s="121"/>
      <c r="K785" s="977">
        <v>2.3350547999999999E-2</v>
      </c>
      <c r="L785" s="121"/>
      <c r="M785" s="977">
        <v>2.3350547999999999E-2</v>
      </c>
      <c r="N785" s="979"/>
    </row>
    <row r="786" spans="2:14" x14ac:dyDescent="0.3">
      <c r="B786" s="973">
        <v>771</v>
      </c>
      <c r="C786" s="386" t="s">
        <v>1927</v>
      </c>
      <c r="D786" s="386" t="s">
        <v>2416</v>
      </c>
      <c r="E786" s="121" t="s">
        <v>1478</v>
      </c>
      <c r="F786" s="121">
        <v>3</v>
      </c>
      <c r="G786" s="974" t="s">
        <v>2415</v>
      </c>
      <c r="H786" s="121">
        <v>4500117820</v>
      </c>
      <c r="I786" s="121"/>
      <c r="J786" s="121"/>
      <c r="K786" s="977">
        <v>1.6410967999999998E-2</v>
      </c>
      <c r="L786" s="121"/>
      <c r="M786" s="977">
        <v>1.6410967999999998E-2</v>
      </c>
      <c r="N786" s="979"/>
    </row>
    <row r="787" spans="2:14" x14ac:dyDescent="0.3">
      <c r="B787" s="973">
        <v>772</v>
      </c>
      <c r="C787" s="386" t="s">
        <v>1909</v>
      </c>
      <c r="D787" s="386" t="s">
        <v>2417</v>
      </c>
      <c r="E787" s="121" t="s">
        <v>1478</v>
      </c>
      <c r="F787" s="121">
        <v>3</v>
      </c>
      <c r="G787" s="974" t="s">
        <v>2415</v>
      </c>
      <c r="H787" s="121">
        <v>4500117821</v>
      </c>
      <c r="I787" s="121"/>
      <c r="J787" s="121"/>
      <c r="K787" s="977">
        <v>2.3430079999999999E-2</v>
      </c>
      <c r="L787" s="121"/>
      <c r="M787" s="977">
        <v>2.3430079999999999E-2</v>
      </c>
      <c r="N787" s="979"/>
    </row>
    <row r="788" spans="2:14" x14ac:dyDescent="0.3">
      <c r="B788" s="973">
        <v>773</v>
      </c>
      <c r="C788" s="386" t="s">
        <v>1927</v>
      </c>
      <c r="D788" s="386" t="s">
        <v>2418</v>
      </c>
      <c r="E788" s="121" t="s">
        <v>1483</v>
      </c>
      <c r="F788" s="121"/>
      <c r="G788" s="974" t="s">
        <v>2419</v>
      </c>
      <c r="H788" s="121">
        <v>4500117926</v>
      </c>
      <c r="I788" s="121"/>
      <c r="J788" s="121"/>
      <c r="K788" s="977">
        <v>5.9899159999999996E-3</v>
      </c>
      <c r="L788" s="121"/>
      <c r="M788" s="977">
        <v>5.9899159999999996E-3</v>
      </c>
      <c r="N788" s="979"/>
    </row>
    <row r="789" spans="2:14" ht="28" x14ac:dyDescent="0.3">
      <c r="B789" s="973">
        <v>774</v>
      </c>
      <c r="C789" s="386" t="s">
        <v>1927</v>
      </c>
      <c r="D789" s="386" t="s">
        <v>2420</v>
      </c>
      <c r="E789" s="121" t="s">
        <v>1478</v>
      </c>
      <c r="F789" s="121">
        <v>3</v>
      </c>
      <c r="G789" s="974" t="s">
        <v>2419</v>
      </c>
      <c r="H789" s="121">
        <v>4500117927</v>
      </c>
      <c r="I789" s="121"/>
      <c r="J789" s="121"/>
      <c r="K789" s="977">
        <v>2.043288E-2</v>
      </c>
      <c r="L789" s="121"/>
      <c r="M789" s="977">
        <v>2.043288E-2</v>
      </c>
      <c r="N789" s="979"/>
    </row>
    <row r="790" spans="2:14" x14ac:dyDescent="0.3">
      <c r="B790" s="973">
        <v>775</v>
      </c>
      <c r="C790" s="386" t="s">
        <v>1909</v>
      </c>
      <c r="D790" s="386" t="s">
        <v>2421</v>
      </c>
      <c r="E790" s="121" t="s">
        <v>1478</v>
      </c>
      <c r="F790" s="121">
        <v>5</v>
      </c>
      <c r="G790" s="974" t="s">
        <v>2419</v>
      </c>
      <c r="H790" s="121">
        <v>4500117924</v>
      </c>
      <c r="I790" s="121"/>
      <c r="J790" s="121"/>
      <c r="K790" s="977">
        <v>2.3414385999999999E-2</v>
      </c>
      <c r="L790" s="121"/>
      <c r="M790" s="977">
        <v>2.3414385999999999E-2</v>
      </c>
      <c r="N790" s="979"/>
    </row>
    <row r="791" spans="2:14" ht="28" x14ac:dyDescent="0.3">
      <c r="B791" s="973">
        <v>776</v>
      </c>
      <c r="C791" s="386" t="s">
        <v>1909</v>
      </c>
      <c r="D791" s="386" t="s">
        <v>2422</v>
      </c>
      <c r="E791" s="121" t="s">
        <v>1478</v>
      </c>
      <c r="F791" s="121">
        <v>2</v>
      </c>
      <c r="G791" s="974" t="s">
        <v>2419</v>
      </c>
      <c r="H791" s="121">
        <v>4500117999</v>
      </c>
      <c r="I791" s="121"/>
      <c r="J791" s="121"/>
      <c r="K791" s="977">
        <v>3.3780095999999996E-2</v>
      </c>
      <c r="L791" s="121"/>
      <c r="M791" s="977">
        <v>3.3780095999999996E-2</v>
      </c>
      <c r="N791" s="979"/>
    </row>
    <row r="792" spans="2:14" ht="28" x14ac:dyDescent="0.3">
      <c r="B792" s="973">
        <v>777</v>
      </c>
      <c r="C792" s="386" t="s">
        <v>1909</v>
      </c>
      <c r="D792" s="386" t="s">
        <v>2423</v>
      </c>
      <c r="E792" s="121" t="s">
        <v>1478</v>
      </c>
      <c r="F792" s="121">
        <v>3</v>
      </c>
      <c r="G792" s="974" t="s">
        <v>2419</v>
      </c>
      <c r="H792" s="121">
        <v>4500118000</v>
      </c>
      <c r="I792" s="121"/>
      <c r="J792" s="121"/>
      <c r="K792" s="977">
        <v>3.3780095999999996E-2</v>
      </c>
      <c r="L792" s="121"/>
      <c r="M792" s="977">
        <v>3.3780095999999996E-2</v>
      </c>
      <c r="N792" s="979"/>
    </row>
    <row r="793" spans="2:14" ht="28" x14ac:dyDescent="0.3">
      <c r="B793" s="973">
        <v>778</v>
      </c>
      <c r="C793" s="386" t="s">
        <v>2424</v>
      </c>
      <c r="D793" s="386" t="s">
        <v>2425</v>
      </c>
      <c r="E793" s="121" t="s">
        <v>1478</v>
      </c>
      <c r="F793" s="121">
        <v>1</v>
      </c>
      <c r="G793" s="974" t="s">
        <v>2426</v>
      </c>
      <c r="H793" s="121">
        <v>4500118073</v>
      </c>
      <c r="I793" s="121"/>
      <c r="J793" s="121"/>
      <c r="K793" s="977">
        <v>0.68978596368</v>
      </c>
      <c r="L793" s="121"/>
      <c r="M793" s="977">
        <v>0.68978596368</v>
      </c>
      <c r="N793" s="979"/>
    </row>
    <row r="794" spans="2:14" ht="28" x14ac:dyDescent="0.3">
      <c r="B794" s="973">
        <v>779</v>
      </c>
      <c r="C794" s="386" t="s">
        <v>1909</v>
      </c>
      <c r="D794" s="386" t="s">
        <v>2427</v>
      </c>
      <c r="E794" s="121" t="s">
        <v>1478</v>
      </c>
      <c r="F794" s="121">
        <v>3</v>
      </c>
      <c r="G794" s="974" t="s">
        <v>2428</v>
      </c>
      <c r="H794" s="121">
        <v>4500117982</v>
      </c>
      <c r="I794" s="121"/>
      <c r="J794" s="121"/>
      <c r="K794" s="977">
        <v>2.3210600000000001E-2</v>
      </c>
      <c r="L794" s="121"/>
      <c r="M794" s="977">
        <v>2.3210600000000001E-2</v>
      </c>
      <c r="N794" s="979"/>
    </row>
    <row r="795" spans="2:14" x14ac:dyDescent="0.3">
      <c r="B795" s="973">
        <v>780</v>
      </c>
      <c r="C795" s="386" t="s">
        <v>1927</v>
      </c>
      <c r="D795" s="386" t="s">
        <v>2429</v>
      </c>
      <c r="E795" s="121" t="s">
        <v>1478</v>
      </c>
      <c r="F795" s="121">
        <v>3</v>
      </c>
      <c r="G795" s="974" t="s">
        <v>2430</v>
      </c>
      <c r="H795" s="121">
        <v>4500118013</v>
      </c>
      <c r="I795" s="121"/>
      <c r="J795" s="121"/>
      <c r="K795" s="977">
        <v>2.3372642319999998E-2</v>
      </c>
      <c r="L795" s="121"/>
      <c r="M795" s="977">
        <v>2.3372642319999998E-2</v>
      </c>
      <c r="N795" s="979"/>
    </row>
    <row r="796" spans="2:14" x14ac:dyDescent="0.3">
      <c r="B796" s="973">
        <v>781</v>
      </c>
      <c r="C796" s="386" t="s">
        <v>1927</v>
      </c>
      <c r="D796" s="386" t="s">
        <v>2431</v>
      </c>
      <c r="E796" s="121" t="s">
        <v>1478</v>
      </c>
      <c r="F796" s="121">
        <v>3</v>
      </c>
      <c r="G796" s="974" t="s">
        <v>2432</v>
      </c>
      <c r="H796" s="121">
        <v>4500118108</v>
      </c>
      <c r="I796" s="121"/>
      <c r="J796" s="121"/>
      <c r="K796" s="977">
        <v>2.2475814E-2</v>
      </c>
      <c r="L796" s="121"/>
      <c r="M796" s="977">
        <v>2.2475814E-2</v>
      </c>
      <c r="N796" s="979"/>
    </row>
    <row r="797" spans="2:14" ht="28" x14ac:dyDescent="0.3">
      <c r="B797" s="973">
        <v>782</v>
      </c>
      <c r="C797" s="386" t="s">
        <v>1927</v>
      </c>
      <c r="D797" s="386" t="s">
        <v>2433</v>
      </c>
      <c r="E797" s="121" t="s">
        <v>1478</v>
      </c>
      <c r="F797" s="121">
        <v>3</v>
      </c>
      <c r="G797" s="974" t="s">
        <v>2432</v>
      </c>
      <c r="H797" s="121">
        <v>4500118106</v>
      </c>
      <c r="I797" s="121"/>
      <c r="J797" s="121"/>
      <c r="K797" s="977">
        <v>1.8496499999999999E-2</v>
      </c>
      <c r="L797" s="121"/>
      <c r="M797" s="977">
        <v>1.8496499999999999E-2</v>
      </c>
      <c r="N797" s="979"/>
    </row>
    <row r="798" spans="2:14" x14ac:dyDescent="0.3">
      <c r="B798" s="973">
        <v>783</v>
      </c>
      <c r="C798" s="386" t="s">
        <v>1927</v>
      </c>
      <c r="D798" s="386" t="s">
        <v>2434</v>
      </c>
      <c r="E798" s="121" t="s">
        <v>1478</v>
      </c>
      <c r="F798" s="121">
        <v>3</v>
      </c>
      <c r="G798" s="974" t="s">
        <v>2432</v>
      </c>
      <c r="H798" s="121">
        <v>4500118103</v>
      </c>
      <c r="I798" s="121"/>
      <c r="J798" s="121"/>
      <c r="K798" s="977">
        <v>2.3478341999999999E-2</v>
      </c>
      <c r="L798" s="121"/>
      <c r="M798" s="977">
        <v>2.3478341999999999E-2</v>
      </c>
      <c r="N798" s="979"/>
    </row>
    <row r="799" spans="2:14" x14ac:dyDescent="0.3">
      <c r="B799" s="973">
        <v>784</v>
      </c>
      <c r="C799" s="386" t="s">
        <v>1927</v>
      </c>
      <c r="D799" s="386" t="s">
        <v>2435</v>
      </c>
      <c r="E799" s="121" t="s">
        <v>1478</v>
      </c>
      <c r="F799" s="121">
        <v>3</v>
      </c>
      <c r="G799" s="974" t="s">
        <v>2436</v>
      </c>
      <c r="H799" s="121">
        <v>4500117983</v>
      </c>
      <c r="I799" s="121"/>
      <c r="J799" s="121"/>
      <c r="K799" s="977">
        <v>1.1669255999999999E-2</v>
      </c>
      <c r="L799" s="121"/>
      <c r="M799" s="977">
        <v>1.1669255999999999E-2</v>
      </c>
      <c r="N799" s="979"/>
    </row>
    <row r="800" spans="2:14" ht="28" x14ac:dyDescent="0.3">
      <c r="B800" s="973">
        <v>785</v>
      </c>
      <c r="C800" s="386" t="s">
        <v>1927</v>
      </c>
      <c r="D800" s="386" t="s">
        <v>2437</v>
      </c>
      <c r="E800" s="121" t="s">
        <v>1478</v>
      </c>
      <c r="F800" s="121">
        <v>2</v>
      </c>
      <c r="G800" s="974" t="s">
        <v>2436</v>
      </c>
      <c r="H800" s="121">
        <v>4500118115</v>
      </c>
      <c r="I800" s="121"/>
      <c r="J800" s="121"/>
      <c r="K800" s="977">
        <v>7.8047088000000001E-2</v>
      </c>
      <c r="L800" s="121"/>
      <c r="M800" s="977">
        <v>7.8047088000000001E-2</v>
      </c>
      <c r="N800" s="979"/>
    </row>
    <row r="801" spans="2:14" x14ac:dyDescent="0.3">
      <c r="B801" s="973">
        <v>786</v>
      </c>
      <c r="C801" s="386" t="s">
        <v>1927</v>
      </c>
      <c r="D801" s="386" t="s">
        <v>2438</v>
      </c>
      <c r="E801" s="121" t="s">
        <v>1478</v>
      </c>
      <c r="F801" s="121">
        <v>4</v>
      </c>
      <c r="G801" s="974" t="s">
        <v>2436</v>
      </c>
      <c r="H801" s="121">
        <v>4500118114</v>
      </c>
      <c r="I801" s="121"/>
      <c r="J801" s="121"/>
      <c r="K801" s="977">
        <v>5.1087627999999996E-2</v>
      </c>
      <c r="L801" s="121"/>
      <c r="M801" s="977">
        <v>5.1087627999999996E-2</v>
      </c>
      <c r="N801" s="979"/>
    </row>
    <row r="802" spans="2:14" ht="28" x14ac:dyDescent="0.3">
      <c r="B802" s="973">
        <v>787</v>
      </c>
      <c r="C802" s="386" t="s">
        <v>1909</v>
      </c>
      <c r="D802" s="386" t="s">
        <v>2439</v>
      </c>
      <c r="E802" s="121" t="s">
        <v>1478</v>
      </c>
      <c r="F802" s="121">
        <v>3</v>
      </c>
      <c r="G802" s="974" t="s">
        <v>2440</v>
      </c>
      <c r="H802" s="121">
        <v>4500118116</v>
      </c>
      <c r="I802" s="121"/>
      <c r="J802" s="121"/>
      <c r="K802" s="977">
        <v>7.9518783999999995E-2</v>
      </c>
      <c r="L802" s="121"/>
      <c r="M802" s="977">
        <v>7.9518783999999995E-2</v>
      </c>
      <c r="N802" s="979"/>
    </row>
    <row r="803" spans="2:14" ht="28" x14ac:dyDescent="0.3">
      <c r="B803" s="973">
        <v>788</v>
      </c>
      <c r="C803" s="386" t="s">
        <v>1909</v>
      </c>
      <c r="D803" s="386" t="s">
        <v>2441</v>
      </c>
      <c r="E803" s="121" t="s">
        <v>1478</v>
      </c>
      <c r="F803" s="121">
        <v>2</v>
      </c>
      <c r="G803" s="974" t="s">
        <v>2440</v>
      </c>
      <c r="H803" s="121">
        <v>4500118270</v>
      </c>
      <c r="I803" s="121"/>
      <c r="J803" s="121"/>
      <c r="K803" s="977">
        <v>8.3589548E-2</v>
      </c>
      <c r="L803" s="121"/>
      <c r="M803" s="977">
        <v>8.3589548E-2</v>
      </c>
      <c r="N803" s="979"/>
    </row>
    <row r="804" spans="2:14" ht="28" x14ac:dyDescent="0.3">
      <c r="B804" s="973">
        <v>789</v>
      </c>
      <c r="C804" s="386" t="s">
        <v>1909</v>
      </c>
      <c r="D804" s="386" t="s">
        <v>2442</v>
      </c>
      <c r="E804" s="121" t="s">
        <v>1478</v>
      </c>
      <c r="F804" s="121">
        <v>3</v>
      </c>
      <c r="G804" s="974" t="s">
        <v>2443</v>
      </c>
      <c r="H804" s="121">
        <v>4500118440</v>
      </c>
      <c r="I804" s="121"/>
      <c r="J804" s="121"/>
      <c r="K804" s="977">
        <v>3.9687647999999999E-2</v>
      </c>
      <c r="L804" s="121"/>
      <c r="M804" s="977">
        <v>3.9687647999999999E-2</v>
      </c>
      <c r="N804" s="979"/>
    </row>
    <row r="805" spans="2:14" x14ac:dyDescent="0.3">
      <c r="B805" s="973">
        <v>790</v>
      </c>
      <c r="C805" s="386" t="s">
        <v>1927</v>
      </c>
      <c r="D805" s="386" t="s">
        <v>2444</v>
      </c>
      <c r="E805" s="121" t="s">
        <v>1478</v>
      </c>
      <c r="F805" s="121">
        <v>3</v>
      </c>
      <c r="G805" s="974" t="s">
        <v>2445</v>
      </c>
      <c r="H805" s="121">
        <v>4500118515</v>
      </c>
      <c r="I805" s="121"/>
      <c r="J805" s="121"/>
      <c r="K805" s="977">
        <v>1.1098136E-2</v>
      </c>
      <c r="L805" s="121"/>
      <c r="M805" s="977">
        <v>1.1098136E-2</v>
      </c>
      <c r="N805" s="979"/>
    </row>
    <row r="806" spans="2:14" x14ac:dyDescent="0.3">
      <c r="B806" s="973">
        <v>791</v>
      </c>
      <c r="C806" s="386" t="s">
        <v>1909</v>
      </c>
      <c r="D806" s="386" t="s">
        <v>2446</v>
      </c>
      <c r="E806" s="121" t="s">
        <v>1478</v>
      </c>
      <c r="F806" s="121">
        <v>3</v>
      </c>
      <c r="G806" s="974" t="s">
        <v>2445</v>
      </c>
      <c r="H806" s="121">
        <v>4500118109</v>
      </c>
      <c r="I806" s="121"/>
      <c r="J806" s="121"/>
      <c r="K806" s="977">
        <v>2.26383E-2</v>
      </c>
      <c r="L806" s="121"/>
      <c r="M806" s="977">
        <v>2.26383E-2</v>
      </c>
      <c r="N806" s="979"/>
    </row>
    <row r="807" spans="2:14" ht="28" x14ac:dyDescent="0.3">
      <c r="B807" s="973">
        <v>792</v>
      </c>
      <c r="C807" s="386" t="s">
        <v>1927</v>
      </c>
      <c r="D807" s="386" t="s">
        <v>2447</v>
      </c>
      <c r="E807" s="121" t="s">
        <v>1478</v>
      </c>
      <c r="F807" s="121">
        <v>4</v>
      </c>
      <c r="G807" s="974" t="s">
        <v>2445</v>
      </c>
      <c r="H807" s="121">
        <v>4500118711</v>
      </c>
      <c r="I807" s="121"/>
      <c r="J807" s="121"/>
      <c r="K807" s="977">
        <v>2.3479167999999998E-2</v>
      </c>
      <c r="L807" s="121"/>
      <c r="M807" s="977">
        <v>2.3479167999999998E-2</v>
      </c>
      <c r="N807" s="979"/>
    </row>
    <row r="808" spans="2:14" x14ac:dyDescent="0.3">
      <c r="B808" s="973">
        <v>793</v>
      </c>
      <c r="C808" s="386" t="s">
        <v>1927</v>
      </c>
      <c r="D808" s="386" t="s">
        <v>2448</v>
      </c>
      <c r="E808" s="121" t="s">
        <v>1478</v>
      </c>
      <c r="F808" s="121">
        <v>4</v>
      </c>
      <c r="G808" s="974" t="s">
        <v>2449</v>
      </c>
      <c r="H808" s="121">
        <v>4500118777</v>
      </c>
      <c r="I808" s="121"/>
      <c r="J808" s="121"/>
      <c r="K808" s="977">
        <v>2.3577933999999998E-2</v>
      </c>
      <c r="L808" s="121"/>
      <c r="M808" s="977">
        <v>2.3577933999999998E-2</v>
      </c>
      <c r="N808" s="979"/>
    </row>
    <row r="809" spans="2:14" ht="28" x14ac:dyDescent="0.3">
      <c r="B809" s="973">
        <v>794</v>
      </c>
      <c r="C809" s="386" t="s">
        <v>1927</v>
      </c>
      <c r="D809" s="386" t="s">
        <v>2450</v>
      </c>
      <c r="E809" s="121" t="s">
        <v>1478</v>
      </c>
      <c r="F809" s="121">
        <v>4</v>
      </c>
      <c r="G809" s="974" t="s">
        <v>2449</v>
      </c>
      <c r="H809" s="121">
        <v>4500118789</v>
      </c>
      <c r="I809" s="121"/>
      <c r="J809" s="121"/>
      <c r="K809" s="977">
        <v>2.330028E-2</v>
      </c>
      <c r="L809" s="121"/>
      <c r="M809" s="977">
        <v>2.330028E-2</v>
      </c>
      <c r="N809" s="979"/>
    </row>
    <row r="810" spans="2:14" ht="28" x14ac:dyDescent="0.3">
      <c r="B810" s="973">
        <v>795</v>
      </c>
      <c r="C810" s="386" t="s">
        <v>1909</v>
      </c>
      <c r="D810" s="386" t="s">
        <v>2451</v>
      </c>
      <c r="E810" s="121" t="s">
        <v>1478</v>
      </c>
      <c r="F810" s="121">
        <v>4</v>
      </c>
      <c r="G810" s="974" t="s">
        <v>2452</v>
      </c>
      <c r="H810" s="121">
        <v>4500118436</v>
      </c>
      <c r="I810" s="121"/>
      <c r="J810" s="121"/>
      <c r="K810" s="977">
        <v>2.3108884E-2</v>
      </c>
      <c r="L810" s="121"/>
      <c r="M810" s="977">
        <v>2.3108884E-2</v>
      </c>
      <c r="N810" s="979"/>
    </row>
    <row r="811" spans="2:14" ht="28" x14ac:dyDescent="0.3">
      <c r="B811" s="973">
        <v>796</v>
      </c>
      <c r="C811" s="386" t="s">
        <v>1927</v>
      </c>
      <c r="D811" s="386" t="s">
        <v>2453</v>
      </c>
      <c r="E811" s="121" t="s">
        <v>1478</v>
      </c>
      <c r="F811" s="121">
        <v>3</v>
      </c>
      <c r="G811" s="974" t="s">
        <v>2454</v>
      </c>
      <c r="H811" s="121">
        <v>4500118794</v>
      </c>
      <c r="I811" s="121"/>
      <c r="J811" s="121"/>
      <c r="K811" s="977">
        <v>2.2658772999999997E-2</v>
      </c>
      <c r="L811" s="121"/>
      <c r="M811" s="977">
        <v>2.2658772999999997E-2</v>
      </c>
      <c r="N811" s="979"/>
    </row>
    <row r="812" spans="2:14" ht="28" x14ac:dyDescent="0.3">
      <c r="B812" s="973">
        <v>797</v>
      </c>
      <c r="C812" s="386" t="s">
        <v>1927</v>
      </c>
      <c r="D812" s="386" t="s">
        <v>2455</v>
      </c>
      <c r="E812" s="121" t="s">
        <v>1478</v>
      </c>
      <c r="F812" s="121">
        <v>4</v>
      </c>
      <c r="G812" s="974" t="s">
        <v>2456</v>
      </c>
      <c r="H812" s="121">
        <v>4500118877</v>
      </c>
      <c r="I812" s="121"/>
      <c r="J812" s="121"/>
      <c r="K812" s="977">
        <v>2.3300397999999996E-2</v>
      </c>
      <c r="L812" s="121"/>
      <c r="M812" s="977">
        <v>2.3300397999999996E-2</v>
      </c>
      <c r="N812" s="979"/>
    </row>
    <row r="813" spans="2:14" ht="28" x14ac:dyDescent="0.3">
      <c r="B813" s="973">
        <v>798</v>
      </c>
      <c r="C813" s="386" t="s">
        <v>1909</v>
      </c>
      <c r="D813" s="386" t="s">
        <v>2457</v>
      </c>
      <c r="E813" s="121" t="s">
        <v>1483</v>
      </c>
      <c r="F813" s="121"/>
      <c r="G813" s="974" t="s">
        <v>2458</v>
      </c>
      <c r="H813" s="121">
        <v>4500118871</v>
      </c>
      <c r="I813" s="121"/>
      <c r="J813" s="121"/>
      <c r="K813" s="977">
        <v>3.1590960000000001E-3</v>
      </c>
      <c r="L813" s="121"/>
      <c r="M813" s="977">
        <v>3.1590960000000001E-3</v>
      </c>
      <c r="N813" s="979"/>
    </row>
    <row r="814" spans="2:14" x14ac:dyDescent="0.3">
      <c r="B814" s="973">
        <v>799</v>
      </c>
      <c r="C814" s="386" t="s">
        <v>1909</v>
      </c>
      <c r="D814" s="386" t="s">
        <v>2459</v>
      </c>
      <c r="E814" s="121" t="s">
        <v>1483</v>
      </c>
      <c r="F814" s="121"/>
      <c r="G814" s="974" t="s">
        <v>2458</v>
      </c>
      <c r="H814" s="121">
        <v>4500118870</v>
      </c>
      <c r="I814" s="121"/>
      <c r="J814" s="121"/>
      <c r="K814" s="977">
        <v>3.4795839999999995E-3</v>
      </c>
      <c r="L814" s="121"/>
      <c r="M814" s="977">
        <v>3.4795839999999995E-3</v>
      </c>
      <c r="N814" s="979"/>
    </row>
    <row r="815" spans="2:14" x14ac:dyDescent="0.3">
      <c r="B815" s="973">
        <v>800</v>
      </c>
      <c r="C815" s="386" t="s">
        <v>1909</v>
      </c>
      <c r="D815" s="386" t="s">
        <v>2460</v>
      </c>
      <c r="E815" s="121" t="s">
        <v>1478</v>
      </c>
      <c r="F815" s="121">
        <v>5</v>
      </c>
      <c r="G815" s="974" t="s">
        <v>2458</v>
      </c>
      <c r="H815" s="121">
        <v>4500119269</v>
      </c>
      <c r="I815" s="121"/>
      <c r="J815" s="121"/>
      <c r="K815" s="977">
        <v>2.2307428000000001E-2</v>
      </c>
      <c r="L815" s="121"/>
      <c r="M815" s="977">
        <v>2.2307428000000001E-2</v>
      </c>
      <c r="N815" s="979"/>
    </row>
    <row r="816" spans="2:14" ht="28" x14ac:dyDescent="0.3">
      <c r="B816" s="973">
        <v>801</v>
      </c>
      <c r="C816" s="386" t="s">
        <v>1927</v>
      </c>
      <c r="D816" s="386" t="s">
        <v>2461</v>
      </c>
      <c r="E816" s="121" t="s">
        <v>1478</v>
      </c>
      <c r="F816" s="121">
        <v>3</v>
      </c>
      <c r="G816" s="974" t="s">
        <v>2458</v>
      </c>
      <c r="H816" s="121">
        <v>4500119271</v>
      </c>
      <c r="I816" s="121"/>
      <c r="J816" s="121"/>
      <c r="K816" s="977">
        <v>2.3514568E-2</v>
      </c>
      <c r="L816" s="121"/>
      <c r="M816" s="977">
        <v>2.3514568E-2</v>
      </c>
      <c r="N816" s="979"/>
    </row>
    <row r="817" spans="2:14" ht="28" x14ac:dyDescent="0.3">
      <c r="B817" s="973">
        <v>802</v>
      </c>
      <c r="C817" s="386" t="s">
        <v>1909</v>
      </c>
      <c r="D817" s="386" t="s">
        <v>2462</v>
      </c>
      <c r="E817" s="121" t="s">
        <v>1483</v>
      </c>
      <c r="F817" s="121"/>
      <c r="G817" s="974" t="s">
        <v>2458</v>
      </c>
      <c r="H817" s="121">
        <v>4500119303</v>
      </c>
      <c r="I817" s="121"/>
      <c r="J817" s="121"/>
      <c r="K817" s="977">
        <v>2.0881279999999999E-2</v>
      </c>
      <c r="L817" s="121"/>
      <c r="M817" s="977">
        <v>2.0881279999999999E-2</v>
      </c>
      <c r="N817" s="979"/>
    </row>
    <row r="818" spans="2:14" ht="28" x14ac:dyDescent="0.3">
      <c r="B818" s="973">
        <v>803</v>
      </c>
      <c r="C818" s="386" t="s">
        <v>1927</v>
      </c>
      <c r="D818" s="386" t="s">
        <v>2463</v>
      </c>
      <c r="E818" s="121" t="s">
        <v>1478</v>
      </c>
      <c r="F818" s="121">
        <v>4</v>
      </c>
      <c r="G818" s="974" t="s">
        <v>2458</v>
      </c>
      <c r="H818" s="121">
        <v>4500119270</v>
      </c>
      <c r="I818" s="121"/>
      <c r="J818" s="121"/>
      <c r="K818" s="977">
        <v>2.1072758600000002E-2</v>
      </c>
      <c r="L818" s="121"/>
      <c r="M818" s="977">
        <v>2.1072758600000002E-2</v>
      </c>
      <c r="N818" s="979"/>
    </row>
    <row r="819" spans="2:14" x14ac:dyDescent="0.3">
      <c r="B819" s="973">
        <v>804</v>
      </c>
      <c r="C819" s="386" t="s">
        <v>1927</v>
      </c>
      <c r="D819" s="386" t="s">
        <v>2464</v>
      </c>
      <c r="E819" s="121" t="s">
        <v>1478</v>
      </c>
      <c r="F819" s="121">
        <v>4</v>
      </c>
      <c r="G819" s="974" t="s">
        <v>2458</v>
      </c>
      <c r="H819" s="121">
        <v>4500119267</v>
      </c>
      <c r="I819" s="121"/>
      <c r="J819" s="121"/>
      <c r="K819" s="977">
        <v>1.9989199999999999E-2</v>
      </c>
      <c r="L819" s="121"/>
      <c r="M819" s="977">
        <v>1.9989199999999999E-2</v>
      </c>
      <c r="N819" s="979"/>
    </row>
    <row r="820" spans="2:14" ht="28" x14ac:dyDescent="0.3">
      <c r="B820" s="973">
        <v>805</v>
      </c>
      <c r="C820" s="386" t="s">
        <v>1927</v>
      </c>
      <c r="D820" s="386" t="s">
        <v>2465</v>
      </c>
      <c r="E820" s="121" t="s">
        <v>1478</v>
      </c>
      <c r="F820" s="121">
        <v>3</v>
      </c>
      <c r="G820" s="974" t="s">
        <v>2458</v>
      </c>
      <c r="H820" s="121">
        <v>4500119268</v>
      </c>
      <c r="I820" s="121"/>
      <c r="J820" s="121"/>
      <c r="K820" s="977">
        <v>2.3428191999999997E-2</v>
      </c>
      <c r="L820" s="121"/>
      <c r="M820" s="977">
        <v>2.3428191999999997E-2</v>
      </c>
      <c r="N820" s="979"/>
    </row>
    <row r="821" spans="2:14" x14ac:dyDescent="0.3">
      <c r="B821" s="973">
        <v>806</v>
      </c>
      <c r="C821" s="386" t="s">
        <v>1927</v>
      </c>
      <c r="D821" s="386" t="s">
        <v>2466</v>
      </c>
      <c r="E821" s="121" t="s">
        <v>1478</v>
      </c>
      <c r="F821" s="121">
        <v>3</v>
      </c>
      <c r="G821" s="974" t="s">
        <v>2458</v>
      </c>
      <c r="H821" s="121">
        <v>4500118878</v>
      </c>
      <c r="I821" s="121"/>
      <c r="J821" s="121"/>
      <c r="K821" s="977">
        <v>1.8536738000000001E-2</v>
      </c>
      <c r="L821" s="121"/>
      <c r="M821" s="977">
        <v>1.8536738000000001E-2</v>
      </c>
      <c r="N821" s="979"/>
    </row>
    <row r="822" spans="2:14" x14ac:dyDescent="0.3">
      <c r="B822" s="973">
        <v>807</v>
      </c>
      <c r="C822" s="386" t="s">
        <v>1909</v>
      </c>
      <c r="D822" s="386" t="s">
        <v>2467</v>
      </c>
      <c r="E822" s="121" t="s">
        <v>1478</v>
      </c>
      <c r="F822" s="121">
        <v>5</v>
      </c>
      <c r="G822" s="974" t="s">
        <v>2458</v>
      </c>
      <c r="H822" s="121">
        <v>4500119333</v>
      </c>
      <c r="I822" s="121"/>
      <c r="J822" s="121"/>
      <c r="K822" s="977">
        <v>2.2545434E-2</v>
      </c>
      <c r="L822" s="121"/>
      <c r="M822" s="977">
        <v>2.2545434E-2</v>
      </c>
      <c r="N822" s="979"/>
    </row>
    <row r="823" spans="2:14" ht="28" x14ac:dyDescent="0.3">
      <c r="B823" s="973">
        <v>808</v>
      </c>
      <c r="C823" s="386" t="s">
        <v>1927</v>
      </c>
      <c r="D823" s="386" t="s">
        <v>2468</v>
      </c>
      <c r="E823" s="121" t="s">
        <v>1478</v>
      </c>
      <c r="F823" s="121">
        <v>5</v>
      </c>
      <c r="G823" s="974" t="s">
        <v>2469</v>
      </c>
      <c r="H823" s="121">
        <v>4500119348</v>
      </c>
      <c r="I823" s="121"/>
      <c r="J823" s="121"/>
      <c r="K823" s="977">
        <v>0</v>
      </c>
      <c r="L823" s="121"/>
      <c r="M823" s="977">
        <v>0</v>
      </c>
      <c r="N823" s="979"/>
    </row>
    <row r="824" spans="2:14" x14ac:dyDescent="0.3">
      <c r="B824" s="973">
        <v>809</v>
      </c>
      <c r="C824" s="386" t="s">
        <v>1927</v>
      </c>
      <c r="D824" s="386" t="s">
        <v>2470</v>
      </c>
      <c r="E824" s="121" t="s">
        <v>1478</v>
      </c>
      <c r="F824" s="121"/>
      <c r="G824" s="974" t="s">
        <v>2469</v>
      </c>
      <c r="H824" s="121">
        <v>4500119349</v>
      </c>
      <c r="I824" s="121"/>
      <c r="J824" s="121"/>
      <c r="K824" s="977">
        <v>1.7535389999999998E-2</v>
      </c>
      <c r="L824" s="121"/>
      <c r="M824" s="977">
        <v>1.7535389999999998E-2</v>
      </c>
      <c r="N824" s="979"/>
    </row>
    <row r="825" spans="2:14" x14ac:dyDescent="0.3">
      <c r="B825" s="973">
        <v>810</v>
      </c>
      <c r="C825" s="386" t="s">
        <v>1927</v>
      </c>
      <c r="D825" s="386" t="s">
        <v>2471</v>
      </c>
      <c r="E825" s="121" t="s">
        <v>1478</v>
      </c>
      <c r="F825" s="121">
        <v>4</v>
      </c>
      <c r="G825" s="974" t="s">
        <v>2469</v>
      </c>
      <c r="H825" s="121">
        <v>4500119328</v>
      </c>
      <c r="I825" s="121"/>
      <c r="J825" s="121"/>
      <c r="K825" s="977">
        <v>1.102677904E-2</v>
      </c>
      <c r="L825" s="121"/>
      <c r="M825" s="977">
        <v>1.102677904E-2</v>
      </c>
      <c r="N825" s="979"/>
    </row>
    <row r="826" spans="2:14" ht="28" x14ac:dyDescent="0.3">
      <c r="B826" s="973">
        <v>811</v>
      </c>
      <c r="C826" s="386" t="s">
        <v>1909</v>
      </c>
      <c r="D826" s="386" t="s">
        <v>2472</v>
      </c>
      <c r="E826" s="121" t="s">
        <v>1478</v>
      </c>
      <c r="F826" s="121">
        <v>4</v>
      </c>
      <c r="G826" s="974" t="s">
        <v>2473</v>
      </c>
      <c r="H826" s="121">
        <v>4500119359</v>
      </c>
      <c r="I826" s="121"/>
      <c r="J826" s="121"/>
      <c r="K826" s="977">
        <v>2.3210600000000001E-2</v>
      </c>
      <c r="L826" s="121"/>
      <c r="M826" s="977">
        <v>2.3210600000000001E-2</v>
      </c>
      <c r="N826" s="979"/>
    </row>
    <row r="827" spans="2:14" ht="28" x14ac:dyDescent="0.3">
      <c r="B827" s="973">
        <v>812</v>
      </c>
      <c r="C827" s="386" t="s">
        <v>1927</v>
      </c>
      <c r="D827" s="386" t="s">
        <v>2474</v>
      </c>
      <c r="E827" s="121" t="s">
        <v>1478</v>
      </c>
      <c r="F827" s="121">
        <v>4</v>
      </c>
      <c r="G827" s="974" t="s">
        <v>2473</v>
      </c>
      <c r="H827" s="121">
        <v>4500119347</v>
      </c>
      <c r="I827" s="121"/>
      <c r="J827" s="121"/>
      <c r="K827" s="977">
        <v>2.1497306079999997E-2</v>
      </c>
      <c r="L827" s="121"/>
      <c r="M827" s="977">
        <v>2.1497306079999997E-2</v>
      </c>
      <c r="N827" s="979"/>
    </row>
    <row r="828" spans="2:14" ht="28" x14ac:dyDescent="0.3">
      <c r="B828" s="973">
        <v>813</v>
      </c>
      <c r="C828" s="386" t="s">
        <v>1909</v>
      </c>
      <c r="D828" s="386" t="s">
        <v>2475</v>
      </c>
      <c r="E828" s="121" t="s">
        <v>1478</v>
      </c>
      <c r="F828" s="121">
        <v>4</v>
      </c>
      <c r="G828" s="974" t="s">
        <v>2473</v>
      </c>
      <c r="H828" s="121">
        <v>4500119346</v>
      </c>
      <c r="I828" s="121"/>
      <c r="J828" s="121"/>
      <c r="K828" s="977">
        <v>2.3475863999999999E-2</v>
      </c>
      <c r="L828" s="121"/>
      <c r="M828" s="977">
        <v>2.3475863999999999E-2</v>
      </c>
      <c r="N828" s="979"/>
    </row>
    <row r="829" spans="2:14" ht="28" x14ac:dyDescent="0.3">
      <c r="B829" s="973">
        <v>814</v>
      </c>
      <c r="C829" s="386" t="s">
        <v>1909</v>
      </c>
      <c r="D829" s="386" t="s">
        <v>2476</v>
      </c>
      <c r="E829" s="121" t="s">
        <v>1478</v>
      </c>
      <c r="F829" s="121">
        <v>4</v>
      </c>
      <c r="G829" s="974" t="s">
        <v>2477</v>
      </c>
      <c r="H829" s="121">
        <v>4500119329</v>
      </c>
      <c r="I829" s="121"/>
      <c r="J829" s="121"/>
      <c r="K829" s="977">
        <v>2.2543663999999998E-2</v>
      </c>
      <c r="L829" s="121"/>
      <c r="M829" s="977">
        <v>2.2543663999999998E-2</v>
      </c>
      <c r="N829" s="979"/>
    </row>
    <row r="830" spans="2:14" x14ac:dyDescent="0.3">
      <c r="B830" s="973">
        <v>815</v>
      </c>
      <c r="C830" s="386" t="s">
        <v>1909</v>
      </c>
      <c r="D830" s="386" t="s">
        <v>2478</v>
      </c>
      <c r="E830" s="121" t="s">
        <v>1478</v>
      </c>
      <c r="F830" s="121">
        <v>4</v>
      </c>
      <c r="G830" s="974" t="s">
        <v>2477</v>
      </c>
      <c r="H830" s="121">
        <v>4500119331</v>
      </c>
      <c r="I830" s="121"/>
      <c r="J830" s="121"/>
      <c r="K830" s="977">
        <v>1.9843823999999999E-2</v>
      </c>
      <c r="L830" s="121"/>
      <c r="M830" s="977">
        <v>1.9843823999999999E-2</v>
      </c>
      <c r="N830" s="979"/>
    </row>
    <row r="831" spans="2:14" x14ac:dyDescent="0.3">
      <c r="B831" s="973">
        <v>816</v>
      </c>
      <c r="C831" s="386" t="s">
        <v>1927</v>
      </c>
      <c r="D831" s="386" t="s">
        <v>2479</v>
      </c>
      <c r="E831" s="121" t="s">
        <v>1478</v>
      </c>
      <c r="F831" s="121">
        <v>5</v>
      </c>
      <c r="G831" s="974" t="s">
        <v>2480</v>
      </c>
      <c r="H831" s="121">
        <v>4500119453</v>
      </c>
      <c r="I831" s="121"/>
      <c r="J831" s="121"/>
      <c r="K831" s="977">
        <v>2.1892775999999999E-2</v>
      </c>
      <c r="L831" s="121"/>
      <c r="M831" s="977">
        <v>2.1892775999999999E-2</v>
      </c>
      <c r="N831" s="979"/>
    </row>
    <row r="832" spans="2:14" x14ac:dyDescent="0.3">
      <c r="B832" s="973">
        <v>817</v>
      </c>
      <c r="C832" s="386" t="s">
        <v>1927</v>
      </c>
      <c r="D832" s="386" t="s">
        <v>2481</v>
      </c>
      <c r="E832" s="121" t="s">
        <v>1478</v>
      </c>
      <c r="F832" s="121">
        <v>4</v>
      </c>
      <c r="G832" s="974" t="s">
        <v>2480</v>
      </c>
      <c r="H832" s="121">
        <v>4500119454</v>
      </c>
      <c r="I832" s="121"/>
      <c r="J832" s="121"/>
      <c r="K832" s="977">
        <v>2.2570662399999997E-2</v>
      </c>
      <c r="L832" s="121"/>
      <c r="M832" s="977">
        <v>2.2570662399999997E-2</v>
      </c>
      <c r="N832" s="979"/>
    </row>
    <row r="833" spans="2:14" x14ac:dyDescent="0.3">
      <c r="B833" s="973">
        <v>818</v>
      </c>
      <c r="C833" s="386" t="s">
        <v>1927</v>
      </c>
      <c r="D833" s="386" t="s">
        <v>2482</v>
      </c>
      <c r="E833" s="121" t="s">
        <v>1478</v>
      </c>
      <c r="F833" s="121">
        <v>3</v>
      </c>
      <c r="G833" s="974" t="s">
        <v>2480</v>
      </c>
      <c r="H833" s="121">
        <v>4500119451</v>
      </c>
      <c r="I833" s="121"/>
      <c r="J833" s="121"/>
      <c r="K833" s="977">
        <v>1.3245816239999998E-2</v>
      </c>
      <c r="L833" s="121"/>
      <c r="M833" s="977">
        <v>1.3245816239999998E-2</v>
      </c>
      <c r="N833" s="979"/>
    </row>
    <row r="834" spans="2:14" ht="28" x14ac:dyDescent="0.3">
      <c r="B834" s="973">
        <v>819</v>
      </c>
      <c r="C834" s="386" t="s">
        <v>1927</v>
      </c>
      <c r="D834" s="386" t="s">
        <v>2483</v>
      </c>
      <c r="E834" s="121" t="s">
        <v>1478</v>
      </c>
      <c r="F834" s="121">
        <v>12</v>
      </c>
      <c r="G834" s="974" t="s">
        <v>2480</v>
      </c>
      <c r="H834" s="121">
        <v>4500119426</v>
      </c>
      <c r="I834" s="121"/>
      <c r="J834" s="121"/>
      <c r="K834" s="977">
        <v>4.8020335999999997E-2</v>
      </c>
      <c r="L834" s="121"/>
      <c r="M834" s="977">
        <v>4.8020335999999997E-2</v>
      </c>
      <c r="N834" s="979"/>
    </row>
    <row r="835" spans="2:14" x14ac:dyDescent="0.3">
      <c r="B835" s="973">
        <v>820</v>
      </c>
      <c r="C835" s="386" t="s">
        <v>1927</v>
      </c>
      <c r="D835" s="386" t="s">
        <v>2484</v>
      </c>
      <c r="E835" s="121" t="s">
        <v>1478</v>
      </c>
      <c r="F835" s="121">
        <v>3</v>
      </c>
      <c r="G835" s="974" t="s">
        <v>2485</v>
      </c>
      <c r="H835" s="121">
        <v>4500119490</v>
      </c>
      <c r="I835" s="121"/>
      <c r="J835" s="121"/>
      <c r="K835" s="977">
        <v>2.2680779999999998E-2</v>
      </c>
      <c r="L835" s="121"/>
      <c r="M835" s="977">
        <v>2.2680779999999998E-2</v>
      </c>
      <c r="N835" s="979"/>
    </row>
    <row r="836" spans="2:14" ht="28" x14ac:dyDescent="0.3">
      <c r="B836" s="973">
        <v>821</v>
      </c>
      <c r="C836" s="386" t="s">
        <v>1927</v>
      </c>
      <c r="D836" s="386" t="s">
        <v>2486</v>
      </c>
      <c r="E836" s="121" t="s">
        <v>1478</v>
      </c>
      <c r="F836" s="121">
        <v>4</v>
      </c>
      <c r="G836" s="974" t="s">
        <v>2487</v>
      </c>
      <c r="H836" s="121">
        <v>4500119428</v>
      </c>
      <c r="I836" s="121"/>
      <c r="J836" s="121"/>
      <c r="K836" s="977">
        <v>2.0553602260000001E-2</v>
      </c>
      <c r="L836" s="121"/>
      <c r="M836" s="977">
        <v>2.0553602260000001E-2</v>
      </c>
      <c r="N836" s="979"/>
    </row>
    <row r="837" spans="2:14" ht="28" x14ac:dyDescent="0.3">
      <c r="B837" s="973">
        <v>822</v>
      </c>
      <c r="C837" s="386" t="s">
        <v>1909</v>
      </c>
      <c r="D837" s="386" t="s">
        <v>2488</v>
      </c>
      <c r="E837" s="121" t="s">
        <v>1478</v>
      </c>
      <c r="F837" s="121">
        <v>3</v>
      </c>
      <c r="G837" s="974" t="s">
        <v>2487</v>
      </c>
      <c r="H837" s="121">
        <v>4500119509</v>
      </c>
      <c r="I837" s="121"/>
      <c r="J837" s="121"/>
      <c r="K837" s="977">
        <v>1.7794399999999998E-2</v>
      </c>
      <c r="L837" s="121"/>
      <c r="M837" s="977">
        <v>1.7794399999999998E-2</v>
      </c>
      <c r="N837" s="979"/>
    </row>
    <row r="838" spans="2:14" x14ac:dyDescent="0.3">
      <c r="B838" s="973">
        <v>823</v>
      </c>
      <c r="C838" s="386" t="s">
        <v>1909</v>
      </c>
      <c r="D838" s="386" t="s">
        <v>2489</v>
      </c>
      <c r="E838" s="121" t="s">
        <v>1478</v>
      </c>
      <c r="F838" s="121">
        <v>4</v>
      </c>
      <c r="G838" s="974" t="s">
        <v>2487</v>
      </c>
      <c r="H838" s="121">
        <v>4500119536</v>
      </c>
      <c r="I838" s="121"/>
      <c r="J838" s="121"/>
      <c r="K838" s="977">
        <v>1.6541003999999998E-2</v>
      </c>
      <c r="L838" s="121"/>
      <c r="M838" s="977">
        <v>1.6541003999999998E-2</v>
      </c>
      <c r="N838" s="979"/>
    </row>
    <row r="839" spans="2:14" x14ac:dyDescent="0.3">
      <c r="B839" s="973">
        <v>824</v>
      </c>
      <c r="C839" s="386" t="s">
        <v>1927</v>
      </c>
      <c r="D839" s="386" t="s">
        <v>2490</v>
      </c>
      <c r="E839" s="121" t="s">
        <v>1478</v>
      </c>
      <c r="F839" s="121">
        <v>3</v>
      </c>
      <c r="G839" s="974" t="s">
        <v>2487</v>
      </c>
      <c r="H839" s="121">
        <v>4500119558</v>
      </c>
      <c r="I839" s="121"/>
      <c r="J839" s="121"/>
      <c r="K839" s="977">
        <v>0.6962646906679999</v>
      </c>
      <c r="L839" s="121"/>
      <c r="M839" s="977">
        <v>0.6962646906679999</v>
      </c>
      <c r="N839" s="979"/>
    </row>
    <row r="840" spans="2:14" x14ac:dyDescent="0.3">
      <c r="B840" s="973">
        <v>825</v>
      </c>
      <c r="C840" s="386" t="s">
        <v>1909</v>
      </c>
      <c r="D840" s="386" t="s">
        <v>2491</v>
      </c>
      <c r="E840" s="121" t="s">
        <v>1478</v>
      </c>
      <c r="F840" s="121">
        <v>4</v>
      </c>
      <c r="G840" s="974" t="s">
        <v>2492</v>
      </c>
      <c r="H840" s="121">
        <v>4500119611</v>
      </c>
      <c r="I840" s="121"/>
      <c r="J840" s="121"/>
      <c r="K840" s="977">
        <v>1.3086435999999998E-2</v>
      </c>
      <c r="L840" s="121"/>
      <c r="M840" s="977">
        <v>1.3086435999999998E-2</v>
      </c>
      <c r="N840" s="979"/>
    </row>
    <row r="841" spans="2:14" ht="28" x14ac:dyDescent="0.3">
      <c r="B841" s="973">
        <v>826</v>
      </c>
      <c r="C841" s="386" t="s">
        <v>1927</v>
      </c>
      <c r="D841" s="386" t="s">
        <v>2493</v>
      </c>
      <c r="E841" s="121" t="s">
        <v>1478</v>
      </c>
      <c r="F841" s="121"/>
      <c r="G841" s="974" t="s">
        <v>2492</v>
      </c>
      <c r="H841" s="121">
        <v>4500119562</v>
      </c>
      <c r="I841" s="121"/>
      <c r="J841" s="121"/>
      <c r="K841" s="977">
        <v>2.330028E-2</v>
      </c>
      <c r="L841" s="121"/>
      <c r="M841" s="977">
        <v>2.330028E-2</v>
      </c>
      <c r="N841" s="979"/>
    </row>
    <row r="842" spans="2:14" x14ac:dyDescent="0.3">
      <c r="B842" s="973">
        <v>827</v>
      </c>
      <c r="C842" s="386" t="s">
        <v>1927</v>
      </c>
      <c r="D842" s="386" t="s">
        <v>2494</v>
      </c>
      <c r="E842" s="121" t="s">
        <v>1478</v>
      </c>
      <c r="F842" s="121">
        <v>4</v>
      </c>
      <c r="G842" s="974" t="s">
        <v>2495</v>
      </c>
      <c r="H842" s="121">
        <v>4500119702</v>
      </c>
      <c r="I842" s="121"/>
      <c r="J842" s="121"/>
      <c r="K842" s="977">
        <v>1.114982E-2</v>
      </c>
      <c r="L842" s="121"/>
      <c r="M842" s="977">
        <v>1.114982E-2</v>
      </c>
      <c r="N842" s="979"/>
    </row>
    <row r="843" spans="2:14" ht="28" x14ac:dyDescent="0.3">
      <c r="B843" s="973">
        <v>828</v>
      </c>
      <c r="C843" s="386" t="s">
        <v>1927</v>
      </c>
      <c r="D843" s="386" t="s">
        <v>2496</v>
      </c>
      <c r="E843" s="121" t="s">
        <v>1478</v>
      </c>
      <c r="F843" s="121">
        <v>3</v>
      </c>
      <c r="G843" s="974" t="s">
        <v>2495</v>
      </c>
      <c r="H843" s="121">
        <v>4500119689</v>
      </c>
      <c r="I843" s="121"/>
      <c r="J843" s="121"/>
      <c r="K843" s="977">
        <v>1.2626E-2</v>
      </c>
      <c r="L843" s="121"/>
      <c r="M843" s="977">
        <v>1.2626E-2</v>
      </c>
      <c r="N843" s="979"/>
    </row>
    <row r="844" spans="2:14" x14ac:dyDescent="0.3">
      <c r="B844" s="973">
        <v>829</v>
      </c>
      <c r="C844" s="386" t="s">
        <v>1927</v>
      </c>
      <c r="D844" s="386" t="s">
        <v>2497</v>
      </c>
      <c r="E844" s="121" t="s">
        <v>1478</v>
      </c>
      <c r="F844" s="121">
        <v>3</v>
      </c>
      <c r="G844" s="974" t="s">
        <v>2495</v>
      </c>
      <c r="H844" s="121">
        <v>4500119687</v>
      </c>
      <c r="I844" s="121"/>
      <c r="J844" s="121"/>
      <c r="K844" s="977">
        <v>1.2740459999999999E-2</v>
      </c>
      <c r="L844" s="121"/>
      <c r="M844" s="977">
        <v>1.2740459999999999E-2</v>
      </c>
      <c r="N844" s="979"/>
    </row>
    <row r="845" spans="2:14" ht="28" x14ac:dyDescent="0.3">
      <c r="B845" s="973">
        <v>830</v>
      </c>
      <c r="C845" s="386" t="s">
        <v>2082</v>
      </c>
      <c r="D845" s="386" t="s">
        <v>2498</v>
      </c>
      <c r="E845" s="121" t="s">
        <v>1478</v>
      </c>
      <c r="F845" s="121">
        <v>3</v>
      </c>
      <c r="G845" s="974" t="s">
        <v>2499</v>
      </c>
      <c r="H845" s="121">
        <v>4500119729</v>
      </c>
      <c r="I845" s="121"/>
      <c r="J845" s="121"/>
      <c r="K845" s="977">
        <v>0.58267054799999995</v>
      </c>
      <c r="L845" s="121"/>
      <c r="M845" s="977">
        <v>0.58267054799999995</v>
      </c>
      <c r="N845" s="979"/>
    </row>
    <row r="846" spans="2:14" x14ac:dyDescent="0.3">
      <c r="B846" s="973">
        <v>831</v>
      </c>
      <c r="C846" s="386" t="s">
        <v>1927</v>
      </c>
      <c r="D846" s="386" t="s">
        <v>2500</v>
      </c>
      <c r="E846" s="121" t="s">
        <v>1478</v>
      </c>
      <c r="F846" s="121">
        <v>3</v>
      </c>
      <c r="G846" s="974" t="s">
        <v>2499</v>
      </c>
      <c r="H846" s="121">
        <v>4500119685</v>
      </c>
      <c r="I846" s="121"/>
      <c r="J846" s="121"/>
      <c r="K846" s="977">
        <v>2.0590528E-2</v>
      </c>
      <c r="L846" s="121"/>
      <c r="M846" s="977">
        <v>2.0590528E-2</v>
      </c>
      <c r="N846" s="979"/>
    </row>
    <row r="847" spans="2:14" ht="28" x14ac:dyDescent="0.3">
      <c r="B847" s="973">
        <v>832</v>
      </c>
      <c r="C847" s="386" t="s">
        <v>1909</v>
      </c>
      <c r="D847" s="386" t="s">
        <v>2501</v>
      </c>
      <c r="E847" s="121" t="s">
        <v>1478</v>
      </c>
      <c r="F847" s="121">
        <v>4</v>
      </c>
      <c r="G847" s="974" t="s">
        <v>2502</v>
      </c>
      <c r="H847" s="121">
        <v>4500119563</v>
      </c>
      <c r="I847" s="121"/>
      <c r="J847" s="121"/>
      <c r="K847" s="977">
        <v>2.2817069999999998E-2</v>
      </c>
      <c r="L847" s="121"/>
      <c r="M847" s="977">
        <v>2.2817069999999998E-2</v>
      </c>
      <c r="N847" s="979"/>
    </row>
    <row r="848" spans="2:14" x14ac:dyDescent="0.3">
      <c r="B848" s="973">
        <v>833</v>
      </c>
      <c r="C848" s="386" t="s">
        <v>1909</v>
      </c>
      <c r="D848" s="386" t="s">
        <v>2503</v>
      </c>
      <c r="E848" s="121" t="s">
        <v>1478</v>
      </c>
      <c r="F848" s="121">
        <v>4</v>
      </c>
      <c r="G848" s="974" t="s">
        <v>2502</v>
      </c>
      <c r="H848" s="121">
        <v>4500119701</v>
      </c>
      <c r="I848" s="121"/>
      <c r="J848" s="121"/>
      <c r="K848" s="977">
        <v>2.2962799999999998E-2</v>
      </c>
      <c r="L848" s="121"/>
      <c r="M848" s="977">
        <v>2.2962799999999998E-2</v>
      </c>
      <c r="N848" s="979"/>
    </row>
    <row r="849" spans="2:14" ht="28" x14ac:dyDescent="0.3">
      <c r="B849" s="973">
        <v>834</v>
      </c>
      <c r="C849" s="386" t="s">
        <v>1909</v>
      </c>
      <c r="D849" s="386" t="s">
        <v>2504</v>
      </c>
      <c r="E849" s="121" t="s">
        <v>1478</v>
      </c>
      <c r="F849" s="121"/>
      <c r="G849" s="974" t="s">
        <v>2505</v>
      </c>
      <c r="H849" s="121">
        <v>4500119754</v>
      </c>
      <c r="I849" s="121"/>
      <c r="J849" s="121"/>
      <c r="K849" s="977">
        <v>2.4479922459999998E-2</v>
      </c>
      <c r="L849" s="121"/>
      <c r="M849" s="977">
        <v>2.4479922459999998E-2</v>
      </c>
      <c r="N849" s="979"/>
    </row>
    <row r="850" spans="2:14" ht="28" x14ac:dyDescent="0.3">
      <c r="B850" s="973">
        <v>835</v>
      </c>
      <c r="C850" s="386" t="s">
        <v>1909</v>
      </c>
      <c r="D850" s="386" t="s">
        <v>2506</v>
      </c>
      <c r="E850" s="121" t="s">
        <v>1483</v>
      </c>
      <c r="F850" s="121"/>
      <c r="G850" s="974" t="s">
        <v>2505</v>
      </c>
      <c r="H850" s="121">
        <v>4500119781</v>
      </c>
      <c r="I850" s="121"/>
      <c r="J850" s="121"/>
      <c r="K850" s="977">
        <v>3.166884E-3</v>
      </c>
      <c r="L850" s="121"/>
      <c r="M850" s="977">
        <v>3.166884E-3</v>
      </c>
      <c r="N850" s="979"/>
    </row>
    <row r="851" spans="2:14" ht="28" x14ac:dyDescent="0.3">
      <c r="B851" s="973">
        <v>836</v>
      </c>
      <c r="C851" s="386" t="s">
        <v>1927</v>
      </c>
      <c r="D851" s="386" t="s">
        <v>2507</v>
      </c>
      <c r="E851" s="121" t="s">
        <v>1478</v>
      </c>
      <c r="F851" s="121">
        <v>5</v>
      </c>
      <c r="G851" s="974" t="s">
        <v>2508</v>
      </c>
      <c r="H851" s="121">
        <v>4500119613</v>
      </c>
      <c r="I851" s="121"/>
      <c r="J851" s="121"/>
      <c r="K851" s="977">
        <v>1.6850400000000001E-2</v>
      </c>
      <c r="L851" s="121"/>
      <c r="M851" s="977">
        <v>1.6850400000000001E-2</v>
      </c>
      <c r="N851" s="979"/>
    </row>
    <row r="852" spans="2:14" x14ac:dyDescent="0.3">
      <c r="B852" s="973">
        <v>837</v>
      </c>
      <c r="C852" s="386" t="s">
        <v>1927</v>
      </c>
      <c r="D852" s="386" t="s">
        <v>2509</v>
      </c>
      <c r="E852" s="121" t="s">
        <v>1478</v>
      </c>
      <c r="F852" s="121">
        <v>5</v>
      </c>
      <c r="G852" s="974" t="s">
        <v>2510</v>
      </c>
      <c r="H852" s="121">
        <v>4500119819</v>
      </c>
      <c r="I852" s="121"/>
      <c r="J852" s="121"/>
      <c r="K852" s="977">
        <v>2.29211873E-2</v>
      </c>
      <c r="L852" s="121"/>
      <c r="M852" s="977">
        <v>2.29211873E-2</v>
      </c>
      <c r="N852" s="979"/>
    </row>
    <row r="853" spans="2:14" x14ac:dyDescent="0.3">
      <c r="B853" s="973">
        <v>838</v>
      </c>
      <c r="C853" s="386" t="s">
        <v>1927</v>
      </c>
      <c r="D853" s="386" t="s">
        <v>2511</v>
      </c>
      <c r="E853" s="121" t="s">
        <v>1478</v>
      </c>
      <c r="F853" s="121">
        <v>8</v>
      </c>
      <c r="G853" s="974" t="s">
        <v>2512</v>
      </c>
      <c r="H853" s="121">
        <v>4500118299</v>
      </c>
      <c r="I853" s="121"/>
      <c r="J853" s="121"/>
      <c r="K853" s="977">
        <v>0.13517246219080001</v>
      </c>
      <c r="L853" s="121"/>
      <c r="M853" s="977">
        <v>0.13517246219080001</v>
      </c>
      <c r="N853" s="979"/>
    </row>
    <row r="854" spans="2:14" x14ac:dyDescent="0.3">
      <c r="B854" s="973">
        <v>839</v>
      </c>
      <c r="C854" s="386" t="s">
        <v>1927</v>
      </c>
      <c r="D854" s="386" t="s">
        <v>2513</v>
      </c>
      <c r="E854" s="121" t="s">
        <v>1478</v>
      </c>
      <c r="F854" s="121">
        <v>5</v>
      </c>
      <c r="G854" s="974" t="s">
        <v>2514</v>
      </c>
      <c r="H854" s="121">
        <v>4500120312</v>
      </c>
      <c r="I854" s="121"/>
      <c r="J854" s="121"/>
      <c r="K854" s="977">
        <v>2.2891763999999998E-2</v>
      </c>
      <c r="L854" s="121"/>
      <c r="M854" s="977">
        <v>2.2891763999999998E-2</v>
      </c>
      <c r="N854" s="979"/>
    </row>
    <row r="855" spans="2:14" ht="28" x14ac:dyDescent="0.3">
      <c r="B855" s="973">
        <v>840</v>
      </c>
      <c r="C855" s="386" t="s">
        <v>1927</v>
      </c>
      <c r="D855" s="386" t="s">
        <v>2515</v>
      </c>
      <c r="E855" s="121" t="s">
        <v>1478</v>
      </c>
      <c r="F855" s="121">
        <v>4</v>
      </c>
      <c r="G855" s="974" t="s">
        <v>2514</v>
      </c>
      <c r="H855" s="121">
        <v>4500120010</v>
      </c>
      <c r="I855" s="121"/>
      <c r="J855" s="121"/>
      <c r="K855" s="977">
        <v>2.3457219999999997E-2</v>
      </c>
      <c r="L855" s="121"/>
      <c r="M855" s="977">
        <v>2.3457219999999997E-2</v>
      </c>
      <c r="N855" s="979"/>
    </row>
    <row r="856" spans="2:14" ht="28" x14ac:dyDescent="0.3">
      <c r="B856" s="973">
        <v>841</v>
      </c>
      <c r="C856" s="386" t="s">
        <v>1909</v>
      </c>
      <c r="D856" s="386" t="s">
        <v>2516</v>
      </c>
      <c r="E856" s="121" t="s">
        <v>1478</v>
      </c>
      <c r="F856" s="121">
        <v>4</v>
      </c>
      <c r="G856" s="974" t="s">
        <v>2517</v>
      </c>
      <c r="H856" s="121">
        <v>4500120320</v>
      </c>
      <c r="I856" s="121"/>
      <c r="J856" s="121"/>
      <c r="K856" s="977">
        <v>1.2893033999999999E-2</v>
      </c>
      <c r="L856" s="121"/>
      <c r="M856" s="977">
        <v>1.2893033999999999E-2</v>
      </c>
      <c r="N856" s="979"/>
    </row>
    <row r="857" spans="2:14" ht="28" x14ac:dyDescent="0.3">
      <c r="B857" s="973">
        <v>842</v>
      </c>
      <c r="C857" s="386" t="s">
        <v>1909</v>
      </c>
      <c r="D857" s="386" t="s">
        <v>2518</v>
      </c>
      <c r="E857" s="121" t="s">
        <v>1478</v>
      </c>
      <c r="F857" s="121">
        <v>5</v>
      </c>
      <c r="G857" s="974" t="s">
        <v>2519</v>
      </c>
      <c r="H857" s="121">
        <v>4500120612</v>
      </c>
      <c r="I857" s="121"/>
      <c r="J857" s="121"/>
      <c r="K857" s="977">
        <v>2.2759367999999999E-2</v>
      </c>
      <c r="L857" s="121"/>
      <c r="M857" s="977">
        <v>2.2759367999999999E-2</v>
      </c>
      <c r="N857" s="979"/>
    </row>
    <row r="858" spans="2:14" x14ac:dyDescent="0.3">
      <c r="B858" s="973">
        <v>843</v>
      </c>
      <c r="C858" s="386" t="s">
        <v>1909</v>
      </c>
      <c r="D858" s="386" t="s">
        <v>2520</v>
      </c>
      <c r="E858" s="121" t="s">
        <v>1478</v>
      </c>
      <c r="F858" s="121">
        <v>4</v>
      </c>
      <c r="G858" s="974" t="s">
        <v>2519</v>
      </c>
      <c r="H858" s="121">
        <v>4500120596</v>
      </c>
      <c r="I858" s="121"/>
      <c r="J858" s="121"/>
      <c r="K858" s="977">
        <v>2.2970587999999997E-2</v>
      </c>
      <c r="L858" s="121"/>
      <c r="M858" s="977">
        <v>2.2970587999999997E-2</v>
      </c>
      <c r="N858" s="979"/>
    </row>
    <row r="859" spans="2:14" ht="28" x14ac:dyDescent="0.3">
      <c r="B859" s="973">
        <v>844</v>
      </c>
      <c r="C859" s="386" t="s">
        <v>1927</v>
      </c>
      <c r="D859" s="386" t="s">
        <v>2521</v>
      </c>
      <c r="E859" s="121" t="s">
        <v>1478</v>
      </c>
      <c r="F859" s="121">
        <v>4</v>
      </c>
      <c r="G859" s="974" t="s">
        <v>2519</v>
      </c>
      <c r="H859" s="121">
        <v>4500120594</v>
      </c>
      <c r="I859" s="121"/>
      <c r="J859" s="121"/>
      <c r="K859" s="977">
        <v>2.3417453999999997E-2</v>
      </c>
      <c r="L859" s="121"/>
      <c r="M859" s="977">
        <v>2.3417453999999997E-2</v>
      </c>
      <c r="N859" s="979"/>
    </row>
    <row r="860" spans="2:14" x14ac:dyDescent="0.3">
      <c r="B860" s="973">
        <v>845</v>
      </c>
      <c r="C860" s="386" t="s">
        <v>1927</v>
      </c>
      <c r="D860" s="386" t="s">
        <v>2522</v>
      </c>
      <c r="E860" s="121" t="s">
        <v>1478</v>
      </c>
      <c r="F860" s="121">
        <v>6</v>
      </c>
      <c r="G860" s="974" t="s">
        <v>2523</v>
      </c>
      <c r="H860" s="121">
        <v>4500120649</v>
      </c>
      <c r="I860" s="121"/>
      <c r="J860" s="121"/>
      <c r="K860" s="977">
        <v>2.3145700000000002E-2</v>
      </c>
      <c r="L860" s="121"/>
      <c r="M860" s="977">
        <v>2.3145700000000002E-2</v>
      </c>
      <c r="N860" s="979"/>
    </row>
    <row r="861" spans="2:14" ht="28" x14ac:dyDescent="0.3">
      <c r="B861" s="973">
        <v>846</v>
      </c>
      <c r="C861" s="386" t="s">
        <v>1927</v>
      </c>
      <c r="D861" s="386" t="s">
        <v>2524</v>
      </c>
      <c r="E861" s="121" t="s">
        <v>1478</v>
      </c>
      <c r="F861" s="121">
        <v>3</v>
      </c>
      <c r="G861" s="974" t="s">
        <v>2523</v>
      </c>
      <c r="H861" s="121">
        <v>4500120652</v>
      </c>
      <c r="I861" s="121"/>
      <c r="J861" s="121"/>
      <c r="K861" s="977">
        <v>2.3418132499999997E-2</v>
      </c>
      <c r="L861" s="121"/>
      <c r="M861" s="977">
        <v>2.3418132499999997E-2</v>
      </c>
      <c r="N861" s="979"/>
    </row>
    <row r="862" spans="2:14" ht="28" x14ac:dyDescent="0.3">
      <c r="B862" s="973">
        <v>847</v>
      </c>
      <c r="C862" s="386" t="s">
        <v>1909</v>
      </c>
      <c r="D862" s="386" t="s">
        <v>2525</v>
      </c>
      <c r="E862" s="121" t="s">
        <v>1478</v>
      </c>
      <c r="F862" s="121">
        <v>3</v>
      </c>
      <c r="G862" s="974" t="s">
        <v>2523</v>
      </c>
      <c r="H862" s="121">
        <v>4500120690</v>
      </c>
      <c r="I862" s="121"/>
      <c r="J862" s="121"/>
      <c r="K862" s="977">
        <v>9.479695199999999E-2</v>
      </c>
      <c r="L862" s="121"/>
      <c r="M862" s="977">
        <v>9.479695199999999E-2</v>
      </c>
      <c r="N862" s="979"/>
    </row>
    <row r="863" spans="2:14" x14ac:dyDescent="0.3">
      <c r="B863" s="973">
        <v>848</v>
      </c>
      <c r="C863" s="386" t="s">
        <v>1927</v>
      </c>
      <c r="D863" s="386" t="s">
        <v>2526</v>
      </c>
      <c r="E863" s="121" t="s">
        <v>1478</v>
      </c>
      <c r="F863" s="121">
        <v>3</v>
      </c>
      <c r="G863" s="974" t="s">
        <v>2527</v>
      </c>
      <c r="H863" s="121">
        <v>4500120564</v>
      </c>
      <c r="I863" s="121"/>
      <c r="J863" s="121"/>
      <c r="K863" s="977">
        <v>3.2072400000000001E-2</v>
      </c>
      <c r="L863" s="121"/>
      <c r="M863" s="977">
        <v>3.2072400000000001E-2</v>
      </c>
      <c r="N863" s="979"/>
    </row>
    <row r="864" spans="2:14" ht="28" x14ac:dyDescent="0.3">
      <c r="B864" s="973">
        <v>849</v>
      </c>
      <c r="C864" s="386" t="s">
        <v>1909</v>
      </c>
      <c r="D864" s="386" t="s">
        <v>2528</v>
      </c>
      <c r="E864" s="121" t="s">
        <v>1478</v>
      </c>
      <c r="F864" s="121">
        <v>3</v>
      </c>
      <c r="G864" s="974" t="s">
        <v>2529</v>
      </c>
      <c r="H864" s="121">
        <v>4500120825</v>
      </c>
      <c r="I864" s="121"/>
      <c r="J864" s="121"/>
      <c r="K864" s="977">
        <v>6.0302365999999989E-2</v>
      </c>
      <c r="L864" s="121"/>
      <c r="M864" s="977">
        <v>6.0302365999999989E-2</v>
      </c>
      <c r="N864" s="979"/>
    </row>
    <row r="865" spans="2:14" ht="28" x14ac:dyDescent="0.3">
      <c r="B865" s="973">
        <v>850</v>
      </c>
      <c r="C865" s="386" t="s">
        <v>1927</v>
      </c>
      <c r="D865" s="386" t="s">
        <v>2530</v>
      </c>
      <c r="E865" s="121" t="s">
        <v>1478</v>
      </c>
      <c r="F865" s="121">
        <v>3</v>
      </c>
      <c r="G865" s="974" t="s">
        <v>2529</v>
      </c>
      <c r="H865" s="121">
        <v>4500120628</v>
      </c>
      <c r="I865" s="121"/>
      <c r="J865" s="121"/>
      <c r="K865" s="977">
        <v>3.8958644000000001E-2</v>
      </c>
      <c r="L865" s="121"/>
      <c r="M865" s="977">
        <v>3.8958644000000001E-2</v>
      </c>
      <c r="N865" s="979"/>
    </row>
    <row r="866" spans="2:14" ht="28" x14ac:dyDescent="0.3">
      <c r="B866" s="973">
        <v>851</v>
      </c>
      <c r="C866" s="386" t="s">
        <v>1927</v>
      </c>
      <c r="D866" s="386" t="s">
        <v>2531</v>
      </c>
      <c r="E866" s="121" t="s">
        <v>1478</v>
      </c>
      <c r="F866" s="121">
        <v>4</v>
      </c>
      <c r="G866" s="974" t="s">
        <v>2532</v>
      </c>
      <c r="H866" s="121">
        <v>4500120866</v>
      </c>
      <c r="I866" s="121"/>
      <c r="J866" s="121"/>
      <c r="K866" s="977">
        <v>9.3922689999999989E-2</v>
      </c>
      <c r="L866" s="121"/>
      <c r="M866" s="977">
        <v>9.3922689999999989E-2</v>
      </c>
      <c r="N866" s="979"/>
    </row>
    <row r="867" spans="2:14" x14ac:dyDescent="0.3">
      <c r="B867" s="973">
        <v>852</v>
      </c>
      <c r="C867" s="386" t="s">
        <v>1927</v>
      </c>
      <c r="D867" s="386" t="s">
        <v>2533</v>
      </c>
      <c r="E867" s="121" t="s">
        <v>1483</v>
      </c>
      <c r="F867" s="121"/>
      <c r="G867" s="974" t="s">
        <v>2532</v>
      </c>
      <c r="H867" s="121">
        <v>4500120648</v>
      </c>
      <c r="I867" s="121"/>
      <c r="J867" s="121"/>
      <c r="K867" s="977">
        <v>3.258216E-3</v>
      </c>
      <c r="L867" s="121"/>
      <c r="M867" s="977">
        <v>3.258216E-3</v>
      </c>
      <c r="N867" s="979"/>
    </row>
    <row r="868" spans="2:14" ht="28" x14ac:dyDescent="0.3">
      <c r="B868" s="973">
        <v>853</v>
      </c>
      <c r="C868" s="386" t="s">
        <v>1909</v>
      </c>
      <c r="D868" s="386" t="s">
        <v>2534</v>
      </c>
      <c r="E868" s="121" t="s">
        <v>1478</v>
      </c>
      <c r="F868" s="121">
        <v>3</v>
      </c>
      <c r="G868" s="974" t="s">
        <v>2535</v>
      </c>
      <c r="H868" s="121">
        <v>4500120932</v>
      </c>
      <c r="I868" s="121"/>
      <c r="J868" s="121"/>
      <c r="K868" s="977">
        <v>8.6046508482000003E-2</v>
      </c>
      <c r="L868" s="121"/>
      <c r="M868" s="977">
        <v>8.6046508482000003E-2</v>
      </c>
      <c r="N868" s="979"/>
    </row>
    <row r="869" spans="2:14" x14ac:dyDescent="0.3">
      <c r="B869" s="973">
        <v>854</v>
      </c>
      <c r="C869" s="386" t="s">
        <v>1927</v>
      </c>
      <c r="D869" s="386" t="s">
        <v>2536</v>
      </c>
      <c r="E869" s="121" t="s">
        <v>1478</v>
      </c>
      <c r="F869" s="121">
        <v>5</v>
      </c>
      <c r="G869" s="974" t="s">
        <v>2535</v>
      </c>
      <c r="H869" s="121">
        <v>4500120857</v>
      </c>
      <c r="I869" s="121"/>
      <c r="J869" s="121"/>
      <c r="K869" s="977">
        <v>1.8244168799999998E-2</v>
      </c>
      <c r="L869" s="121"/>
      <c r="M869" s="977">
        <v>1.8244168799999998E-2</v>
      </c>
      <c r="N869" s="979"/>
    </row>
    <row r="870" spans="2:14" x14ac:dyDescent="0.3">
      <c r="B870" s="973">
        <v>855</v>
      </c>
      <c r="C870" s="386" t="s">
        <v>1927</v>
      </c>
      <c r="D870" s="386" t="s">
        <v>2537</v>
      </c>
      <c r="E870" s="121" t="s">
        <v>1478</v>
      </c>
      <c r="F870" s="121">
        <v>4</v>
      </c>
      <c r="G870" s="974" t="s">
        <v>2535</v>
      </c>
      <c r="H870" s="121">
        <v>4500120889</v>
      </c>
      <c r="I870" s="121"/>
      <c r="J870" s="121"/>
      <c r="K870" s="977">
        <v>2.3480819999999999E-2</v>
      </c>
      <c r="L870" s="121"/>
      <c r="M870" s="977">
        <v>2.3480819999999999E-2</v>
      </c>
      <c r="N870" s="979"/>
    </row>
    <row r="871" spans="2:14" ht="28" x14ac:dyDescent="0.3">
      <c r="B871" s="973">
        <v>856</v>
      </c>
      <c r="C871" s="386" t="s">
        <v>1927</v>
      </c>
      <c r="D871" s="386" t="s">
        <v>2538</v>
      </c>
      <c r="E871" s="121" t="s">
        <v>1478</v>
      </c>
      <c r="F871" s="121">
        <v>5</v>
      </c>
      <c r="G871" s="974" t="s">
        <v>2535</v>
      </c>
      <c r="H871" s="121">
        <v>4500120887</v>
      </c>
      <c r="I871" s="121"/>
      <c r="J871" s="121"/>
      <c r="K871" s="977">
        <v>2.3351845999999999E-2</v>
      </c>
      <c r="L871" s="121"/>
      <c r="M871" s="977">
        <v>2.3351845999999999E-2</v>
      </c>
      <c r="N871" s="979"/>
    </row>
    <row r="872" spans="2:14" x14ac:dyDescent="0.3">
      <c r="B872" s="973">
        <v>857</v>
      </c>
      <c r="C872" s="386" t="s">
        <v>1909</v>
      </c>
      <c r="D872" s="386" t="s">
        <v>2539</v>
      </c>
      <c r="E872" s="121" t="s">
        <v>1478</v>
      </c>
      <c r="F872" s="121">
        <v>4</v>
      </c>
      <c r="G872" s="974" t="s">
        <v>2535</v>
      </c>
      <c r="H872" s="121">
        <v>4500120884</v>
      </c>
      <c r="I872" s="121"/>
      <c r="J872" s="121"/>
      <c r="K872" s="977">
        <v>2.3414975999999997E-2</v>
      </c>
      <c r="L872" s="121"/>
      <c r="M872" s="977">
        <v>2.3414975999999997E-2</v>
      </c>
      <c r="N872" s="979"/>
    </row>
    <row r="873" spans="2:14" x14ac:dyDescent="0.3">
      <c r="B873" s="973">
        <v>858</v>
      </c>
      <c r="C873" s="386" t="s">
        <v>1909</v>
      </c>
      <c r="D873" s="386" t="s">
        <v>2540</v>
      </c>
      <c r="E873" s="121" t="s">
        <v>1483</v>
      </c>
      <c r="F873" s="121"/>
      <c r="G873" s="974" t="s">
        <v>2535</v>
      </c>
      <c r="H873" s="121">
        <v>4500120930</v>
      </c>
      <c r="I873" s="121"/>
      <c r="J873" s="121"/>
      <c r="K873" s="977">
        <v>2.2417639999999998E-3</v>
      </c>
      <c r="L873" s="121"/>
      <c r="M873" s="977">
        <v>2.2417639999999998E-3</v>
      </c>
      <c r="N873" s="979"/>
    </row>
    <row r="874" spans="2:14" x14ac:dyDescent="0.3">
      <c r="B874" s="973">
        <v>859</v>
      </c>
      <c r="C874" s="386" t="s">
        <v>1927</v>
      </c>
      <c r="D874" s="386" t="s">
        <v>2541</v>
      </c>
      <c r="E874" s="121" t="s">
        <v>1478</v>
      </c>
      <c r="F874" s="121">
        <v>5</v>
      </c>
      <c r="G874" s="974" t="s">
        <v>2542</v>
      </c>
      <c r="H874" s="121">
        <v>4500120886</v>
      </c>
      <c r="I874" s="121"/>
      <c r="J874" s="121"/>
      <c r="K874" s="977">
        <v>0.35229513600000001</v>
      </c>
      <c r="L874" s="121"/>
      <c r="M874" s="977">
        <v>0.35229513600000001</v>
      </c>
      <c r="N874" s="979"/>
    </row>
    <row r="875" spans="2:14" ht="28" x14ac:dyDescent="0.3">
      <c r="B875" s="973">
        <v>860</v>
      </c>
      <c r="C875" s="386" t="s">
        <v>1909</v>
      </c>
      <c r="D875" s="386" t="s">
        <v>2543</v>
      </c>
      <c r="E875" s="121" t="s">
        <v>1478</v>
      </c>
      <c r="F875" s="121">
        <v>3</v>
      </c>
      <c r="G875" s="974" t="s">
        <v>2542</v>
      </c>
      <c r="H875" s="121">
        <v>4500120892</v>
      </c>
      <c r="I875" s="121"/>
      <c r="J875" s="121"/>
      <c r="K875" s="977">
        <v>8.2856531999999997E-2</v>
      </c>
      <c r="L875" s="121"/>
      <c r="M875" s="977">
        <v>8.2856531999999997E-2</v>
      </c>
      <c r="N875" s="979"/>
    </row>
    <row r="876" spans="2:14" ht="28" x14ac:dyDescent="0.3">
      <c r="B876" s="973">
        <v>861</v>
      </c>
      <c r="C876" s="386" t="s">
        <v>1909</v>
      </c>
      <c r="D876" s="386" t="s">
        <v>2544</v>
      </c>
      <c r="E876" s="121" t="s">
        <v>1483</v>
      </c>
      <c r="F876" s="121"/>
      <c r="G876" s="974" t="s">
        <v>2545</v>
      </c>
      <c r="H876" s="121">
        <v>4500121178</v>
      </c>
      <c r="I876" s="121"/>
      <c r="J876" s="121"/>
      <c r="K876" s="977">
        <v>2.672228E-3</v>
      </c>
      <c r="L876" s="121"/>
      <c r="M876" s="977">
        <v>2.672228E-3</v>
      </c>
      <c r="N876" s="979"/>
    </row>
    <row r="877" spans="2:14" ht="28" x14ac:dyDescent="0.3">
      <c r="B877" s="973">
        <v>862</v>
      </c>
      <c r="C877" s="386" t="s">
        <v>1909</v>
      </c>
      <c r="D877" s="386" t="s">
        <v>2546</v>
      </c>
      <c r="E877" s="121" t="s">
        <v>1483</v>
      </c>
      <c r="F877" s="121"/>
      <c r="G877" s="974" t="s">
        <v>2545</v>
      </c>
      <c r="H877" s="121">
        <v>4500121175</v>
      </c>
      <c r="I877" s="121"/>
      <c r="J877" s="121"/>
      <c r="K877" s="977">
        <v>2.9488199999999996E-3</v>
      </c>
      <c r="L877" s="121"/>
      <c r="M877" s="977">
        <v>2.9488199999999996E-3</v>
      </c>
      <c r="N877" s="979"/>
    </row>
    <row r="878" spans="2:14" ht="28" x14ac:dyDescent="0.3">
      <c r="B878" s="973">
        <v>863</v>
      </c>
      <c r="C878" s="386" t="s">
        <v>1909</v>
      </c>
      <c r="D878" s="386" t="s">
        <v>2547</v>
      </c>
      <c r="E878" s="121" t="s">
        <v>1483</v>
      </c>
      <c r="F878" s="121"/>
      <c r="G878" s="974" t="s">
        <v>2545</v>
      </c>
      <c r="H878" s="121">
        <v>4500121174</v>
      </c>
      <c r="I878" s="121"/>
      <c r="J878" s="121"/>
      <c r="K878" s="977">
        <v>2.9488199999999996E-3</v>
      </c>
      <c r="L878" s="121"/>
      <c r="M878" s="977">
        <v>2.9488199999999996E-3</v>
      </c>
      <c r="N878" s="979"/>
    </row>
    <row r="879" spans="2:14" ht="28" x14ac:dyDescent="0.3">
      <c r="B879" s="973">
        <v>864</v>
      </c>
      <c r="C879" s="386" t="s">
        <v>1909</v>
      </c>
      <c r="D879" s="386" t="s">
        <v>2548</v>
      </c>
      <c r="E879" s="121" t="s">
        <v>1483</v>
      </c>
      <c r="F879" s="121"/>
      <c r="G879" s="974" t="s">
        <v>2545</v>
      </c>
      <c r="H879" s="121">
        <v>4500121177</v>
      </c>
      <c r="I879" s="121"/>
      <c r="J879" s="121"/>
      <c r="K879" s="977">
        <v>5.8976399999999991E-3</v>
      </c>
      <c r="L879" s="121"/>
      <c r="M879" s="977">
        <v>5.8976399999999991E-3</v>
      </c>
      <c r="N879" s="979"/>
    </row>
    <row r="880" spans="2:14" ht="28" x14ac:dyDescent="0.3">
      <c r="B880" s="973">
        <v>865</v>
      </c>
      <c r="C880" s="386" t="s">
        <v>1927</v>
      </c>
      <c r="D880" s="386" t="s">
        <v>2549</v>
      </c>
      <c r="E880" s="121" t="s">
        <v>1478</v>
      </c>
      <c r="F880" s="121">
        <v>4</v>
      </c>
      <c r="G880" s="974" t="s">
        <v>2545</v>
      </c>
      <c r="H880" s="121">
        <v>4500121164</v>
      </c>
      <c r="I880" s="121"/>
      <c r="J880" s="121"/>
      <c r="K880" s="977">
        <v>2.3068409999999998E-2</v>
      </c>
      <c r="L880" s="121"/>
      <c r="M880" s="977">
        <v>2.3068409999999998E-2</v>
      </c>
      <c r="N880" s="979"/>
    </row>
    <row r="881" spans="2:14" x14ac:dyDescent="0.3">
      <c r="B881" s="973">
        <v>866</v>
      </c>
      <c r="C881" s="386" t="s">
        <v>1927</v>
      </c>
      <c r="D881" s="386" t="s">
        <v>2550</v>
      </c>
      <c r="E881" s="121" t="s">
        <v>1478</v>
      </c>
      <c r="F881" s="121">
        <v>4</v>
      </c>
      <c r="G881" s="974" t="s">
        <v>2545</v>
      </c>
      <c r="H881" s="121">
        <v>4500121165</v>
      </c>
      <c r="I881" s="121"/>
      <c r="J881" s="121"/>
      <c r="K881" s="977">
        <v>2.0734959999999997E-2</v>
      </c>
      <c r="L881" s="121"/>
      <c r="M881" s="977">
        <v>2.0734959999999997E-2</v>
      </c>
      <c r="N881" s="979"/>
    </row>
    <row r="882" spans="2:14" ht="28" x14ac:dyDescent="0.3">
      <c r="B882" s="973">
        <v>867</v>
      </c>
      <c r="C882" s="386" t="s">
        <v>1927</v>
      </c>
      <c r="D882" s="386" t="s">
        <v>2551</v>
      </c>
      <c r="E882" s="121" t="s">
        <v>1478</v>
      </c>
      <c r="F882" s="121"/>
      <c r="G882" s="974" t="s">
        <v>2545</v>
      </c>
      <c r="H882" s="121">
        <v>4500121181</v>
      </c>
      <c r="I882" s="121"/>
      <c r="J882" s="121"/>
      <c r="K882" s="977">
        <v>2.3287772000000002E-2</v>
      </c>
      <c r="L882" s="121"/>
      <c r="M882" s="977">
        <v>2.3287772000000002E-2</v>
      </c>
      <c r="N882" s="979"/>
    </row>
    <row r="883" spans="2:14" x14ac:dyDescent="0.3">
      <c r="B883" s="973">
        <v>868</v>
      </c>
      <c r="C883" s="386" t="s">
        <v>1909</v>
      </c>
      <c r="D883" s="386" t="s">
        <v>2552</v>
      </c>
      <c r="E883" s="121" t="s">
        <v>1478</v>
      </c>
      <c r="F883" s="121">
        <v>4</v>
      </c>
      <c r="G883" s="974" t="s">
        <v>2545</v>
      </c>
      <c r="H883" s="121">
        <v>4500121166</v>
      </c>
      <c r="I883" s="121"/>
      <c r="J883" s="121"/>
      <c r="K883" s="977">
        <v>2.3451437999999998E-2</v>
      </c>
      <c r="L883" s="121"/>
      <c r="M883" s="977">
        <v>2.3451437999999998E-2</v>
      </c>
      <c r="N883" s="979"/>
    </row>
    <row r="884" spans="2:14" ht="28" x14ac:dyDescent="0.3">
      <c r="B884" s="973">
        <v>869</v>
      </c>
      <c r="C884" s="386" t="s">
        <v>1927</v>
      </c>
      <c r="D884" s="386" t="s">
        <v>2553</v>
      </c>
      <c r="E884" s="121" t="s">
        <v>1478</v>
      </c>
      <c r="F884" s="121"/>
      <c r="G884" s="974" t="s">
        <v>2554</v>
      </c>
      <c r="H884" s="121">
        <v>4500121217</v>
      </c>
      <c r="I884" s="121"/>
      <c r="J884" s="121"/>
      <c r="K884" s="977">
        <v>2.3332139999999998E-2</v>
      </c>
      <c r="L884" s="121"/>
      <c r="M884" s="977">
        <v>2.3332139999999998E-2</v>
      </c>
      <c r="N884" s="979"/>
    </row>
    <row r="885" spans="2:14" ht="28" x14ac:dyDescent="0.3">
      <c r="B885" s="973">
        <v>870</v>
      </c>
      <c r="C885" s="386" t="s">
        <v>1927</v>
      </c>
      <c r="D885" s="386" t="s">
        <v>2555</v>
      </c>
      <c r="E885" s="121" t="s">
        <v>1478</v>
      </c>
      <c r="F885" s="121">
        <v>4</v>
      </c>
      <c r="G885" s="974" t="s">
        <v>2556</v>
      </c>
      <c r="H885" s="121">
        <v>4500121269</v>
      </c>
      <c r="I885" s="121"/>
      <c r="J885" s="121"/>
      <c r="K885" s="977">
        <v>1.3505100000000001E-2</v>
      </c>
      <c r="L885" s="121"/>
      <c r="M885" s="977">
        <v>1.3505100000000001E-2</v>
      </c>
      <c r="N885" s="979"/>
    </row>
    <row r="886" spans="2:14" x14ac:dyDescent="0.3">
      <c r="B886" s="973">
        <v>871</v>
      </c>
      <c r="C886" s="386" t="s">
        <v>1927</v>
      </c>
      <c r="D886" s="386" t="s">
        <v>2557</v>
      </c>
      <c r="E886" s="121" t="s">
        <v>1478</v>
      </c>
      <c r="F886" s="121">
        <v>4</v>
      </c>
      <c r="G886" s="974" t="s">
        <v>2558</v>
      </c>
      <c r="H886" s="121">
        <v>4500121282</v>
      </c>
      <c r="I886" s="121"/>
      <c r="J886" s="121"/>
      <c r="K886" s="977">
        <v>2.3194079999999999E-2</v>
      </c>
      <c r="L886" s="121"/>
      <c r="M886" s="977">
        <v>2.3194079999999999E-2</v>
      </c>
      <c r="N886" s="979"/>
    </row>
    <row r="887" spans="2:14" x14ac:dyDescent="0.3">
      <c r="B887" s="973">
        <v>872</v>
      </c>
      <c r="C887" s="386" t="s">
        <v>1909</v>
      </c>
      <c r="D887" s="386" t="s">
        <v>2559</v>
      </c>
      <c r="E887" s="121" t="s">
        <v>1478</v>
      </c>
      <c r="F887" s="121">
        <v>4</v>
      </c>
      <c r="G887" s="974" t="s">
        <v>2558</v>
      </c>
      <c r="H887" s="121">
        <v>4500121283</v>
      </c>
      <c r="I887" s="121"/>
      <c r="J887" s="121"/>
      <c r="K887" s="977">
        <v>2.2545382079999999E-2</v>
      </c>
      <c r="L887" s="121"/>
      <c r="M887" s="977">
        <v>2.2545382079999999E-2</v>
      </c>
      <c r="N887" s="979"/>
    </row>
    <row r="888" spans="2:14" x14ac:dyDescent="0.3">
      <c r="B888" s="973">
        <v>873</v>
      </c>
      <c r="C888" s="386" t="s">
        <v>1909</v>
      </c>
      <c r="D888" s="386" t="s">
        <v>2560</v>
      </c>
      <c r="E888" s="121" t="s">
        <v>1478</v>
      </c>
      <c r="F888" s="121">
        <v>6</v>
      </c>
      <c r="G888" s="974" t="s">
        <v>2558</v>
      </c>
      <c r="H888" s="121">
        <v>4500121284</v>
      </c>
      <c r="I888" s="121"/>
      <c r="J888" s="121"/>
      <c r="K888" s="977">
        <v>1.6726499999999998E-2</v>
      </c>
      <c r="L888" s="121"/>
      <c r="M888" s="977">
        <v>1.6726499999999998E-2</v>
      </c>
      <c r="N888" s="979"/>
    </row>
    <row r="889" spans="2:14" x14ac:dyDescent="0.3">
      <c r="B889" s="973">
        <v>874</v>
      </c>
      <c r="C889" s="386" t="s">
        <v>1909</v>
      </c>
      <c r="D889" s="386" t="s">
        <v>2561</v>
      </c>
      <c r="E889" s="121" t="s">
        <v>1478</v>
      </c>
      <c r="F889" s="121">
        <v>4</v>
      </c>
      <c r="G889" s="974" t="s">
        <v>2562</v>
      </c>
      <c r="H889" s="121">
        <v>4500121289</v>
      </c>
      <c r="I889" s="121"/>
      <c r="J889" s="121"/>
      <c r="K889" s="977">
        <v>2.2699989220000001E-2</v>
      </c>
      <c r="L889" s="121"/>
      <c r="M889" s="977">
        <v>2.2699989220000001E-2</v>
      </c>
      <c r="N889" s="979"/>
    </row>
    <row r="890" spans="2:14" x14ac:dyDescent="0.3">
      <c r="B890" s="973">
        <v>875</v>
      </c>
      <c r="C890" s="386" t="s">
        <v>1909</v>
      </c>
      <c r="D890" s="386" t="s">
        <v>2563</v>
      </c>
      <c r="E890" s="121" t="s">
        <v>1478</v>
      </c>
      <c r="F890" s="121"/>
      <c r="G890" s="974" t="s">
        <v>2562</v>
      </c>
      <c r="H890" s="121">
        <v>4500121288</v>
      </c>
      <c r="I890" s="121"/>
      <c r="J890" s="121"/>
      <c r="K890" s="977">
        <v>1.1795279999999998E-2</v>
      </c>
      <c r="L890" s="121"/>
      <c r="M890" s="977">
        <v>1.1795279999999998E-2</v>
      </c>
      <c r="N890" s="979"/>
    </row>
    <row r="891" spans="2:14" x14ac:dyDescent="0.3">
      <c r="B891" s="973">
        <v>876</v>
      </c>
      <c r="C891" s="386" t="s">
        <v>1927</v>
      </c>
      <c r="D891" s="386" t="s">
        <v>2564</v>
      </c>
      <c r="E891" s="121" t="s">
        <v>1478</v>
      </c>
      <c r="F891" s="121">
        <v>4</v>
      </c>
      <c r="G891" s="974" t="s">
        <v>2562</v>
      </c>
      <c r="H891" s="121">
        <v>4500121292</v>
      </c>
      <c r="I891" s="121"/>
      <c r="J891" s="121"/>
      <c r="K891" s="977">
        <v>2.31752E-2</v>
      </c>
      <c r="L891" s="121"/>
      <c r="M891" s="977">
        <v>2.31752E-2</v>
      </c>
      <c r="N891" s="979"/>
    </row>
    <row r="892" spans="2:14" x14ac:dyDescent="0.3">
      <c r="B892" s="973">
        <v>877</v>
      </c>
      <c r="C892" s="386" t="s">
        <v>1927</v>
      </c>
      <c r="D892" s="386" t="s">
        <v>2565</v>
      </c>
      <c r="E892" s="121" t="s">
        <v>1478</v>
      </c>
      <c r="F892" s="121">
        <v>6</v>
      </c>
      <c r="G892" s="974" t="s">
        <v>2566</v>
      </c>
      <c r="H892" s="121">
        <v>4500121480</v>
      </c>
      <c r="I892" s="121"/>
      <c r="J892" s="121"/>
      <c r="K892" s="977">
        <v>1.9491947999999999E-2</v>
      </c>
      <c r="L892" s="121"/>
      <c r="M892" s="977">
        <v>1.9491947999999999E-2</v>
      </c>
      <c r="N892" s="979"/>
    </row>
    <row r="893" spans="2:14" x14ac:dyDescent="0.3">
      <c r="B893" s="973">
        <v>878</v>
      </c>
      <c r="C893" s="386" t="s">
        <v>1927</v>
      </c>
      <c r="D893" s="386" t="s">
        <v>2567</v>
      </c>
      <c r="E893" s="121" t="s">
        <v>1478</v>
      </c>
      <c r="F893" s="121">
        <v>4</v>
      </c>
      <c r="G893" s="974" t="s">
        <v>2568</v>
      </c>
      <c r="H893" s="121">
        <v>4500121968</v>
      </c>
      <c r="I893" s="121"/>
      <c r="J893" s="121"/>
      <c r="K893" s="977">
        <v>2.2928424239999998E-2</v>
      </c>
      <c r="L893" s="121"/>
      <c r="M893" s="977">
        <v>2.2928424239999998E-2</v>
      </c>
      <c r="N893" s="979"/>
    </row>
    <row r="894" spans="2:14" ht="28" x14ac:dyDescent="0.3">
      <c r="B894" s="973">
        <v>879</v>
      </c>
      <c r="C894" s="386" t="s">
        <v>1927</v>
      </c>
      <c r="D894" s="386" t="s">
        <v>2569</v>
      </c>
      <c r="E894" s="121" t="s">
        <v>1483</v>
      </c>
      <c r="F894" s="121">
        <v>4</v>
      </c>
      <c r="G894" s="974" t="s">
        <v>2568</v>
      </c>
      <c r="H894" s="121">
        <v>4500121965</v>
      </c>
      <c r="I894" s="121"/>
      <c r="J894" s="121"/>
      <c r="K894" s="977">
        <v>2.7139999999999998E-3</v>
      </c>
      <c r="L894" s="121"/>
      <c r="M894" s="977">
        <v>2.7139999999999998E-3</v>
      </c>
      <c r="N894" s="979"/>
    </row>
    <row r="895" spans="2:14" ht="28" x14ac:dyDescent="0.3">
      <c r="B895" s="973">
        <v>880</v>
      </c>
      <c r="C895" s="386" t="s">
        <v>1927</v>
      </c>
      <c r="D895" s="386" t="s">
        <v>2570</v>
      </c>
      <c r="E895" s="121" t="s">
        <v>1478</v>
      </c>
      <c r="F895" s="121">
        <v>3</v>
      </c>
      <c r="G895" s="974" t="s">
        <v>2568</v>
      </c>
      <c r="H895" s="121">
        <v>4500121967</v>
      </c>
      <c r="I895" s="121"/>
      <c r="J895" s="121"/>
      <c r="K895" s="977">
        <v>1.3066965999999999E-2</v>
      </c>
      <c r="L895" s="121"/>
      <c r="M895" s="977">
        <v>1.3066965999999999E-2</v>
      </c>
      <c r="N895" s="979"/>
    </row>
    <row r="896" spans="2:14" ht="28" x14ac:dyDescent="0.3">
      <c r="B896" s="973">
        <v>881</v>
      </c>
      <c r="C896" s="386" t="s">
        <v>1909</v>
      </c>
      <c r="D896" s="386" t="s">
        <v>2571</v>
      </c>
      <c r="E896" s="121" t="s">
        <v>1478</v>
      </c>
      <c r="F896" s="121">
        <v>5</v>
      </c>
      <c r="G896" s="974" t="s">
        <v>2568</v>
      </c>
      <c r="H896" s="121">
        <v>4500122046</v>
      </c>
      <c r="I896" s="121"/>
      <c r="J896" s="121"/>
      <c r="K896" s="977">
        <v>7.7359029999999995E-2</v>
      </c>
      <c r="L896" s="121"/>
      <c r="M896" s="977">
        <v>7.7359029999999995E-2</v>
      </c>
      <c r="N896" s="979"/>
    </row>
    <row r="897" spans="2:14" x14ac:dyDescent="0.3">
      <c r="B897" s="973">
        <v>882</v>
      </c>
      <c r="C897" s="386" t="s">
        <v>1909</v>
      </c>
      <c r="D897" s="386" t="s">
        <v>2572</v>
      </c>
      <c r="E897" s="121" t="s">
        <v>1483</v>
      </c>
      <c r="F897" s="121"/>
      <c r="G897" s="974" t="s">
        <v>2573</v>
      </c>
      <c r="H897" s="121">
        <v>4500122199</v>
      </c>
      <c r="I897" s="121"/>
      <c r="J897" s="121"/>
      <c r="K897" s="977">
        <v>2.9452799999999998E-3</v>
      </c>
      <c r="L897" s="121"/>
      <c r="M897" s="977">
        <v>2.9452799999999998E-3</v>
      </c>
      <c r="N897" s="979"/>
    </row>
    <row r="898" spans="2:14" ht="28" x14ac:dyDescent="0.3">
      <c r="B898" s="973">
        <v>883</v>
      </c>
      <c r="C898" s="386" t="s">
        <v>1909</v>
      </c>
      <c r="D898" s="386" t="s">
        <v>2574</v>
      </c>
      <c r="E898" s="121" t="s">
        <v>1478</v>
      </c>
      <c r="F898" s="121">
        <v>3</v>
      </c>
      <c r="G898" s="974" t="s">
        <v>2575</v>
      </c>
      <c r="H898" s="121">
        <v>4500122201</v>
      </c>
      <c r="I898" s="121"/>
      <c r="J898" s="121"/>
      <c r="K898" s="977">
        <v>4.1738015999999996E-2</v>
      </c>
      <c r="L898" s="121"/>
      <c r="M898" s="977">
        <v>4.1738015999999996E-2</v>
      </c>
      <c r="N898" s="979"/>
    </row>
    <row r="899" spans="2:14" ht="28" x14ac:dyDescent="0.3">
      <c r="B899" s="973">
        <v>884</v>
      </c>
      <c r="C899" s="386" t="s">
        <v>1909</v>
      </c>
      <c r="D899" s="386" t="s">
        <v>2576</v>
      </c>
      <c r="E899" s="121" t="s">
        <v>1478</v>
      </c>
      <c r="F899" s="121">
        <v>7</v>
      </c>
      <c r="G899" s="974" t="s">
        <v>2575</v>
      </c>
      <c r="H899" s="121">
        <v>4500122205</v>
      </c>
      <c r="I899" s="121"/>
      <c r="J899" s="121"/>
      <c r="K899" s="977">
        <v>4.2055653119999994E-2</v>
      </c>
      <c r="L899" s="121"/>
      <c r="M899" s="977">
        <v>4.2055653119999994E-2</v>
      </c>
      <c r="N899" s="979"/>
    </row>
    <row r="900" spans="2:14" x14ac:dyDescent="0.3">
      <c r="B900" s="973">
        <v>885</v>
      </c>
      <c r="C900" s="386" t="s">
        <v>1909</v>
      </c>
      <c r="D900" s="386" t="s">
        <v>2577</v>
      </c>
      <c r="E900" s="121" t="s">
        <v>1478</v>
      </c>
      <c r="F900" s="121">
        <v>4</v>
      </c>
      <c r="G900" s="974" t="s">
        <v>2578</v>
      </c>
      <c r="H900" s="121">
        <v>4500121434</v>
      </c>
      <c r="I900" s="121"/>
      <c r="J900" s="121"/>
      <c r="K900" s="977">
        <v>2.328494E-2</v>
      </c>
      <c r="L900" s="121"/>
      <c r="M900" s="977">
        <v>2.328494E-2</v>
      </c>
      <c r="N900" s="979"/>
    </row>
    <row r="901" spans="2:14" x14ac:dyDescent="0.3">
      <c r="B901" s="973">
        <v>886</v>
      </c>
      <c r="C901" s="386" t="s">
        <v>1909</v>
      </c>
      <c r="D901" s="386" t="s">
        <v>2579</v>
      </c>
      <c r="E901" s="121" t="s">
        <v>1478</v>
      </c>
      <c r="F901" s="121">
        <v>4</v>
      </c>
      <c r="G901" s="974" t="s">
        <v>2578</v>
      </c>
      <c r="H901" s="121">
        <v>4500122330</v>
      </c>
      <c r="I901" s="121"/>
      <c r="J901" s="121"/>
      <c r="K901" s="977">
        <v>2.0957508E-2</v>
      </c>
      <c r="L901" s="121"/>
      <c r="M901" s="977">
        <v>2.0957508E-2</v>
      </c>
      <c r="N901" s="979"/>
    </row>
    <row r="902" spans="2:14" ht="28" x14ac:dyDescent="0.3">
      <c r="B902" s="973">
        <v>887</v>
      </c>
      <c r="C902" s="386" t="s">
        <v>1909</v>
      </c>
      <c r="D902" s="386" t="s">
        <v>2580</v>
      </c>
      <c r="E902" s="121" t="s">
        <v>1478</v>
      </c>
      <c r="F902" s="121">
        <v>2</v>
      </c>
      <c r="G902" s="974" t="s">
        <v>2581</v>
      </c>
      <c r="H902" s="121">
        <v>4500122440</v>
      </c>
      <c r="I902" s="121"/>
      <c r="J902" s="121"/>
      <c r="K902" s="977">
        <v>4.7789999999999999E-2</v>
      </c>
      <c r="L902" s="121"/>
      <c r="M902" s="977">
        <v>4.7789999999999999E-2</v>
      </c>
      <c r="N902" s="979"/>
    </row>
    <row r="903" spans="2:14" ht="28" x14ac:dyDescent="0.3">
      <c r="B903" s="973">
        <v>888</v>
      </c>
      <c r="C903" s="386" t="s">
        <v>1909</v>
      </c>
      <c r="D903" s="386" t="s">
        <v>2582</v>
      </c>
      <c r="E903" s="121" t="s">
        <v>1483</v>
      </c>
      <c r="F903" s="121"/>
      <c r="G903" s="974" t="s">
        <v>1345</v>
      </c>
      <c r="H903" s="121">
        <v>4500122461</v>
      </c>
      <c r="I903" s="121"/>
      <c r="J903" s="121"/>
      <c r="K903" s="977">
        <v>0</v>
      </c>
      <c r="L903" s="121"/>
      <c r="M903" s="977">
        <v>0</v>
      </c>
      <c r="N903" s="979"/>
    </row>
    <row r="904" spans="2:14" ht="28" x14ac:dyDescent="0.3">
      <c r="B904" s="973">
        <v>889</v>
      </c>
      <c r="C904" s="386" t="s">
        <v>1909</v>
      </c>
      <c r="D904" s="386" t="s">
        <v>2583</v>
      </c>
      <c r="E904" s="121" t="s">
        <v>1478</v>
      </c>
      <c r="F904" s="121">
        <v>4</v>
      </c>
      <c r="G904" s="974" t="s">
        <v>2584</v>
      </c>
      <c r="H904" s="121">
        <v>4500122591</v>
      </c>
      <c r="I904" s="121"/>
      <c r="J904" s="121"/>
      <c r="K904" s="977">
        <v>2.2549799999999998E-2</v>
      </c>
      <c r="L904" s="121"/>
      <c r="M904" s="977">
        <v>2.2549799999999998E-2</v>
      </c>
      <c r="N904" s="979"/>
    </row>
    <row r="905" spans="2:14" x14ac:dyDescent="0.3">
      <c r="B905" s="973">
        <v>890</v>
      </c>
      <c r="C905" s="386" t="s">
        <v>1909</v>
      </c>
      <c r="D905" s="386" t="s">
        <v>2585</v>
      </c>
      <c r="E905" s="121" t="s">
        <v>1478</v>
      </c>
      <c r="F905" s="121">
        <v>3</v>
      </c>
      <c r="G905" s="974" t="s">
        <v>2586</v>
      </c>
      <c r="H905" s="121">
        <v>4500122719</v>
      </c>
      <c r="I905" s="121"/>
      <c r="J905" s="121"/>
      <c r="K905" s="977">
        <v>1.90857743E-2</v>
      </c>
      <c r="L905" s="121"/>
      <c r="M905" s="977">
        <v>1.90857743E-2</v>
      </c>
      <c r="N905" s="979"/>
    </row>
    <row r="906" spans="2:14" ht="28" x14ac:dyDescent="0.3">
      <c r="B906" s="973">
        <v>891</v>
      </c>
      <c r="C906" s="386" t="s">
        <v>1909</v>
      </c>
      <c r="D906" s="386" t="s">
        <v>2587</v>
      </c>
      <c r="E906" s="121" t="s">
        <v>1483</v>
      </c>
      <c r="F906" s="121"/>
      <c r="G906" s="974" t="s">
        <v>2588</v>
      </c>
      <c r="H906" s="121">
        <v>4500122755</v>
      </c>
      <c r="I906" s="121"/>
      <c r="J906" s="121"/>
      <c r="K906" s="977">
        <v>0</v>
      </c>
      <c r="L906" s="121"/>
      <c r="M906" s="977">
        <v>0</v>
      </c>
      <c r="N906" s="979"/>
    </row>
    <row r="907" spans="2:14" x14ac:dyDescent="0.3">
      <c r="B907" s="973">
        <v>892</v>
      </c>
      <c r="C907" s="386" t="s">
        <v>1909</v>
      </c>
      <c r="D907" s="386" t="s">
        <v>2589</v>
      </c>
      <c r="E907" s="121" t="s">
        <v>1478</v>
      </c>
      <c r="F907" s="121">
        <v>4</v>
      </c>
      <c r="G907" s="974" t="s">
        <v>2590</v>
      </c>
      <c r="H907" s="121">
        <v>4500122993</v>
      </c>
      <c r="I907" s="121"/>
      <c r="J907" s="121"/>
      <c r="K907" s="977">
        <v>2.3444475999999999E-2</v>
      </c>
      <c r="L907" s="121"/>
      <c r="M907" s="977">
        <v>2.3444475999999999E-2</v>
      </c>
      <c r="N907" s="979"/>
    </row>
    <row r="908" spans="2:14" x14ac:dyDescent="0.3">
      <c r="B908" s="973">
        <v>893</v>
      </c>
      <c r="C908" s="386" t="s">
        <v>1927</v>
      </c>
      <c r="D908" s="386" t="s">
        <v>2591</v>
      </c>
      <c r="E908" s="121" t="s">
        <v>1478</v>
      </c>
      <c r="F908" s="121"/>
      <c r="G908" s="974" t="s">
        <v>2592</v>
      </c>
      <c r="H908" s="121">
        <v>4500123272</v>
      </c>
      <c r="I908" s="121"/>
      <c r="J908" s="121"/>
      <c r="K908" s="977">
        <v>4.4168343999999998E-2</v>
      </c>
      <c r="L908" s="121"/>
      <c r="M908" s="977">
        <v>4.4168343999999998E-2</v>
      </c>
      <c r="N908" s="979"/>
    </row>
    <row r="909" spans="2:14" ht="28" x14ac:dyDescent="0.3">
      <c r="B909" s="973">
        <v>894</v>
      </c>
      <c r="C909" s="386" t="s">
        <v>1909</v>
      </c>
      <c r="D909" s="386" t="s">
        <v>2593</v>
      </c>
      <c r="E909" s="121" t="s">
        <v>1478</v>
      </c>
      <c r="F909" s="121">
        <v>4</v>
      </c>
      <c r="G909" s="974" t="s">
        <v>2592</v>
      </c>
      <c r="H909" s="121">
        <v>4500123260</v>
      </c>
      <c r="I909" s="121"/>
      <c r="J909" s="121"/>
      <c r="K909" s="977">
        <v>4.4818523999999998E-2</v>
      </c>
      <c r="L909" s="121"/>
      <c r="M909" s="977">
        <v>4.4818523999999998E-2</v>
      </c>
      <c r="N909" s="979"/>
    </row>
    <row r="910" spans="2:14" ht="28" x14ac:dyDescent="0.3">
      <c r="B910" s="973">
        <v>895</v>
      </c>
      <c r="C910" s="386" t="s">
        <v>1909</v>
      </c>
      <c r="D910" s="386" t="s">
        <v>2594</v>
      </c>
      <c r="E910" s="121" t="s">
        <v>1478</v>
      </c>
      <c r="F910" s="121">
        <v>5</v>
      </c>
      <c r="G910" s="974" t="s">
        <v>2595</v>
      </c>
      <c r="H910" s="121">
        <v>4500123303</v>
      </c>
      <c r="I910" s="121"/>
      <c r="J910" s="121"/>
      <c r="K910" s="977">
        <v>1.8426407999999998E-2</v>
      </c>
      <c r="L910" s="121"/>
      <c r="M910" s="977">
        <v>1.8426407999999998E-2</v>
      </c>
      <c r="N910" s="979"/>
    </row>
    <row r="911" spans="2:14" ht="28" x14ac:dyDescent="0.3">
      <c r="B911" s="973">
        <v>896</v>
      </c>
      <c r="C911" s="386" t="s">
        <v>1909</v>
      </c>
      <c r="D911" s="386" t="s">
        <v>2596</v>
      </c>
      <c r="E911" s="121" t="s">
        <v>1478</v>
      </c>
      <c r="F911" s="121"/>
      <c r="G911" s="974" t="s">
        <v>2597</v>
      </c>
      <c r="H911" s="121">
        <v>4500123442</v>
      </c>
      <c r="I911" s="121"/>
      <c r="J911" s="121"/>
      <c r="K911" s="977">
        <v>2.3005497119999996E-2</v>
      </c>
      <c r="L911" s="121"/>
      <c r="M911" s="977">
        <v>2.3005497119999996E-2</v>
      </c>
      <c r="N911" s="979"/>
    </row>
    <row r="912" spans="2:14" ht="28" x14ac:dyDescent="0.3">
      <c r="B912" s="973">
        <v>897</v>
      </c>
      <c r="C912" s="386" t="s">
        <v>1927</v>
      </c>
      <c r="D912" s="386" t="s">
        <v>2598</v>
      </c>
      <c r="E912" s="121" t="s">
        <v>1478</v>
      </c>
      <c r="F912" s="121"/>
      <c r="G912" s="974" t="s">
        <v>2599</v>
      </c>
      <c r="H912" s="121">
        <v>4500123436</v>
      </c>
      <c r="I912" s="121"/>
      <c r="J912" s="121"/>
      <c r="K912" s="977">
        <v>7.3819025279999992E-2</v>
      </c>
      <c r="L912" s="121"/>
      <c r="M912" s="977">
        <v>7.3819025279999992E-2</v>
      </c>
      <c r="N912" s="979"/>
    </row>
    <row r="913" spans="2:14" ht="28" x14ac:dyDescent="0.3">
      <c r="B913" s="973">
        <v>898</v>
      </c>
      <c r="C913" s="386" t="s">
        <v>1909</v>
      </c>
      <c r="D913" s="386" t="s">
        <v>2600</v>
      </c>
      <c r="E913" s="121" t="s">
        <v>1478</v>
      </c>
      <c r="F913" s="121">
        <v>4</v>
      </c>
      <c r="G913" s="974" t="s">
        <v>2599</v>
      </c>
      <c r="H913" s="121">
        <v>4500123441</v>
      </c>
      <c r="I913" s="121"/>
      <c r="J913" s="121"/>
      <c r="K913" s="977">
        <v>2.0543209999999999E-2</v>
      </c>
      <c r="L913" s="121"/>
      <c r="M913" s="977">
        <v>2.0543209999999999E-2</v>
      </c>
      <c r="N913" s="979"/>
    </row>
    <row r="914" spans="2:14" x14ac:dyDescent="0.3">
      <c r="B914" s="973">
        <v>899</v>
      </c>
      <c r="C914" s="386" t="s">
        <v>1927</v>
      </c>
      <c r="D914" s="386" t="s">
        <v>2601</v>
      </c>
      <c r="E914" s="121" t="s">
        <v>1478</v>
      </c>
      <c r="F914" s="121">
        <v>4</v>
      </c>
      <c r="G914" s="974" t="s">
        <v>2599</v>
      </c>
      <c r="H914" s="121">
        <v>4500123440</v>
      </c>
      <c r="I914" s="121"/>
      <c r="J914" s="121"/>
      <c r="K914" s="977">
        <v>2.3180745999999999E-2</v>
      </c>
      <c r="L914" s="121"/>
      <c r="M914" s="977">
        <v>2.3180745999999999E-2</v>
      </c>
      <c r="N914" s="979"/>
    </row>
    <row r="915" spans="2:14" ht="28" x14ac:dyDescent="0.3">
      <c r="B915" s="973">
        <v>900</v>
      </c>
      <c r="C915" s="386" t="s">
        <v>1927</v>
      </c>
      <c r="D915" s="386" t="s">
        <v>2602</v>
      </c>
      <c r="E915" s="121" t="s">
        <v>1478</v>
      </c>
      <c r="F915" s="121"/>
      <c r="G915" s="974" t="s">
        <v>2603</v>
      </c>
      <c r="H915" s="121">
        <v>4500123420</v>
      </c>
      <c r="I915" s="121"/>
      <c r="J915" s="121"/>
      <c r="K915" s="977">
        <v>8.5433736959999992E-2</v>
      </c>
      <c r="L915" s="121"/>
      <c r="M915" s="977">
        <v>8.5433736959999992E-2</v>
      </c>
      <c r="N915" s="979"/>
    </row>
    <row r="916" spans="2:14" ht="28" x14ac:dyDescent="0.3">
      <c r="B916" s="973">
        <v>901</v>
      </c>
      <c r="C916" s="386" t="s">
        <v>1909</v>
      </c>
      <c r="D916" s="386" t="s">
        <v>2604</v>
      </c>
      <c r="E916" s="121" t="s">
        <v>1478</v>
      </c>
      <c r="F916" s="121">
        <v>6</v>
      </c>
      <c r="G916" s="974" t="s">
        <v>2603</v>
      </c>
      <c r="H916" s="121">
        <v>4500123492</v>
      </c>
      <c r="I916" s="121"/>
      <c r="J916" s="121"/>
      <c r="K916" s="977">
        <v>4.3693629999999997E-2</v>
      </c>
      <c r="L916" s="121"/>
      <c r="M916" s="977">
        <v>4.3693629999999997E-2</v>
      </c>
      <c r="N916" s="979"/>
    </row>
    <row r="917" spans="2:14" ht="28" x14ac:dyDescent="0.3">
      <c r="B917" s="973">
        <v>902</v>
      </c>
      <c r="C917" s="386" t="s">
        <v>1909</v>
      </c>
      <c r="D917" s="386" t="s">
        <v>2605</v>
      </c>
      <c r="E917" s="121" t="s">
        <v>1478</v>
      </c>
      <c r="F917" s="121">
        <v>5</v>
      </c>
      <c r="G917" s="974" t="s">
        <v>2606</v>
      </c>
      <c r="H917" s="121">
        <v>4500123421</v>
      </c>
      <c r="I917" s="121"/>
      <c r="J917" s="121"/>
      <c r="K917" s="977">
        <v>0.17345214119999997</v>
      </c>
      <c r="L917" s="121"/>
      <c r="M917" s="977">
        <v>0.17345214119999997</v>
      </c>
      <c r="N917" s="979"/>
    </row>
    <row r="918" spans="2:14" ht="28" x14ac:dyDescent="0.3">
      <c r="B918" s="973">
        <v>903</v>
      </c>
      <c r="C918" s="386" t="s">
        <v>1909</v>
      </c>
      <c r="D918" s="386" t="s">
        <v>2607</v>
      </c>
      <c r="E918" s="121" t="s">
        <v>1478</v>
      </c>
      <c r="F918" s="121">
        <v>5</v>
      </c>
      <c r="G918" s="974" t="s">
        <v>2606</v>
      </c>
      <c r="H918" s="121">
        <v>4500123423</v>
      </c>
      <c r="I918" s="121"/>
      <c r="J918" s="121"/>
      <c r="K918" s="977">
        <v>0.17345214119999997</v>
      </c>
      <c r="L918" s="121"/>
      <c r="M918" s="977">
        <v>0.17345214119999997</v>
      </c>
      <c r="N918" s="979"/>
    </row>
    <row r="919" spans="2:14" ht="28" x14ac:dyDescent="0.3">
      <c r="B919" s="973">
        <v>904</v>
      </c>
      <c r="C919" s="386" t="s">
        <v>1909</v>
      </c>
      <c r="D919" s="386" t="s">
        <v>2608</v>
      </c>
      <c r="E919" s="121" t="s">
        <v>1478</v>
      </c>
      <c r="F919" s="121">
        <v>5</v>
      </c>
      <c r="G919" s="974" t="s">
        <v>2606</v>
      </c>
      <c r="H919" s="121">
        <v>4500123422</v>
      </c>
      <c r="I919" s="121"/>
      <c r="J919" s="121"/>
      <c r="K919" s="977">
        <v>0.17345214119999997</v>
      </c>
      <c r="L919" s="121"/>
      <c r="M919" s="977">
        <v>0.17345214119999997</v>
      </c>
      <c r="N919" s="979"/>
    </row>
    <row r="920" spans="2:14" ht="28" x14ac:dyDescent="0.3">
      <c r="B920" s="973">
        <v>905</v>
      </c>
      <c r="C920" s="386" t="s">
        <v>1909</v>
      </c>
      <c r="D920" s="386" t="s">
        <v>2609</v>
      </c>
      <c r="E920" s="121" t="s">
        <v>1478</v>
      </c>
      <c r="F920" s="121">
        <v>3</v>
      </c>
      <c r="G920" s="974" t="s">
        <v>2606</v>
      </c>
      <c r="H920" s="121">
        <v>4500123410</v>
      </c>
      <c r="I920" s="121"/>
      <c r="J920" s="121"/>
      <c r="K920" s="977">
        <v>8.5359547999999993E-2</v>
      </c>
      <c r="L920" s="121"/>
      <c r="M920" s="977">
        <v>8.5359547999999993E-2</v>
      </c>
      <c r="N920" s="979"/>
    </row>
    <row r="921" spans="2:14" x14ac:dyDescent="0.3">
      <c r="B921" s="973">
        <v>906</v>
      </c>
      <c r="C921" s="386" t="s">
        <v>1927</v>
      </c>
      <c r="D921" s="386" t="s">
        <v>2610</v>
      </c>
      <c r="E921" s="121" t="s">
        <v>1478</v>
      </c>
      <c r="F921" s="121"/>
      <c r="G921" s="974" t="s">
        <v>2611</v>
      </c>
      <c r="H921" s="121">
        <v>4500123609</v>
      </c>
      <c r="I921" s="121"/>
      <c r="J921" s="121"/>
      <c r="K921" s="977">
        <v>2.1058752E-2</v>
      </c>
      <c r="L921" s="121"/>
      <c r="M921" s="977">
        <v>2.1058752E-2</v>
      </c>
      <c r="N921" s="979"/>
    </row>
    <row r="922" spans="2:14" x14ac:dyDescent="0.3">
      <c r="B922" s="973">
        <v>907</v>
      </c>
      <c r="C922" s="386" t="s">
        <v>1909</v>
      </c>
      <c r="D922" s="386" t="s">
        <v>2612</v>
      </c>
      <c r="E922" s="121" t="s">
        <v>1478</v>
      </c>
      <c r="F922" s="121">
        <v>4</v>
      </c>
      <c r="G922" s="974" t="s">
        <v>2613</v>
      </c>
      <c r="H922" s="121">
        <v>4500123633</v>
      </c>
      <c r="I922" s="121"/>
      <c r="J922" s="121"/>
      <c r="K922" s="977">
        <v>2.3571068760000001E-2</v>
      </c>
      <c r="L922" s="121"/>
      <c r="M922" s="977">
        <v>2.3571068760000001E-2</v>
      </c>
      <c r="N922" s="979"/>
    </row>
    <row r="923" spans="2:14" ht="28" x14ac:dyDescent="0.3">
      <c r="B923" s="973">
        <v>908</v>
      </c>
      <c r="C923" s="386" t="s">
        <v>1927</v>
      </c>
      <c r="D923" s="386" t="s">
        <v>2614</v>
      </c>
      <c r="E923" s="121" t="s">
        <v>1478</v>
      </c>
      <c r="F923" s="121">
        <v>4</v>
      </c>
      <c r="G923" s="974" t="s">
        <v>2615</v>
      </c>
      <c r="H923" s="121">
        <v>4500123611</v>
      </c>
      <c r="I923" s="121"/>
      <c r="J923" s="121"/>
      <c r="K923" s="977">
        <v>2.2813884E-2</v>
      </c>
      <c r="L923" s="121"/>
      <c r="M923" s="977">
        <v>2.2813884E-2</v>
      </c>
      <c r="N923" s="979"/>
    </row>
    <row r="924" spans="2:14" ht="28" x14ac:dyDescent="0.3">
      <c r="B924" s="973">
        <v>909</v>
      </c>
      <c r="C924" s="386" t="s">
        <v>1909</v>
      </c>
      <c r="D924" s="386" t="s">
        <v>2616</v>
      </c>
      <c r="E924" s="121" t="s">
        <v>1478</v>
      </c>
      <c r="F924" s="121">
        <v>3</v>
      </c>
      <c r="G924" s="974" t="s">
        <v>2617</v>
      </c>
      <c r="H924" s="121">
        <v>4500123723</v>
      </c>
      <c r="I924" s="121"/>
      <c r="J924" s="121"/>
      <c r="K924" s="977">
        <v>3.5385839999999995E-2</v>
      </c>
      <c r="L924" s="121"/>
      <c r="M924" s="977">
        <v>3.5385839999999995E-2</v>
      </c>
      <c r="N924" s="979"/>
    </row>
    <row r="925" spans="2:14" ht="28" x14ac:dyDescent="0.3">
      <c r="B925" s="973">
        <v>910</v>
      </c>
      <c r="C925" s="386" t="s">
        <v>1909</v>
      </c>
      <c r="D925" s="386" t="s">
        <v>2618</v>
      </c>
      <c r="E925" s="121" t="s">
        <v>1478</v>
      </c>
      <c r="F925" s="121">
        <v>3</v>
      </c>
      <c r="G925" s="974" t="s">
        <v>2617</v>
      </c>
      <c r="H925" s="121">
        <v>4500123709</v>
      </c>
      <c r="I925" s="121"/>
      <c r="J925" s="121"/>
      <c r="K925" s="977">
        <v>8.5193876000000002E-2</v>
      </c>
      <c r="L925" s="121"/>
      <c r="M925" s="977">
        <v>8.5193876000000002E-2</v>
      </c>
      <c r="N925" s="979"/>
    </row>
    <row r="926" spans="2:14" x14ac:dyDescent="0.3">
      <c r="B926" s="973">
        <v>911</v>
      </c>
      <c r="C926" s="386" t="s">
        <v>1920</v>
      </c>
      <c r="D926" s="386" t="s">
        <v>2619</v>
      </c>
      <c r="E926" s="121" t="s">
        <v>1478</v>
      </c>
      <c r="F926" s="121">
        <v>4</v>
      </c>
      <c r="G926" s="974" t="s">
        <v>2620</v>
      </c>
      <c r="H926" s="121">
        <v>4500123807</v>
      </c>
      <c r="I926" s="121"/>
      <c r="J926" s="121"/>
      <c r="K926" s="977">
        <v>3.5400000000000001E-2</v>
      </c>
      <c r="L926" s="121"/>
      <c r="M926" s="977">
        <v>3.5400000000000001E-2</v>
      </c>
      <c r="N926" s="979"/>
    </row>
    <row r="927" spans="2:14" x14ac:dyDescent="0.3">
      <c r="B927" s="973">
        <v>912</v>
      </c>
      <c r="C927" s="386" t="s">
        <v>1927</v>
      </c>
      <c r="D927" s="386" t="s">
        <v>2621</v>
      </c>
      <c r="E927" s="121" t="s">
        <v>1478</v>
      </c>
      <c r="F927" s="121">
        <v>5</v>
      </c>
      <c r="G927" s="974" t="s">
        <v>2622</v>
      </c>
      <c r="H927" s="121">
        <v>4500123820</v>
      </c>
      <c r="I927" s="121"/>
      <c r="J927" s="121"/>
      <c r="K927" s="977">
        <v>4.8147539999999996E-2</v>
      </c>
      <c r="L927" s="121"/>
      <c r="M927" s="977">
        <v>4.8147539999999996E-2</v>
      </c>
      <c r="N927" s="979"/>
    </row>
    <row r="928" spans="2:14" x14ac:dyDescent="0.3">
      <c r="B928" s="973">
        <v>913</v>
      </c>
      <c r="C928" s="386" t="s">
        <v>1927</v>
      </c>
      <c r="D928" s="386" t="s">
        <v>2623</v>
      </c>
      <c r="E928" s="121" t="s">
        <v>1478</v>
      </c>
      <c r="F928" s="121">
        <v>3</v>
      </c>
      <c r="G928" s="974" t="s">
        <v>2622</v>
      </c>
      <c r="H928" s="121">
        <v>4500123822</v>
      </c>
      <c r="I928" s="121"/>
      <c r="J928" s="121"/>
      <c r="K928" s="977">
        <v>2.3287965520000002E-2</v>
      </c>
      <c r="L928" s="121"/>
      <c r="M928" s="977">
        <v>2.3287965520000002E-2</v>
      </c>
      <c r="N928" s="979"/>
    </row>
    <row r="929" spans="2:14" x14ac:dyDescent="0.3">
      <c r="B929" s="973">
        <v>914</v>
      </c>
      <c r="C929" s="386" t="s">
        <v>1927</v>
      </c>
      <c r="D929" s="386" t="s">
        <v>2624</v>
      </c>
      <c r="E929" s="121" t="s">
        <v>1478</v>
      </c>
      <c r="F929" s="121">
        <v>3</v>
      </c>
      <c r="G929" s="974" t="s">
        <v>2622</v>
      </c>
      <c r="H929" s="121">
        <v>4500123892</v>
      </c>
      <c r="I929" s="121"/>
      <c r="J929" s="121"/>
      <c r="K929" s="977">
        <v>2.3451319999999998E-2</v>
      </c>
      <c r="L929" s="121"/>
      <c r="M929" s="977">
        <v>2.3451319999999998E-2</v>
      </c>
      <c r="N929" s="979"/>
    </row>
    <row r="930" spans="2:14" x14ac:dyDescent="0.3">
      <c r="B930" s="973">
        <v>915</v>
      </c>
      <c r="C930" s="386" t="s">
        <v>1909</v>
      </c>
      <c r="D930" s="386" t="s">
        <v>2625</v>
      </c>
      <c r="E930" s="121" t="s">
        <v>1478</v>
      </c>
      <c r="F930" s="121">
        <v>3</v>
      </c>
      <c r="G930" s="974" t="s">
        <v>2626</v>
      </c>
      <c r="H930" s="121">
        <v>4500123923</v>
      </c>
      <c r="I930" s="121"/>
      <c r="J930" s="121"/>
      <c r="K930" s="977">
        <v>1.0478400000000001E-2</v>
      </c>
      <c r="L930" s="121"/>
      <c r="M930" s="977">
        <v>1.0478400000000001E-2</v>
      </c>
      <c r="N930" s="979"/>
    </row>
    <row r="931" spans="2:14" ht="28" x14ac:dyDescent="0.3">
      <c r="B931" s="973">
        <v>916</v>
      </c>
      <c r="C931" s="386" t="s">
        <v>1909</v>
      </c>
      <c r="D931" s="386" t="s">
        <v>2627</v>
      </c>
      <c r="E931" s="121" t="s">
        <v>1483</v>
      </c>
      <c r="F931" s="121"/>
      <c r="G931" s="974" t="s">
        <v>2628</v>
      </c>
      <c r="H931" s="121">
        <v>4500124008</v>
      </c>
      <c r="I931" s="121"/>
      <c r="J931" s="121"/>
      <c r="K931" s="977">
        <v>3.434154E-3</v>
      </c>
      <c r="L931" s="121"/>
      <c r="M931" s="977">
        <v>3.434154E-3</v>
      </c>
      <c r="N931" s="979"/>
    </row>
    <row r="932" spans="2:14" x14ac:dyDescent="0.3">
      <c r="B932" s="973">
        <v>917</v>
      </c>
      <c r="C932" s="386" t="s">
        <v>1927</v>
      </c>
      <c r="D932" s="386" t="s">
        <v>2629</v>
      </c>
      <c r="E932" s="121" t="s">
        <v>1478</v>
      </c>
      <c r="F932" s="121">
        <v>4</v>
      </c>
      <c r="G932" s="974" t="s">
        <v>2630</v>
      </c>
      <c r="H932" s="121">
        <v>4500124056</v>
      </c>
      <c r="I932" s="121"/>
      <c r="J932" s="121"/>
      <c r="K932" s="977">
        <v>3.5130039600000003E-2</v>
      </c>
      <c r="L932" s="121"/>
      <c r="M932" s="977">
        <v>3.5130039600000003E-2</v>
      </c>
      <c r="N932" s="979"/>
    </row>
    <row r="933" spans="2:14" x14ac:dyDescent="0.3">
      <c r="B933" s="973">
        <v>918</v>
      </c>
      <c r="C933" s="386" t="s">
        <v>1909</v>
      </c>
      <c r="D933" s="386" t="s">
        <v>2631</v>
      </c>
      <c r="E933" s="121" t="s">
        <v>1478</v>
      </c>
      <c r="F933" s="121">
        <v>4</v>
      </c>
      <c r="G933" s="974" t="s">
        <v>2632</v>
      </c>
      <c r="H933" s="121">
        <v>4500124038</v>
      </c>
      <c r="I933" s="121"/>
      <c r="J933" s="121"/>
      <c r="K933" s="977">
        <v>3.2503081709999992E-2</v>
      </c>
      <c r="L933" s="121"/>
      <c r="M933" s="977">
        <v>3.2503081709999992E-2</v>
      </c>
      <c r="N933" s="979"/>
    </row>
    <row r="934" spans="2:14" ht="28" x14ac:dyDescent="0.3">
      <c r="B934" s="973">
        <v>919</v>
      </c>
      <c r="C934" s="386" t="s">
        <v>1909</v>
      </c>
      <c r="D934" s="386" t="s">
        <v>2633</v>
      </c>
      <c r="E934" s="121" t="s">
        <v>1478</v>
      </c>
      <c r="F934" s="121">
        <v>4</v>
      </c>
      <c r="G934" s="974" t="s">
        <v>2632</v>
      </c>
      <c r="H934" s="121">
        <v>4500123981</v>
      </c>
      <c r="I934" s="121"/>
      <c r="J934" s="121"/>
      <c r="K934" s="977">
        <v>3.5046885E-2</v>
      </c>
      <c r="L934" s="121"/>
      <c r="M934" s="977">
        <v>3.5046885E-2</v>
      </c>
      <c r="N934" s="979"/>
    </row>
    <row r="935" spans="2:14" x14ac:dyDescent="0.3">
      <c r="B935" s="973">
        <v>920</v>
      </c>
      <c r="C935" s="386" t="s">
        <v>1909</v>
      </c>
      <c r="D935" s="386" t="s">
        <v>2634</v>
      </c>
      <c r="E935" s="121" t="s">
        <v>1478</v>
      </c>
      <c r="F935" s="121">
        <v>4</v>
      </c>
      <c r="G935" s="974" t="s">
        <v>2632</v>
      </c>
      <c r="H935" s="121">
        <v>4500124076</v>
      </c>
      <c r="I935" s="121"/>
      <c r="J935" s="121"/>
      <c r="K935" s="977">
        <v>2.1058752E-2</v>
      </c>
      <c r="L935" s="121"/>
      <c r="M935" s="977">
        <v>2.1058752E-2</v>
      </c>
      <c r="N935" s="979"/>
    </row>
    <row r="936" spans="2:14" ht="28" x14ac:dyDescent="0.3">
      <c r="B936" s="973">
        <v>921</v>
      </c>
      <c r="C936" s="386" t="s">
        <v>1909</v>
      </c>
      <c r="D936" s="386" t="s">
        <v>2635</v>
      </c>
      <c r="E936" s="121" t="s">
        <v>1478</v>
      </c>
      <c r="F936" s="121">
        <v>3</v>
      </c>
      <c r="G936" s="974" t="s">
        <v>2636</v>
      </c>
      <c r="H936" s="121">
        <v>4500124171</v>
      </c>
      <c r="I936" s="121"/>
      <c r="J936" s="121"/>
      <c r="K936" s="977">
        <v>3.1827432000000003E-2</v>
      </c>
      <c r="L936" s="121"/>
      <c r="M936" s="977">
        <v>3.1827432000000003E-2</v>
      </c>
      <c r="N936" s="979"/>
    </row>
    <row r="937" spans="2:14" x14ac:dyDescent="0.3">
      <c r="B937" s="973">
        <v>922</v>
      </c>
      <c r="C937" s="386" t="s">
        <v>1909</v>
      </c>
      <c r="D937" s="386" t="s">
        <v>2637</v>
      </c>
      <c r="E937" s="121" t="s">
        <v>1478</v>
      </c>
      <c r="F937" s="121">
        <v>5</v>
      </c>
      <c r="G937" s="974" t="s">
        <v>2638</v>
      </c>
      <c r="H937" s="121">
        <v>4500124172</v>
      </c>
      <c r="I937" s="121"/>
      <c r="J937" s="121"/>
      <c r="K937" s="977">
        <v>1.7966207999999997E-2</v>
      </c>
      <c r="L937" s="121"/>
      <c r="M937" s="977">
        <v>1.7966207999999997E-2</v>
      </c>
      <c r="N937" s="979"/>
    </row>
    <row r="938" spans="2:14" x14ac:dyDescent="0.3">
      <c r="B938" s="973">
        <v>923</v>
      </c>
      <c r="C938" s="386" t="s">
        <v>1909</v>
      </c>
      <c r="D938" s="386" t="s">
        <v>2639</v>
      </c>
      <c r="E938" s="121" t="s">
        <v>1478</v>
      </c>
      <c r="F938" s="121">
        <v>4</v>
      </c>
      <c r="G938" s="974" t="s">
        <v>1341</v>
      </c>
      <c r="H938" s="121">
        <v>4500124180</v>
      </c>
      <c r="I938" s="121"/>
      <c r="J938" s="121"/>
      <c r="K938" s="977">
        <v>2.2905687999999997E-2</v>
      </c>
      <c r="L938" s="121"/>
      <c r="M938" s="977">
        <v>2.2905687999999997E-2</v>
      </c>
      <c r="N938" s="979"/>
    </row>
    <row r="939" spans="2:14" ht="28" x14ac:dyDescent="0.3">
      <c r="B939" s="973">
        <v>924</v>
      </c>
      <c r="C939" s="386" t="s">
        <v>1927</v>
      </c>
      <c r="D939" s="386" t="s">
        <v>2640</v>
      </c>
      <c r="E939" s="121" t="s">
        <v>1478</v>
      </c>
      <c r="F939" s="121">
        <v>5</v>
      </c>
      <c r="G939" s="974" t="s">
        <v>1341</v>
      </c>
      <c r="H939" s="121">
        <v>4500124185</v>
      </c>
      <c r="I939" s="121"/>
      <c r="J939" s="121"/>
      <c r="K939" s="977">
        <v>2.9172549999999998E-2</v>
      </c>
      <c r="L939" s="121"/>
      <c r="M939" s="977">
        <v>2.9172549999999998E-2</v>
      </c>
      <c r="N939" s="979"/>
    </row>
    <row r="940" spans="2:14" ht="28" x14ac:dyDescent="0.3">
      <c r="B940" s="973">
        <v>925</v>
      </c>
      <c r="C940" s="386" t="s">
        <v>1909</v>
      </c>
      <c r="D940" s="386" t="s">
        <v>2641</v>
      </c>
      <c r="E940" s="121" t="s">
        <v>1483</v>
      </c>
      <c r="F940" s="121"/>
      <c r="G940" s="974" t="s">
        <v>1341</v>
      </c>
      <c r="H940" s="121">
        <v>4500124259</v>
      </c>
      <c r="I940" s="121"/>
      <c r="J940" s="121"/>
      <c r="K940" s="977">
        <v>0</v>
      </c>
      <c r="L940" s="121"/>
      <c r="M940" s="977">
        <v>0</v>
      </c>
      <c r="N940" s="979"/>
    </row>
    <row r="941" spans="2:14" ht="28" x14ac:dyDescent="0.3">
      <c r="B941" s="973">
        <v>926</v>
      </c>
      <c r="C941" s="386" t="s">
        <v>1927</v>
      </c>
      <c r="D941" s="386" t="s">
        <v>2642</v>
      </c>
      <c r="E941" s="121" t="s">
        <v>1478</v>
      </c>
      <c r="F941" s="121">
        <v>4</v>
      </c>
      <c r="G941" s="974" t="s">
        <v>2643</v>
      </c>
      <c r="H941" s="121">
        <v>4500124283</v>
      </c>
      <c r="I941" s="121"/>
      <c r="J941" s="121"/>
      <c r="K941" s="977">
        <v>2.3573449999999999E-2</v>
      </c>
      <c r="L941" s="121"/>
      <c r="M941" s="977">
        <v>2.3573449999999999E-2</v>
      </c>
      <c r="N941" s="979"/>
    </row>
    <row r="942" spans="2:14" ht="28" x14ac:dyDescent="0.3">
      <c r="B942" s="973">
        <v>927</v>
      </c>
      <c r="C942" s="386" t="s">
        <v>1909</v>
      </c>
      <c r="D942" s="386" t="s">
        <v>2644</v>
      </c>
      <c r="E942" s="121" t="s">
        <v>1478</v>
      </c>
      <c r="F942" s="121">
        <v>4</v>
      </c>
      <c r="G942" s="974" t="s">
        <v>2645</v>
      </c>
      <c r="H942" s="121">
        <v>4500124530</v>
      </c>
      <c r="I942" s="121"/>
      <c r="J942" s="121"/>
      <c r="K942" s="977">
        <v>1.7794399999999998E-2</v>
      </c>
      <c r="L942" s="121"/>
      <c r="M942" s="977">
        <v>1.7794399999999998E-2</v>
      </c>
      <c r="N942" s="979"/>
    </row>
    <row r="943" spans="2:14" ht="42" x14ac:dyDescent="0.3">
      <c r="B943" s="973">
        <v>928</v>
      </c>
      <c r="C943" s="386" t="s">
        <v>1909</v>
      </c>
      <c r="D943" s="386" t="s">
        <v>2646</v>
      </c>
      <c r="E943" s="121" t="s">
        <v>1478</v>
      </c>
      <c r="F943" s="121"/>
      <c r="G943" s="974" t="s">
        <v>2645</v>
      </c>
      <c r="H943" s="121">
        <v>4500124071</v>
      </c>
      <c r="I943" s="121"/>
      <c r="J943" s="121"/>
      <c r="K943" s="977">
        <v>0.1220106</v>
      </c>
      <c r="L943" s="121"/>
      <c r="M943" s="977">
        <v>0.1220106</v>
      </c>
      <c r="N943" s="979"/>
    </row>
    <row r="944" spans="2:14" ht="28" x14ac:dyDescent="0.3">
      <c r="B944" s="973">
        <v>929</v>
      </c>
      <c r="C944" s="386" t="s">
        <v>2647</v>
      </c>
      <c r="D944" s="386" t="s">
        <v>2648</v>
      </c>
      <c r="E944" s="121" t="s">
        <v>1478</v>
      </c>
      <c r="F944" s="121">
        <v>9</v>
      </c>
      <c r="G944" s="974" t="s">
        <v>2649</v>
      </c>
      <c r="H944" s="121">
        <v>4500124705</v>
      </c>
      <c r="I944" s="121"/>
      <c r="J944" s="121"/>
      <c r="K944" s="977">
        <v>3.6707714786600003E-2</v>
      </c>
      <c r="L944" s="121"/>
      <c r="M944" s="977">
        <v>3.6707714786600003E-2</v>
      </c>
      <c r="N944" s="979"/>
    </row>
    <row r="945" spans="2:14" x14ac:dyDescent="0.3">
      <c r="B945" s="973">
        <v>930</v>
      </c>
      <c r="C945" s="386" t="s">
        <v>1927</v>
      </c>
      <c r="D945" s="386" t="s">
        <v>2650</v>
      </c>
      <c r="E945" s="121" t="s">
        <v>1478</v>
      </c>
      <c r="F945" s="121">
        <v>3</v>
      </c>
      <c r="G945" s="974" t="s">
        <v>2651</v>
      </c>
      <c r="H945" s="121">
        <v>4500124553</v>
      </c>
      <c r="I945" s="121"/>
      <c r="J945" s="121"/>
      <c r="K945" s="977">
        <v>2.7187200000000002E-2</v>
      </c>
      <c r="L945" s="121"/>
      <c r="M945" s="977">
        <v>2.7187200000000002E-2</v>
      </c>
      <c r="N945" s="979"/>
    </row>
    <row r="946" spans="2:14" ht="28" x14ac:dyDescent="0.3">
      <c r="B946" s="973">
        <v>931</v>
      </c>
      <c r="C946" s="386" t="s">
        <v>1909</v>
      </c>
      <c r="D946" s="386" t="s">
        <v>2652</v>
      </c>
      <c r="E946" s="121" t="s">
        <v>1478</v>
      </c>
      <c r="F946" s="121">
        <v>4</v>
      </c>
      <c r="G946" s="974" t="s">
        <v>2651</v>
      </c>
      <c r="H946" s="121">
        <v>4500124774</v>
      </c>
      <c r="I946" s="121"/>
      <c r="J946" s="121"/>
      <c r="K946" s="977">
        <v>3.1436262E-2</v>
      </c>
      <c r="L946" s="121"/>
      <c r="M946" s="977">
        <v>3.1436262E-2</v>
      </c>
      <c r="N946" s="979"/>
    </row>
    <row r="947" spans="2:14" ht="28" x14ac:dyDescent="0.3">
      <c r="B947" s="973">
        <v>932</v>
      </c>
      <c r="C947" s="386" t="s">
        <v>1909</v>
      </c>
      <c r="D947" s="386" t="s">
        <v>2653</v>
      </c>
      <c r="E947" s="121" t="s">
        <v>1478</v>
      </c>
      <c r="F947" s="121">
        <v>3</v>
      </c>
      <c r="G947" s="974" t="s">
        <v>2651</v>
      </c>
      <c r="H947" s="121">
        <v>4500124559</v>
      </c>
      <c r="I947" s="121"/>
      <c r="J947" s="121"/>
      <c r="K947" s="977">
        <v>8.4110636000000003E-2</v>
      </c>
      <c r="L947" s="121"/>
      <c r="M947" s="977">
        <v>8.4110636000000003E-2</v>
      </c>
      <c r="N947" s="979"/>
    </row>
    <row r="948" spans="2:14" ht="28" x14ac:dyDescent="0.3">
      <c r="B948" s="973">
        <v>933</v>
      </c>
      <c r="C948" s="386" t="s">
        <v>1909</v>
      </c>
      <c r="D948" s="386" t="s">
        <v>2654</v>
      </c>
      <c r="E948" s="121" t="s">
        <v>1478</v>
      </c>
      <c r="F948" s="121">
        <v>4</v>
      </c>
      <c r="G948" s="974" t="s">
        <v>2651</v>
      </c>
      <c r="H948" s="121">
        <v>4500124775</v>
      </c>
      <c r="I948" s="121"/>
      <c r="J948" s="121"/>
      <c r="K948" s="977">
        <v>2.3312020999999999E-2</v>
      </c>
      <c r="L948" s="121"/>
      <c r="M948" s="977">
        <v>2.3312020999999999E-2</v>
      </c>
      <c r="N948" s="979"/>
    </row>
    <row r="949" spans="2:14" ht="28" x14ac:dyDescent="0.3">
      <c r="B949" s="973">
        <v>934</v>
      </c>
      <c r="C949" s="386" t="s">
        <v>1909</v>
      </c>
      <c r="D949" s="386" t="s">
        <v>2655</v>
      </c>
      <c r="E949" s="121" t="s">
        <v>1483</v>
      </c>
      <c r="F949" s="121"/>
      <c r="G949" s="974" t="s">
        <v>2651</v>
      </c>
      <c r="H949" s="121">
        <v>4500124777</v>
      </c>
      <c r="I949" s="121"/>
      <c r="J949" s="121"/>
      <c r="K949" s="977">
        <v>2.4605359999999997E-3</v>
      </c>
      <c r="L949" s="121"/>
      <c r="M949" s="977">
        <v>2.4605359999999997E-3</v>
      </c>
      <c r="N949" s="979"/>
    </row>
    <row r="950" spans="2:14" x14ac:dyDescent="0.3">
      <c r="B950" s="973">
        <v>935</v>
      </c>
      <c r="C950" s="386" t="s">
        <v>1927</v>
      </c>
      <c r="D950" s="386" t="s">
        <v>2656</v>
      </c>
      <c r="E950" s="121" t="s">
        <v>1478</v>
      </c>
      <c r="F950" s="121">
        <v>4</v>
      </c>
      <c r="G950" s="974" t="s">
        <v>2651</v>
      </c>
      <c r="H950" s="121">
        <v>4500124793</v>
      </c>
      <c r="I950" s="121"/>
      <c r="J950" s="121"/>
      <c r="K950" s="977">
        <v>2.2411094539999999E-2</v>
      </c>
      <c r="L950" s="121"/>
      <c r="M950" s="977">
        <v>2.2411094539999999E-2</v>
      </c>
      <c r="N950" s="979"/>
    </row>
    <row r="951" spans="2:14" x14ac:dyDescent="0.3">
      <c r="B951" s="973">
        <v>936</v>
      </c>
      <c r="C951" s="386" t="s">
        <v>2657</v>
      </c>
      <c r="D951" s="386" t="s">
        <v>2658</v>
      </c>
      <c r="E951" s="121" t="s">
        <v>1478</v>
      </c>
      <c r="F951" s="121">
        <v>4</v>
      </c>
      <c r="G951" s="974" t="s">
        <v>2659</v>
      </c>
      <c r="H951" s="121">
        <v>4500126072</v>
      </c>
      <c r="I951" s="121"/>
      <c r="J951" s="121"/>
      <c r="K951" s="977">
        <v>2.6960639999999998E-2</v>
      </c>
      <c r="L951" s="121"/>
      <c r="M951" s="977">
        <v>2.6960639999999998E-2</v>
      </c>
      <c r="N951" s="979"/>
    </row>
    <row r="952" spans="2:14" x14ac:dyDescent="0.3">
      <c r="B952" s="973">
        <v>937</v>
      </c>
      <c r="C952" s="386" t="s">
        <v>1927</v>
      </c>
      <c r="D952" s="386" t="s">
        <v>2660</v>
      </c>
      <c r="E952" s="121" t="s">
        <v>1478</v>
      </c>
      <c r="F952" s="121">
        <v>4</v>
      </c>
      <c r="G952" s="974" t="s">
        <v>2661</v>
      </c>
      <c r="H952" s="121">
        <v>4500126105</v>
      </c>
      <c r="I952" s="121"/>
      <c r="J952" s="121"/>
      <c r="K952" s="977">
        <v>5.8187971199999994E-2</v>
      </c>
      <c r="L952" s="121"/>
      <c r="M952" s="977">
        <v>5.8187971199999994E-2</v>
      </c>
      <c r="N952" s="979"/>
    </row>
    <row r="953" spans="2:14" ht="28" x14ac:dyDescent="0.3">
      <c r="B953" s="973">
        <v>938</v>
      </c>
      <c r="C953" s="386" t="s">
        <v>2657</v>
      </c>
      <c r="D953" s="386" t="s">
        <v>2662</v>
      </c>
      <c r="E953" s="121" t="s">
        <v>1483</v>
      </c>
      <c r="F953" s="121"/>
      <c r="G953" s="974" t="s">
        <v>1339</v>
      </c>
      <c r="H953" s="121">
        <v>4500126141</v>
      </c>
      <c r="I953" s="121"/>
      <c r="J953" s="121"/>
      <c r="K953" s="977">
        <v>1.6942439999999999E-3</v>
      </c>
      <c r="L953" s="121"/>
      <c r="M953" s="977">
        <v>1.6942439999999999E-3</v>
      </c>
      <c r="N953" s="979"/>
    </row>
    <row r="954" spans="2:14" ht="28" x14ac:dyDescent="0.3">
      <c r="B954" s="973">
        <v>939</v>
      </c>
      <c r="C954" s="386" t="s">
        <v>2657</v>
      </c>
      <c r="D954" s="386" t="s">
        <v>2663</v>
      </c>
      <c r="E954" s="121" t="s">
        <v>1483</v>
      </c>
      <c r="F954" s="121"/>
      <c r="G954" s="974" t="s">
        <v>1339</v>
      </c>
      <c r="H954" s="121">
        <v>4500126142</v>
      </c>
      <c r="I954" s="121"/>
      <c r="J954" s="121"/>
      <c r="K954" s="977">
        <v>3.153196E-3</v>
      </c>
      <c r="L954" s="121"/>
      <c r="M954" s="977">
        <v>3.153196E-3</v>
      </c>
      <c r="N954" s="979"/>
    </row>
    <row r="955" spans="2:14" x14ac:dyDescent="0.3">
      <c r="B955" s="973">
        <v>940</v>
      </c>
      <c r="C955" s="386" t="s">
        <v>2657</v>
      </c>
      <c r="D955" s="386" t="s">
        <v>2664</v>
      </c>
      <c r="E955" s="121" t="s">
        <v>1483</v>
      </c>
      <c r="F955" s="121"/>
      <c r="G955" s="974" t="s">
        <v>1339</v>
      </c>
      <c r="H955" s="121">
        <v>4500126139</v>
      </c>
      <c r="I955" s="121"/>
      <c r="J955" s="121"/>
      <c r="K955" s="977">
        <v>3.4795839999999995E-3</v>
      </c>
      <c r="L955" s="121"/>
      <c r="M955" s="977">
        <v>3.4795839999999995E-3</v>
      </c>
      <c r="N955" s="979"/>
    </row>
    <row r="956" spans="2:14" x14ac:dyDescent="0.3">
      <c r="B956" s="973">
        <v>941</v>
      </c>
      <c r="C956" s="386" t="s">
        <v>1927</v>
      </c>
      <c r="D956" s="386" t="s">
        <v>2665</v>
      </c>
      <c r="E956" s="121" t="s">
        <v>1478</v>
      </c>
      <c r="F956" s="121">
        <v>4</v>
      </c>
      <c r="G956" s="974" t="s">
        <v>2666</v>
      </c>
      <c r="H956" s="121">
        <v>4500126135</v>
      </c>
      <c r="I956" s="121"/>
      <c r="J956" s="121"/>
      <c r="K956" s="977">
        <v>2.3423525099999998E-2</v>
      </c>
      <c r="L956" s="121"/>
      <c r="M956" s="977">
        <v>2.3423525099999998E-2</v>
      </c>
      <c r="N956" s="979"/>
    </row>
    <row r="957" spans="2:14" ht="28" x14ac:dyDescent="0.3">
      <c r="B957" s="973">
        <v>942</v>
      </c>
      <c r="C957" s="386" t="s">
        <v>2657</v>
      </c>
      <c r="D957" s="386" t="s">
        <v>2667</v>
      </c>
      <c r="E957" s="121" t="s">
        <v>1483</v>
      </c>
      <c r="F957" s="121">
        <v>4</v>
      </c>
      <c r="G957" s="974" t="s">
        <v>2666</v>
      </c>
      <c r="H957" s="121">
        <v>4500126134</v>
      </c>
      <c r="I957" s="121"/>
      <c r="J957" s="121"/>
      <c r="K957" s="977">
        <v>2.3117969999999998E-2</v>
      </c>
      <c r="L957" s="121"/>
      <c r="M957" s="977">
        <v>2.3117969999999998E-2</v>
      </c>
      <c r="N957" s="979"/>
    </row>
    <row r="958" spans="2:14" ht="28" x14ac:dyDescent="0.3">
      <c r="B958" s="973">
        <v>943</v>
      </c>
      <c r="C958" s="386" t="s">
        <v>2657</v>
      </c>
      <c r="D958" s="386" t="s">
        <v>2668</v>
      </c>
      <c r="E958" s="121" t="s">
        <v>1478</v>
      </c>
      <c r="F958" s="121">
        <v>3</v>
      </c>
      <c r="G958" s="974" t="s">
        <v>2669</v>
      </c>
      <c r="H958" s="121">
        <v>4500126069</v>
      </c>
      <c r="I958" s="121"/>
      <c r="J958" s="121"/>
      <c r="K958" s="977">
        <v>3.7283280000000002E-2</v>
      </c>
      <c r="L958" s="121"/>
      <c r="M958" s="977">
        <v>3.7283280000000002E-2</v>
      </c>
      <c r="N958" s="979"/>
    </row>
    <row r="959" spans="2:14" x14ac:dyDescent="0.3">
      <c r="B959" s="973">
        <v>944</v>
      </c>
      <c r="C959" s="386" t="s">
        <v>1927</v>
      </c>
      <c r="D959" s="386" t="s">
        <v>2670</v>
      </c>
      <c r="E959" s="121" t="s">
        <v>1478</v>
      </c>
      <c r="F959" s="121"/>
      <c r="G959" s="974" t="s">
        <v>2671</v>
      </c>
      <c r="H959" s="121">
        <v>4500126138</v>
      </c>
      <c r="I959" s="121"/>
      <c r="J959" s="121"/>
      <c r="K959" s="977">
        <v>1.9836271999999999E-2</v>
      </c>
      <c r="L959" s="121"/>
      <c r="M959" s="977">
        <v>1.9836271999999999E-2</v>
      </c>
      <c r="N959" s="979"/>
    </row>
    <row r="960" spans="2:14" ht="28" x14ac:dyDescent="0.3">
      <c r="B960" s="973">
        <v>945</v>
      </c>
      <c r="C960" s="386" t="s">
        <v>1927</v>
      </c>
      <c r="D960" s="386" t="s">
        <v>2672</v>
      </c>
      <c r="E960" s="121" t="s">
        <v>1483</v>
      </c>
      <c r="F960" s="121"/>
      <c r="G960" s="974" t="s">
        <v>2673</v>
      </c>
      <c r="H960" s="121">
        <v>4500126768</v>
      </c>
      <c r="I960" s="121"/>
      <c r="J960" s="121"/>
      <c r="K960" s="977">
        <v>3.2025199999999995E-3</v>
      </c>
      <c r="L960" s="121"/>
      <c r="M960" s="977">
        <v>3.2025199999999995E-3</v>
      </c>
      <c r="N960" s="979"/>
    </row>
    <row r="961" spans="2:14" x14ac:dyDescent="0.3">
      <c r="B961" s="973">
        <v>946</v>
      </c>
      <c r="C961" s="386" t="s">
        <v>1927</v>
      </c>
      <c r="D961" s="386" t="s">
        <v>2674</v>
      </c>
      <c r="E961" s="121" t="s">
        <v>1478</v>
      </c>
      <c r="F961" s="121">
        <v>5</v>
      </c>
      <c r="G961" s="974" t="s">
        <v>2675</v>
      </c>
      <c r="H961" s="121">
        <v>4500127497</v>
      </c>
      <c r="I961" s="121"/>
      <c r="J961" s="121"/>
      <c r="K961" s="977">
        <v>5.8808721999999994E-2</v>
      </c>
      <c r="L961" s="121"/>
      <c r="M961" s="977">
        <v>5.8808721999999994E-2</v>
      </c>
      <c r="N961" s="979"/>
    </row>
    <row r="962" spans="2:14" x14ac:dyDescent="0.3">
      <c r="B962" s="973">
        <v>947</v>
      </c>
      <c r="C962" s="386" t="s">
        <v>1927</v>
      </c>
      <c r="D962" s="386" t="s">
        <v>2676</v>
      </c>
      <c r="E962" s="121" t="s">
        <v>1483</v>
      </c>
      <c r="F962" s="121"/>
      <c r="G962" s="974" t="s">
        <v>2677</v>
      </c>
      <c r="H962" s="121">
        <v>4500127217</v>
      </c>
      <c r="I962" s="121"/>
      <c r="J962" s="121"/>
      <c r="K962" s="977">
        <v>6.5832199999999999E-3</v>
      </c>
      <c r="L962" s="121"/>
      <c r="M962" s="977">
        <v>6.5832199999999999E-3</v>
      </c>
      <c r="N962" s="979"/>
    </row>
    <row r="963" spans="2:14" ht="28" x14ac:dyDescent="0.3">
      <c r="B963" s="973">
        <v>948</v>
      </c>
      <c r="C963" s="386" t="s">
        <v>1927</v>
      </c>
      <c r="D963" s="386" t="s">
        <v>2678</v>
      </c>
      <c r="E963" s="121" t="s">
        <v>1478</v>
      </c>
      <c r="F963" s="121">
        <v>4</v>
      </c>
      <c r="G963" s="974" t="s">
        <v>2679</v>
      </c>
      <c r="H963" s="121">
        <v>4500127550</v>
      </c>
      <c r="I963" s="121"/>
      <c r="J963" s="121"/>
      <c r="K963" s="977">
        <v>2.1696896E-2</v>
      </c>
      <c r="L963" s="121"/>
      <c r="M963" s="977">
        <v>2.1696896E-2</v>
      </c>
      <c r="N963" s="979"/>
    </row>
    <row r="964" spans="2:14" ht="28" x14ac:dyDescent="0.3">
      <c r="B964" s="973">
        <v>949</v>
      </c>
      <c r="C964" s="386" t="s">
        <v>2680</v>
      </c>
      <c r="D964" s="386" t="s">
        <v>2681</v>
      </c>
      <c r="E964" s="121" t="s">
        <v>1478</v>
      </c>
      <c r="F964" s="121">
        <v>6</v>
      </c>
      <c r="G964" s="974" t="s">
        <v>2682</v>
      </c>
      <c r="H964" s="121">
        <v>4500127825</v>
      </c>
      <c r="I964" s="121"/>
      <c r="J964" s="121"/>
      <c r="K964" s="977">
        <v>2.1466559999999999E-2</v>
      </c>
      <c r="L964" s="121"/>
      <c r="M964" s="977">
        <v>2.1466559999999999E-2</v>
      </c>
      <c r="N964" s="979"/>
    </row>
    <row r="965" spans="2:14" x14ac:dyDescent="0.3">
      <c r="B965" s="973">
        <v>950</v>
      </c>
      <c r="C965" s="386" t="s">
        <v>2657</v>
      </c>
      <c r="D965" s="386" t="s">
        <v>2683</v>
      </c>
      <c r="E965" s="121" t="s">
        <v>1478</v>
      </c>
      <c r="F965" s="121">
        <v>4</v>
      </c>
      <c r="G965" s="974" t="s">
        <v>2682</v>
      </c>
      <c r="H965" s="121">
        <v>4500127777</v>
      </c>
      <c r="I965" s="121"/>
      <c r="J965" s="121"/>
      <c r="K965" s="977">
        <v>1.9052279999999998E-2</v>
      </c>
      <c r="L965" s="121"/>
      <c r="M965" s="977">
        <v>1.9052279999999998E-2</v>
      </c>
      <c r="N965" s="979"/>
    </row>
    <row r="966" spans="2:14" ht="28" x14ac:dyDescent="0.3">
      <c r="B966" s="973">
        <v>951</v>
      </c>
      <c r="C966" s="386" t="s">
        <v>1927</v>
      </c>
      <c r="D966" s="386" t="s">
        <v>2684</v>
      </c>
      <c r="E966" s="121" t="s">
        <v>1483</v>
      </c>
      <c r="F966" s="121"/>
      <c r="G966" s="974" t="s">
        <v>2682</v>
      </c>
      <c r="H966" s="121">
        <v>4500127779</v>
      </c>
      <c r="I966" s="121"/>
      <c r="J966" s="121"/>
      <c r="K966" s="977">
        <v>5.9086139999999995E-3</v>
      </c>
      <c r="L966" s="121"/>
      <c r="M966" s="977">
        <v>5.9086139999999995E-3</v>
      </c>
      <c r="N966" s="979"/>
    </row>
    <row r="967" spans="2:14" x14ac:dyDescent="0.3">
      <c r="B967" s="973">
        <v>952</v>
      </c>
      <c r="C967" s="386" t="s">
        <v>1927</v>
      </c>
      <c r="D967" s="386" t="s">
        <v>2685</v>
      </c>
      <c r="E967" s="121" t="s">
        <v>1478</v>
      </c>
      <c r="F967" s="121">
        <v>6</v>
      </c>
      <c r="G967" s="974" t="s">
        <v>2686</v>
      </c>
      <c r="H967" s="121">
        <v>4500127829</v>
      </c>
      <c r="I967" s="121"/>
      <c r="J967" s="121"/>
      <c r="K967" s="977">
        <v>2.3384897800000002E-2</v>
      </c>
      <c r="L967" s="121"/>
      <c r="M967" s="977">
        <v>2.3384897800000002E-2</v>
      </c>
      <c r="N967" s="979"/>
    </row>
    <row r="968" spans="2:14" ht="28" x14ac:dyDescent="0.3">
      <c r="B968" s="973">
        <v>953</v>
      </c>
      <c r="C968" s="386" t="s">
        <v>1927</v>
      </c>
      <c r="D968" s="386" t="s">
        <v>2687</v>
      </c>
      <c r="E968" s="121" t="s">
        <v>1478</v>
      </c>
      <c r="F968" s="121">
        <v>4</v>
      </c>
      <c r="G968" s="974" t="s">
        <v>2686</v>
      </c>
      <c r="H968" s="121">
        <v>4500127830</v>
      </c>
      <c r="I968" s="121"/>
      <c r="J968" s="121"/>
      <c r="K968" s="977">
        <v>2.3399643079999997E-2</v>
      </c>
      <c r="L968" s="121"/>
      <c r="M968" s="977">
        <v>2.3399643079999997E-2</v>
      </c>
      <c r="N968" s="979"/>
    </row>
    <row r="969" spans="2:14" x14ac:dyDescent="0.3">
      <c r="B969" s="973">
        <v>954</v>
      </c>
      <c r="C969" s="386" t="s">
        <v>1927</v>
      </c>
      <c r="D969" s="386" t="s">
        <v>2688</v>
      </c>
      <c r="E969" s="121" t="s">
        <v>1483</v>
      </c>
      <c r="F969" s="121"/>
      <c r="G969" s="974" t="s">
        <v>2689</v>
      </c>
      <c r="H969" s="121">
        <v>4500127865</v>
      </c>
      <c r="I969" s="121"/>
      <c r="J969" s="121"/>
      <c r="K969" s="977">
        <v>3.4499659999999996E-3</v>
      </c>
      <c r="L969" s="121"/>
      <c r="M969" s="977">
        <v>3.4499659999999996E-3</v>
      </c>
      <c r="N969" s="979"/>
    </row>
    <row r="970" spans="2:14" ht="28" x14ac:dyDescent="0.3">
      <c r="B970" s="973">
        <v>955</v>
      </c>
      <c r="C970" s="386" t="s">
        <v>1927</v>
      </c>
      <c r="D970" s="386" t="s">
        <v>2690</v>
      </c>
      <c r="E970" s="121" t="s">
        <v>1478</v>
      </c>
      <c r="F970" s="121">
        <v>5</v>
      </c>
      <c r="G970" s="974" t="s">
        <v>2691</v>
      </c>
      <c r="H970" s="121">
        <v>4500128119</v>
      </c>
      <c r="I970" s="121"/>
      <c r="J970" s="121"/>
      <c r="K970" s="977">
        <v>9.4726819880000007E-2</v>
      </c>
      <c r="L970" s="121"/>
      <c r="M970" s="977">
        <v>9.4726819880000007E-2</v>
      </c>
      <c r="N970" s="979"/>
    </row>
    <row r="971" spans="2:14" ht="28" x14ac:dyDescent="0.3">
      <c r="B971" s="973">
        <v>956</v>
      </c>
      <c r="C971" s="386" t="s">
        <v>2692</v>
      </c>
      <c r="D971" s="386" t="s">
        <v>2693</v>
      </c>
      <c r="E971" s="121" t="s">
        <v>1478</v>
      </c>
      <c r="F971" s="121">
        <v>6</v>
      </c>
      <c r="G971" s="974" t="s">
        <v>2694</v>
      </c>
      <c r="H971" s="121">
        <v>4500128121</v>
      </c>
      <c r="I971" s="121"/>
      <c r="J971" s="121"/>
      <c r="K971" s="977">
        <v>0.24664697527199997</v>
      </c>
      <c r="L971" s="121"/>
      <c r="M971" s="977">
        <v>0.24664697527199997</v>
      </c>
      <c r="N971" s="979"/>
    </row>
    <row r="972" spans="2:14" ht="28" x14ac:dyDescent="0.3">
      <c r="B972" s="973">
        <v>957</v>
      </c>
      <c r="C972" s="386" t="s">
        <v>2695</v>
      </c>
      <c r="D972" s="386" t="s">
        <v>2696</v>
      </c>
      <c r="E972" s="121" t="s">
        <v>1478</v>
      </c>
      <c r="F972" s="121">
        <v>5</v>
      </c>
      <c r="G972" s="974" t="s">
        <v>2697</v>
      </c>
      <c r="H972" s="121">
        <v>4500128317</v>
      </c>
      <c r="I972" s="121"/>
      <c r="J972" s="121"/>
      <c r="K972" s="977">
        <v>0.22296170800000001</v>
      </c>
      <c r="L972" s="121"/>
      <c r="M972" s="977">
        <v>0.22296170800000001</v>
      </c>
      <c r="N972" s="979"/>
    </row>
    <row r="973" spans="2:14" ht="28" x14ac:dyDescent="0.3">
      <c r="B973" s="973">
        <v>958</v>
      </c>
      <c r="C973" s="386" t="s">
        <v>2657</v>
      </c>
      <c r="D973" s="386" t="s">
        <v>2698</v>
      </c>
      <c r="E973" s="121" t="s">
        <v>1478</v>
      </c>
      <c r="F973" s="121">
        <v>3</v>
      </c>
      <c r="G973" s="974" t="s">
        <v>2699</v>
      </c>
      <c r="H973" s="121">
        <v>4500128776</v>
      </c>
      <c r="I973" s="121"/>
      <c r="J973" s="121"/>
      <c r="K973" s="977">
        <v>8.2856503679999999E-2</v>
      </c>
      <c r="L973" s="121"/>
      <c r="M973" s="977">
        <v>8.2856503679999999E-2</v>
      </c>
      <c r="N973" s="979"/>
    </row>
    <row r="974" spans="2:14" ht="28" x14ac:dyDescent="0.3">
      <c r="B974" s="973">
        <v>959</v>
      </c>
      <c r="C974" s="386" t="s">
        <v>1927</v>
      </c>
      <c r="D974" s="386" t="s">
        <v>2700</v>
      </c>
      <c r="E974" s="121" t="s">
        <v>1483</v>
      </c>
      <c r="F974" s="121"/>
      <c r="G974" s="974" t="s">
        <v>2701</v>
      </c>
      <c r="H974" s="121">
        <v>4500128803</v>
      </c>
      <c r="I974" s="121"/>
      <c r="J974" s="121"/>
      <c r="K974" s="977">
        <v>2.9499999999999999E-3</v>
      </c>
      <c r="L974" s="121"/>
      <c r="M974" s="977">
        <v>2.9499999999999999E-3</v>
      </c>
      <c r="N974" s="979"/>
    </row>
    <row r="975" spans="2:14" x14ac:dyDescent="0.3">
      <c r="B975" s="973">
        <v>960</v>
      </c>
      <c r="C975" s="386" t="s">
        <v>2657</v>
      </c>
      <c r="D975" s="386" t="s">
        <v>2702</v>
      </c>
      <c r="E975" s="121" t="s">
        <v>1478</v>
      </c>
      <c r="F975" s="121">
        <v>5</v>
      </c>
      <c r="G975" s="974" t="s">
        <v>2703</v>
      </c>
      <c r="H975" s="121">
        <v>4500128829</v>
      </c>
      <c r="I975" s="121"/>
      <c r="J975" s="121"/>
      <c r="K975" s="977">
        <v>0.20447437046399999</v>
      </c>
      <c r="L975" s="121"/>
      <c r="M975" s="977">
        <v>0.20447437046399999</v>
      </c>
      <c r="N975" s="979"/>
    </row>
    <row r="976" spans="2:14" ht="28" x14ac:dyDescent="0.3">
      <c r="B976" s="973">
        <v>961</v>
      </c>
      <c r="C976" s="386" t="s">
        <v>2657</v>
      </c>
      <c r="D976" s="386" t="s">
        <v>2704</v>
      </c>
      <c r="E976" s="121" t="s">
        <v>1478</v>
      </c>
      <c r="F976" s="121">
        <v>3</v>
      </c>
      <c r="G976" s="974" t="s">
        <v>2705</v>
      </c>
      <c r="H976" s="121">
        <v>4500128831</v>
      </c>
      <c r="I976" s="121"/>
      <c r="J976" s="121"/>
      <c r="K976" s="977">
        <v>9.4713224486400002E-2</v>
      </c>
      <c r="L976" s="121"/>
      <c r="M976" s="977">
        <v>9.4713224486400002E-2</v>
      </c>
      <c r="N976" s="979"/>
    </row>
    <row r="977" spans="2:14" ht="28" x14ac:dyDescent="0.3">
      <c r="B977" s="973">
        <v>962</v>
      </c>
      <c r="C977" s="386" t="s">
        <v>1927</v>
      </c>
      <c r="D977" s="386" t="s">
        <v>2706</v>
      </c>
      <c r="E977" s="121" t="s">
        <v>1483</v>
      </c>
      <c r="F977" s="121"/>
      <c r="G977" s="974" t="s">
        <v>2707</v>
      </c>
      <c r="H977" s="121">
        <v>4500129360</v>
      </c>
      <c r="I977" s="121"/>
      <c r="J977" s="121"/>
      <c r="K977" s="977">
        <v>4.3860599999999998E-3</v>
      </c>
      <c r="L977" s="121"/>
      <c r="M977" s="977">
        <v>4.3860599999999998E-3</v>
      </c>
      <c r="N977" s="979"/>
    </row>
    <row r="978" spans="2:14" x14ac:dyDescent="0.3">
      <c r="B978" s="973">
        <v>963</v>
      </c>
      <c r="C978" s="386" t="s">
        <v>2657</v>
      </c>
      <c r="D978" s="386" t="s">
        <v>2708</v>
      </c>
      <c r="E978" s="121" t="s">
        <v>1478</v>
      </c>
      <c r="F978" s="121">
        <v>3</v>
      </c>
      <c r="G978" s="974" t="s">
        <v>2707</v>
      </c>
      <c r="H978" s="121">
        <v>4500129389</v>
      </c>
      <c r="I978" s="121"/>
      <c r="J978" s="121"/>
      <c r="K978" s="977">
        <v>2.9081807999999997E-2</v>
      </c>
      <c r="L978" s="121"/>
      <c r="M978" s="977">
        <v>2.9081807999999997E-2</v>
      </c>
      <c r="N978" s="979"/>
    </row>
    <row r="979" spans="2:14" ht="28" x14ac:dyDescent="0.3">
      <c r="B979" s="973">
        <v>964</v>
      </c>
      <c r="C979" s="386" t="s">
        <v>2657</v>
      </c>
      <c r="D979" s="386" t="s">
        <v>2709</v>
      </c>
      <c r="E979" s="121" t="s">
        <v>1478</v>
      </c>
      <c r="F979" s="121">
        <v>3</v>
      </c>
      <c r="G979" s="974" t="s">
        <v>2707</v>
      </c>
      <c r="H979" s="121">
        <v>4500129388</v>
      </c>
      <c r="I979" s="121"/>
      <c r="J979" s="121"/>
      <c r="K979" s="977">
        <v>6.8982039726000005E-2</v>
      </c>
      <c r="L979" s="121"/>
      <c r="M979" s="977">
        <v>6.8982039726000005E-2</v>
      </c>
      <c r="N979" s="979"/>
    </row>
    <row r="980" spans="2:14" ht="28" x14ac:dyDescent="0.3">
      <c r="B980" s="973">
        <v>965</v>
      </c>
      <c r="C980" s="386" t="s">
        <v>1927</v>
      </c>
      <c r="D980" s="386" t="s">
        <v>2710</v>
      </c>
      <c r="E980" s="121" t="s">
        <v>1483</v>
      </c>
      <c r="F980" s="121"/>
      <c r="G980" s="974" t="s">
        <v>2711</v>
      </c>
      <c r="H980" s="121">
        <v>4500128042</v>
      </c>
      <c r="I980" s="121"/>
      <c r="J980" s="121"/>
      <c r="K980" s="977">
        <v>6.1181819999999998E-3</v>
      </c>
      <c r="L980" s="121"/>
      <c r="M980" s="977">
        <v>6.1181819999999998E-3</v>
      </c>
      <c r="N980" s="979"/>
    </row>
    <row r="981" spans="2:14" ht="28" x14ac:dyDescent="0.3">
      <c r="B981" s="973">
        <v>966</v>
      </c>
      <c r="C981" s="386" t="s">
        <v>2657</v>
      </c>
      <c r="D981" s="386" t="s">
        <v>2712</v>
      </c>
      <c r="E981" s="121" t="s">
        <v>1483</v>
      </c>
      <c r="F981" s="121"/>
      <c r="G981" s="974" t="s">
        <v>2713</v>
      </c>
      <c r="H981" s="121">
        <v>4500129773</v>
      </c>
      <c r="I981" s="121"/>
      <c r="J981" s="121"/>
      <c r="K981" s="977">
        <v>6.3534739999999996E-3</v>
      </c>
      <c r="L981" s="121"/>
      <c r="M981" s="977">
        <v>6.3534739999999996E-3</v>
      </c>
      <c r="N981" s="979"/>
    </row>
    <row r="982" spans="2:14" x14ac:dyDescent="0.3">
      <c r="B982" s="973">
        <v>967</v>
      </c>
      <c r="C982" s="386" t="s">
        <v>1927</v>
      </c>
      <c r="D982" s="386" t="s">
        <v>2714</v>
      </c>
      <c r="E982" s="121" t="s">
        <v>1478</v>
      </c>
      <c r="F982" s="121">
        <v>5</v>
      </c>
      <c r="G982" s="974" t="s">
        <v>2715</v>
      </c>
      <c r="H982" s="121">
        <v>4500130072</v>
      </c>
      <c r="I982" s="121"/>
      <c r="J982" s="121"/>
      <c r="K982" s="977">
        <v>4.0485563999999995E-2</v>
      </c>
      <c r="L982" s="121"/>
      <c r="M982" s="977">
        <v>4.0485563999999995E-2</v>
      </c>
      <c r="N982" s="979"/>
    </row>
    <row r="983" spans="2:14" ht="28" x14ac:dyDescent="0.3">
      <c r="B983" s="973">
        <v>968</v>
      </c>
      <c r="C983" s="386" t="s">
        <v>1927</v>
      </c>
      <c r="D983" s="386" t="s">
        <v>2716</v>
      </c>
      <c r="E983" s="121" t="s">
        <v>1478</v>
      </c>
      <c r="F983" s="121">
        <v>3</v>
      </c>
      <c r="G983" s="974" t="s">
        <v>2717</v>
      </c>
      <c r="H983" s="121">
        <v>4500130132</v>
      </c>
      <c r="I983" s="121"/>
      <c r="J983" s="121"/>
      <c r="K983" s="977">
        <v>0.10183010599999999</v>
      </c>
      <c r="L983" s="121"/>
      <c r="M983" s="977">
        <v>0.10183010599999999</v>
      </c>
      <c r="N983" s="979"/>
    </row>
    <row r="984" spans="2:14" ht="28" x14ac:dyDescent="0.3">
      <c r="B984" s="973">
        <v>969</v>
      </c>
      <c r="C984" s="386" t="s">
        <v>2680</v>
      </c>
      <c r="D984" s="386" t="s">
        <v>2718</v>
      </c>
      <c r="E984" s="121" t="s">
        <v>1478</v>
      </c>
      <c r="F984" s="121">
        <v>3</v>
      </c>
      <c r="G984" s="974" t="s">
        <v>2717</v>
      </c>
      <c r="H984" s="121">
        <v>4500129832</v>
      </c>
      <c r="I984" s="121"/>
      <c r="J984" s="121"/>
      <c r="K984" s="977">
        <v>1.1508068E-2</v>
      </c>
      <c r="L984" s="121"/>
      <c r="M984" s="977">
        <v>1.1508068E-2</v>
      </c>
      <c r="N984" s="979"/>
    </row>
    <row r="985" spans="2:14" ht="28" x14ac:dyDescent="0.3">
      <c r="B985" s="973">
        <v>970</v>
      </c>
      <c r="C985" s="386" t="s">
        <v>2657</v>
      </c>
      <c r="D985" s="386" t="s">
        <v>2719</v>
      </c>
      <c r="E985" s="121" t="s">
        <v>1478</v>
      </c>
      <c r="F985" s="121">
        <v>3</v>
      </c>
      <c r="G985" s="974" t="s">
        <v>2720</v>
      </c>
      <c r="H985" s="121">
        <v>4500130294</v>
      </c>
      <c r="I985" s="121"/>
      <c r="J985" s="121"/>
      <c r="K985" s="977">
        <v>9.5354944145999987E-2</v>
      </c>
      <c r="L985" s="121"/>
      <c r="M985" s="977">
        <v>9.5354944145999987E-2</v>
      </c>
      <c r="N985" s="979"/>
    </row>
    <row r="986" spans="2:14" ht="28" x14ac:dyDescent="0.3">
      <c r="B986" s="973">
        <v>971</v>
      </c>
      <c r="C986" s="386" t="s">
        <v>1927</v>
      </c>
      <c r="D986" s="386" t="s">
        <v>2721</v>
      </c>
      <c r="E986" s="121" t="s">
        <v>1478</v>
      </c>
      <c r="F986" s="121">
        <v>3</v>
      </c>
      <c r="G986" s="974" t="s">
        <v>2722</v>
      </c>
      <c r="H986" s="121">
        <v>4500130271</v>
      </c>
      <c r="I986" s="121"/>
      <c r="J986" s="121"/>
      <c r="K986" s="977">
        <v>7.9821059880000003E-2</v>
      </c>
      <c r="L986" s="121"/>
      <c r="M986" s="977">
        <v>7.9821059880000003E-2</v>
      </c>
      <c r="N986" s="979"/>
    </row>
    <row r="987" spans="2:14" ht="28" x14ac:dyDescent="0.3">
      <c r="B987" s="973">
        <v>972</v>
      </c>
      <c r="C987" s="386" t="s">
        <v>1927</v>
      </c>
      <c r="D987" s="386" t="s">
        <v>2723</v>
      </c>
      <c r="E987" s="121" t="s">
        <v>1478</v>
      </c>
      <c r="F987" s="121"/>
      <c r="G987" s="974" t="s">
        <v>2722</v>
      </c>
      <c r="H987" s="121">
        <v>4500130348</v>
      </c>
      <c r="I987" s="121"/>
      <c r="J987" s="121"/>
      <c r="K987" s="977">
        <v>4.8925159999999995E-2</v>
      </c>
      <c r="L987" s="121"/>
      <c r="M987" s="977">
        <v>4.8925159999999995E-2</v>
      </c>
      <c r="N987" s="979"/>
    </row>
    <row r="988" spans="2:14" ht="28" x14ac:dyDescent="0.3">
      <c r="B988" s="973">
        <v>973</v>
      </c>
      <c r="C988" s="386" t="s">
        <v>2657</v>
      </c>
      <c r="D988" s="386" t="s">
        <v>2724</v>
      </c>
      <c r="E988" s="121" t="s">
        <v>1478</v>
      </c>
      <c r="F988" s="121">
        <v>3</v>
      </c>
      <c r="G988" s="974" t="s">
        <v>2722</v>
      </c>
      <c r="H988" s="121">
        <v>4500130343</v>
      </c>
      <c r="I988" s="121"/>
      <c r="J988" s="121"/>
      <c r="K988" s="977">
        <v>9.5136964780319994E-2</v>
      </c>
      <c r="L988" s="121"/>
      <c r="M988" s="977">
        <v>9.5136964780319994E-2</v>
      </c>
      <c r="N988" s="979"/>
    </row>
    <row r="989" spans="2:14" ht="28" x14ac:dyDescent="0.3">
      <c r="B989" s="973">
        <v>974</v>
      </c>
      <c r="C989" s="386" t="s">
        <v>2657</v>
      </c>
      <c r="D989" s="386" t="s">
        <v>2725</v>
      </c>
      <c r="E989" s="121" t="s">
        <v>1478</v>
      </c>
      <c r="F989" s="121">
        <v>3</v>
      </c>
      <c r="G989" s="974" t="s">
        <v>2726</v>
      </c>
      <c r="H989" s="121">
        <v>4500130487</v>
      </c>
      <c r="I989" s="121"/>
      <c r="J989" s="121"/>
      <c r="K989" s="977">
        <v>4.6811544000000004E-2</v>
      </c>
      <c r="L989" s="121"/>
      <c r="M989" s="977">
        <v>4.6811544000000004E-2</v>
      </c>
      <c r="N989" s="979"/>
    </row>
    <row r="990" spans="2:14" ht="28" x14ac:dyDescent="0.3">
      <c r="B990" s="973">
        <v>975</v>
      </c>
      <c r="C990" s="386" t="s">
        <v>1927</v>
      </c>
      <c r="D990" s="386" t="s">
        <v>2727</v>
      </c>
      <c r="E990" s="121" t="s">
        <v>1478</v>
      </c>
      <c r="F990" s="121">
        <v>3</v>
      </c>
      <c r="G990" s="974" t="s">
        <v>2728</v>
      </c>
      <c r="H990" s="121">
        <v>4500130426</v>
      </c>
      <c r="I990" s="121"/>
      <c r="J990" s="121"/>
      <c r="K990" s="977">
        <v>4.4874286079999999E-2</v>
      </c>
      <c r="L990" s="121"/>
      <c r="M990" s="977">
        <v>4.4874286079999999E-2</v>
      </c>
      <c r="N990" s="979"/>
    </row>
    <row r="991" spans="2:14" ht="28" x14ac:dyDescent="0.3">
      <c r="B991" s="973">
        <v>976</v>
      </c>
      <c r="C991" s="386" t="s">
        <v>2657</v>
      </c>
      <c r="D991" s="386" t="s">
        <v>2729</v>
      </c>
      <c r="E991" s="121" t="s">
        <v>1478</v>
      </c>
      <c r="F991" s="121">
        <v>3</v>
      </c>
      <c r="G991" s="974" t="s">
        <v>2730</v>
      </c>
      <c r="H991" s="121">
        <v>4500130572</v>
      </c>
      <c r="I991" s="121"/>
      <c r="J991" s="121"/>
      <c r="K991" s="977">
        <v>7.9505641575359998E-2</v>
      </c>
      <c r="L991" s="121"/>
      <c r="M991" s="977">
        <v>7.9505641575359998E-2</v>
      </c>
      <c r="N991" s="979"/>
    </row>
    <row r="992" spans="2:14" x14ac:dyDescent="0.3">
      <c r="B992" s="973">
        <v>977</v>
      </c>
      <c r="C992" s="386" t="s">
        <v>1927</v>
      </c>
      <c r="D992" s="386" t="s">
        <v>2731</v>
      </c>
      <c r="E992" s="121" t="s">
        <v>1478</v>
      </c>
      <c r="F992" s="121">
        <v>3</v>
      </c>
      <c r="G992" s="974" t="s">
        <v>2732</v>
      </c>
      <c r="H992" s="121">
        <v>4500130813</v>
      </c>
      <c r="I992" s="121"/>
      <c r="J992" s="121"/>
      <c r="K992" s="977">
        <v>2.4055597999999997E-2</v>
      </c>
      <c r="L992" s="121"/>
      <c r="M992" s="977">
        <v>2.4055597999999997E-2</v>
      </c>
      <c r="N992" s="979"/>
    </row>
    <row r="993" spans="2:14" ht="28" x14ac:dyDescent="0.3">
      <c r="B993" s="973">
        <v>978</v>
      </c>
      <c r="C993" s="386" t="s">
        <v>2680</v>
      </c>
      <c r="D993" s="386" t="s">
        <v>2733</v>
      </c>
      <c r="E993" s="121" t="s">
        <v>1478</v>
      </c>
      <c r="F993" s="121"/>
      <c r="G993" s="974" t="s">
        <v>2732</v>
      </c>
      <c r="H993" s="121">
        <v>4500130867</v>
      </c>
      <c r="I993" s="121"/>
      <c r="J993" s="121"/>
      <c r="K993" s="977">
        <v>0.14772560183999997</v>
      </c>
      <c r="L993" s="121"/>
      <c r="M993" s="977">
        <v>0.14772560183999997</v>
      </c>
      <c r="N993" s="979"/>
    </row>
    <row r="994" spans="2:14" x14ac:dyDescent="0.3">
      <c r="B994" s="973">
        <v>979</v>
      </c>
      <c r="C994" s="386" t="s">
        <v>2657</v>
      </c>
      <c r="D994" s="386" t="s">
        <v>2734</v>
      </c>
      <c r="E994" s="121" t="s">
        <v>1478</v>
      </c>
      <c r="F994" s="121">
        <v>3</v>
      </c>
      <c r="G994" s="974" t="s">
        <v>2735</v>
      </c>
      <c r="H994" s="121">
        <v>4500130859</v>
      </c>
      <c r="I994" s="121"/>
      <c r="J994" s="121"/>
      <c r="K994" s="977">
        <v>1.8555263999999998E-2</v>
      </c>
      <c r="L994" s="121"/>
      <c r="M994" s="977">
        <v>1.8555263999999998E-2</v>
      </c>
      <c r="N994" s="979"/>
    </row>
    <row r="995" spans="2:14" x14ac:dyDescent="0.3">
      <c r="B995" s="973">
        <v>980</v>
      </c>
      <c r="C995" s="386" t="s">
        <v>1927</v>
      </c>
      <c r="D995" s="386" t="s">
        <v>2736</v>
      </c>
      <c r="E995" s="121" t="s">
        <v>1478</v>
      </c>
      <c r="F995" s="121">
        <v>4</v>
      </c>
      <c r="G995" s="974" t="s">
        <v>2737</v>
      </c>
      <c r="H995" s="121">
        <v>4500130913</v>
      </c>
      <c r="I995" s="121"/>
      <c r="J995" s="121"/>
      <c r="K995" s="977">
        <v>0.20764999023999997</v>
      </c>
      <c r="L995" s="121"/>
      <c r="M995" s="977">
        <v>0.20764999023999997</v>
      </c>
      <c r="N995" s="979"/>
    </row>
    <row r="996" spans="2:14" ht="28" x14ac:dyDescent="0.3">
      <c r="B996" s="973">
        <v>981</v>
      </c>
      <c r="C996" s="386" t="s">
        <v>2657</v>
      </c>
      <c r="D996" s="386" t="s">
        <v>2738</v>
      </c>
      <c r="E996" s="121" t="s">
        <v>1483</v>
      </c>
      <c r="F996" s="121"/>
      <c r="G996" s="974" t="s">
        <v>2739</v>
      </c>
      <c r="H996" s="121">
        <v>4500130977</v>
      </c>
      <c r="I996" s="121"/>
      <c r="J996" s="121"/>
      <c r="K996" s="977">
        <v>6.1181819999999998E-3</v>
      </c>
      <c r="L996" s="121"/>
      <c r="M996" s="977">
        <v>6.1181819999999998E-3</v>
      </c>
      <c r="N996" s="979"/>
    </row>
    <row r="997" spans="2:14" ht="28" x14ac:dyDescent="0.3">
      <c r="B997" s="973">
        <v>982</v>
      </c>
      <c r="C997" s="386" t="s">
        <v>2647</v>
      </c>
      <c r="D997" s="386" t="s">
        <v>2740</v>
      </c>
      <c r="E997" s="121" t="s">
        <v>1478</v>
      </c>
      <c r="F997" s="121">
        <v>4</v>
      </c>
      <c r="G997" s="974" t="s">
        <v>2741</v>
      </c>
      <c r="H997" s="121">
        <v>4500130965</v>
      </c>
      <c r="I997" s="121"/>
      <c r="J997" s="121"/>
      <c r="K997" s="977">
        <v>6.2715735039999998E-2</v>
      </c>
      <c r="L997" s="121"/>
      <c r="M997" s="977">
        <v>6.2715735039999998E-2</v>
      </c>
      <c r="N997" s="979"/>
    </row>
    <row r="998" spans="2:14" x14ac:dyDescent="0.3">
      <c r="B998" s="973">
        <v>983</v>
      </c>
      <c r="C998" s="386" t="s">
        <v>1927</v>
      </c>
      <c r="D998" s="386" t="s">
        <v>2742</v>
      </c>
      <c r="E998" s="121" t="s">
        <v>1478</v>
      </c>
      <c r="F998" s="121">
        <v>6</v>
      </c>
      <c r="G998" s="974" t="s">
        <v>2741</v>
      </c>
      <c r="H998" s="121">
        <v>4500130994</v>
      </c>
      <c r="I998" s="121"/>
      <c r="J998" s="121"/>
      <c r="K998" s="977">
        <v>2.230613E-2</v>
      </c>
      <c r="L998" s="121"/>
      <c r="M998" s="977">
        <v>2.230613E-2</v>
      </c>
      <c r="N998" s="979"/>
    </row>
    <row r="999" spans="2:14" ht="28" x14ac:dyDescent="0.3">
      <c r="B999" s="973">
        <v>984</v>
      </c>
      <c r="C999" s="386" t="s">
        <v>2657</v>
      </c>
      <c r="D999" s="386" t="s">
        <v>2743</v>
      </c>
      <c r="E999" s="121" t="s">
        <v>1478</v>
      </c>
      <c r="F999" s="121">
        <v>3</v>
      </c>
      <c r="G999" s="974" t="s">
        <v>2741</v>
      </c>
      <c r="H999" s="121">
        <v>4500131020</v>
      </c>
      <c r="I999" s="121"/>
      <c r="J999" s="121"/>
      <c r="K999" s="977">
        <v>6.1775714000000002E-2</v>
      </c>
      <c r="L999" s="121"/>
      <c r="M999" s="977">
        <v>6.1775714000000002E-2</v>
      </c>
      <c r="N999" s="979"/>
    </row>
    <row r="1000" spans="2:14" x14ac:dyDescent="0.3">
      <c r="B1000" s="973">
        <v>985</v>
      </c>
      <c r="C1000" s="386" t="s">
        <v>1927</v>
      </c>
      <c r="D1000" s="386" t="s">
        <v>2744</v>
      </c>
      <c r="E1000" s="121" t="s">
        <v>1478</v>
      </c>
      <c r="F1000" s="121">
        <v>8</v>
      </c>
      <c r="G1000" s="974" t="s">
        <v>2745</v>
      </c>
      <c r="H1000" s="121">
        <v>4500130240</v>
      </c>
      <c r="I1000" s="121"/>
      <c r="J1000" s="121"/>
      <c r="K1000" s="977">
        <v>1.9142667999999998E-2</v>
      </c>
      <c r="L1000" s="121"/>
      <c r="M1000" s="977">
        <v>1.9142667999999998E-2</v>
      </c>
      <c r="N1000" s="979"/>
    </row>
    <row r="1001" spans="2:14" ht="28" x14ac:dyDescent="0.3">
      <c r="B1001" s="973">
        <v>986</v>
      </c>
      <c r="C1001" s="386" t="s">
        <v>2647</v>
      </c>
      <c r="D1001" s="386" t="s">
        <v>2746</v>
      </c>
      <c r="E1001" s="121" t="s">
        <v>1478</v>
      </c>
      <c r="F1001" s="121">
        <v>2</v>
      </c>
      <c r="G1001" s="974" t="s">
        <v>2745</v>
      </c>
      <c r="H1001" s="121">
        <v>4500130966</v>
      </c>
      <c r="I1001" s="121"/>
      <c r="J1001" s="121"/>
      <c r="K1001" s="977">
        <v>6.5590127436799983E-2</v>
      </c>
      <c r="L1001" s="121"/>
      <c r="M1001" s="977">
        <v>6.5590127436799983E-2</v>
      </c>
      <c r="N1001" s="979"/>
    </row>
    <row r="1002" spans="2:14" ht="28" x14ac:dyDescent="0.3">
      <c r="B1002" s="973">
        <v>987</v>
      </c>
      <c r="C1002" s="386" t="s">
        <v>2657</v>
      </c>
      <c r="D1002" s="386" t="s">
        <v>2747</v>
      </c>
      <c r="E1002" s="121" t="s">
        <v>1478</v>
      </c>
      <c r="F1002" s="121">
        <v>3</v>
      </c>
      <c r="G1002" s="974" t="s">
        <v>2748</v>
      </c>
      <c r="H1002" s="121">
        <v>4500131169</v>
      </c>
      <c r="I1002" s="121"/>
      <c r="J1002" s="121"/>
      <c r="K1002" s="977">
        <v>4.2338399999999998E-2</v>
      </c>
      <c r="L1002" s="121"/>
      <c r="M1002" s="977">
        <v>4.2338399999999998E-2</v>
      </c>
      <c r="N1002" s="979"/>
    </row>
    <row r="1003" spans="2:14" x14ac:dyDescent="0.3">
      <c r="B1003" s="973">
        <v>988</v>
      </c>
      <c r="C1003" s="386" t="s">
        <v>1927</v>
      </c>
      <c r="D1003" s="386" t="s">
        <v>2749</v>
      </c>
      <c r="E1003" s="121" t="s">
        <v>1478</v>
      </c>
      <c r="F1003" s="121">
        <v>3</v>
      </c>
      <c r="G1003" s="974" t="s">
        <v>2750</v>
      </c>
      <c r="H1003" s="121">
        <v>4500131140</v>
      </c>
      <c r="I1003" s="121"/>
      <c r="J1003" s="121"/>
      <c r="K1003" s="977">
        <v>2.5255303999999999E-2</v>
      </c>
      <c r="L1003" s="121"/>
      <c r="M1003" s="977">
        <v>2.5255303999999999E-2</v>
      </c>
      <c r="N1003" s="979"/>
    </row>
    <row r="1004" spans="2:14" ht="28" x14ac:dyDescent="0.3">
      <c r="B1004" s="973">
        <v>989</v>
      </c>
      <c r="C1004" s="386" t="s">
        <v>1927</v>
      </c>
      <c r="D1004" s="386" t="s">
        <v>2751</v>
      </c>
      <c r="E1004" s="121" t="s">
        <v>1478</v>
      </c>
      <c r="F1004" s="121">
        <v>3</v>
      </c>
      <c r="G1004" s="974" t="s">
        <v>2750</v>
      </c>
      <c r="H1004" s="121">
        <v>4500131105</v>
      </c>
      <c r="I1004" s="121"/>
      <c r="J1004" s="121"/>
      <c r="K1004" s="977">
        <v>3.4607039999999999E-2</v>
      </c>
      <c r="L1004" s="121"/>
      <c r="M1004" s="977">
        <v>3.4607039999999999E-2</v>
      </c>
      <c r="N1004" s="979"/>
    </row>
    <row r="1005" spans="2:14" ht="28" x14ac:dyDescent="0.3">
      <c r="B1005" s="973">
        <v>990</v>
      </c>
      <c r="C1005" s="386" t="s">
        <v>2657</v>
      </c>
      <c r="D1005" s="386" t="s">
        <v>2752</v>
      </c>
      <c r="E1005" s="121" t="s">
        <v>1478</v>
      </c>
      <c r="F1005" s="121">
        <v>3</v>
      </c>
      <c r="G1005" s="974" t="s">
        <v>2753</v>
      </c>
      <c r="H1005" s="121">
        <v>4500131202</v>
      </c>
      <c r="I1005" s="121"/>
      <c r="J1005" s="121"/>
      <c r="K1005" s="977">
        <v>9.5948260793712006E-2</v>
      </c>
      <c r="L1005" s="121"/>
      <c r="M1005" s="977">
        <v>9.5948260793712006E-2</v>
      </c>
      <c r="N1005" s="979"/>
    </row>
    <row r="1006" spans="2:14" ht="28" x14ac:dyDescent="0.3">
      <c r="B1006" s="973">
        <v>991</v>
      </c>
      <c r="C1006" s="386" t="s">
        <v>2657</v>
      </c>
      <c r="D1006" s="386" t="s">
        <v>2754</v>
      </c>
      <c r="E1006" s="121" t="s">
        <v>1478</v>
      </c>
      <c r="F1006" s="121">
        <v>3</v>
      </c>
      <c r="G1006" s="974" t="s">
        <v>2755</v>
      </c>
      <c r="H1006" s="121">
        <v>4500131325</v>
      </c>
      <c r="I1006" s="121"/>
      <c r="J1006" s="121"/>
      <c r="K1006" s="977">
        <v>8.4779696000000002E-2</v>
      </c>
      <c r="L1006" s="121"/>
      <c r="M1006" s="977">
        <v>8.4779696000000002E-2</v>
      </c>
      <c r="N1006" s="979"/>
    </row>
    <row r="1007" spans="2:14" x14ac:dyDescent="0.3">
      <c r="B1007" s="973">
        <v>992</v>
      </c>
      <c r="C1007" s="386" t="s">
        <v>1927</v>
      </c>
      <c r="D1007" s="386" t="s">
        <v>2756</v>
      </c>
      <c r="E1007" s="121" t="s">
        <v>1478</v>
      </c>
      <c r="F1007" s="121">
        <v>3</v>
      </c>
      <c r="G1007" s="974" t="s">
        <v>2757</v>
      </c>
      <c r="H1007" s="121">
        <v>4500131327</v>
      </c>
      <c r="I1007" s="121"/>
      <c r="J1007" s="121"/>
      <c r="K1007" s="977">
        <v>3.5204355999999999E-2</v>
      </c>
      <c r="L1007" s="121"/>
      <c r="M1007" s="977">
        <v>3.5204355999999999E-2</v>
      </c>
      <c r="N1007" s="979"/>
    </row>
    <row r="1008" spans="2:14" ht="28" x14ac:dyDescent="0.3">
      <c r="B1008" s="973">
        <v>993</v>
      </c>
      <c r="C1008" s="386" t="s">
        <v>1927</v>
      </c>
      <c r="D1008" s="386" t="s">
        <v>2758</v>
      </c>
      <c r="E1008" s="121" t="s">
        <v>1483</v>
      </c>
      <c r="F1008" s="121"/>
      <c r="G1008" s="974" t="s">
        <v>2759</v>
      </c>
      <c r="H1008" s="121">
        <v>4500131195</v>
      </c>
      <c r="I1008" s="121"/>
      <c r="J1008" s="121"/>
      <c r="K1008" s="977">
        <v>5.7196959999999998E-3</v>
      </c>
      <c r="L1008" s="121"/>
      <c r="M1008" s="977">
        <v>5.7196959999999998E-3</v>
      </c>
      <c r="N1008" s="979"/>
    </row>
    <row r="1009" spans="2:14" ht="28" x14ac:dyDescent="0.3">
      <c r="B1009" s="973">
        <v>994</v>
      </c>
      <c r="C1009" s="386" t="s">
        <v>2657</v>
      </c>
      <c r="D1009" s="386" t="s">
        <v>2760</v>
      </c>
      <c r="E1009" s="121" t="s">
        <v>1483</v>
      </c>
      <c r="F1009" s="121"/>
      <c r="G1009" s="974" t="s">
        <v>2761</v>
      </c>
      <c r="H1009" s="121">
        <v>4500131838</v>
      </c>
      <c r="I1009" s="121"/>
      <c r="J1009" s="121"/>
      <c r="K1009" s="977">
        <v>2.922034E-3</v>
      </c>
      <c r="L1009" s="121"/>
      <c r="M1009" s="977">
        <v>2.922034E-3</v>
      </c>
      <c r="N1009" s="979"/>
    </row>
    <row r="1010" spans="2:14" ht="28" x14ac:dyDescent="0.3">
      <c r="B1010" s="973">
        <v>995</v>
      </c>
      <c r="C1010" s="386" t="s">
        <v>2657</v>
      </c>
      <c r="D1010" s="386" t="s">
        <v>2762</v>
      </c>
      <c r="E1010" s="121" t="s">
        <v>1483</v>
      </c>
      <c r="F1010" s="121"/>
      <c r="G1010" s="974" t="s">
        <v>2761</v>
      </c>
      <c r="H1010" s="121">
        <v>4500131815</v>
      </c>
      <c r="I1010" s="121"/>
      <c r="J1010" s="121"/>
      <c r="K1010" s="977">
        <v>3.345064E-3</v>
      </c>
      <c r="L1010" s="121"/>
      <c r="M1010" s="977">
        <v>3.345064E-3</v>
      </c>
      <c r="N1010" s="979"/>
    </row>
    <row r="1011" spans="2:14" ht="28" x14ac:dyDescent="0.3">
      <c r="B1011" s="973">
        <v>996</v>
      </c>
      <c r="C1011" s="386" t="s">
        <v>2657</v>
      </c>
      <c r="D1011" s="386" t="s">
        <v>2763</v>
      </c>
      <c r="E1011" s="121" t="s">
        <v>1483</v>
      </c>
      <c r="F1011" s="121"/>
      <c r="G1011" s="974" t="s">
        <v>2761</v>
      </c>
      <c r="H1011" s="121">
        <v>4500131814</v>
      </c>
      <c r="I1011" s="121"/>
      <c r="J1011" s="121"/>
      <c r="K1011" s="977">
        <v>5.580102E-3</v>
      </c>
      <c r="L1011" s="121"/>
      <c r="M1011" s="977">
        <v>5.580102E-3</v>
      </c>
      <c r="N1011" s="979"/>
    </row>
    <row r="1012" spans="2:14" ht="28" x14ac:dyDescent="0.3">
      <c r="B1012" s="973">
        <v>997</v>
      </c>
      <c r="C1012" s="386" t="s">
        <v>1927</v>
      </c>
      <c r="D1012" s="386" t="s">
        <v>2764</v>
      </c>
      <c r="E1012" s="121" t="s">
        <v>1478</v>
      </c>
      <c r="F1012" s="121"/>
      <c r="G1012" s="974" t="s">
        <v>2765</v>
      </c>
      <c r="H1012" s="121">
        <v>4500132179</v>
      </c>
      <c r="I1012" s="121"/>
      <c r="J1012" s="121"/>
      <c r="K1012" s="977">
        <v>4.7358182540000002E-2</v>
      </c>
      <c r="L1012" s="121"/>
      <c r="M1012" s="977">
        <v>4.7358182540000002E-2</v>
      </c>
      <c r="N1012" s="979"/>
    </row>
    <row r="1013" spans="2:14" ht="28" x14ac:dyDescent="0.3">
      <c r="B1013" s="973">
        <v>998</v>
      </c>
      <c r="C1013" s="386" t="s">
        <v>2657</v>
      </c>
      <c r="D1013" s="386" t="s">
        <v>2766</v>
      </c>
      <c r="E1013" s="121" t="s">
        <v>1478</v>
      </c>
      <c r="F1013" s="121">
        <v>4</v>
      </c>
      <c r="G1013" s="974" t="s">
        <v>2767</v>
      </c>
      <c r="H1013" s="121">
        <v>4500132401</v>
      </c>
      <c r="I1013" s="121"/>
      <c r="J1013" s="121"/>
      <c r="K1013" s="977">
        <v>5.7825065126399997E-2</v>
      </c>
      <c r="L1013" s="121"/>
      <c r="M1013" s="977">
        <v>5.7825065126399997E-2</v>
      </c>
      <c r="N1013" s="979"/>
    </row>
    <row r="1014" spans="2:14" ht="28" x14ac:dyDescent="0.3">
      <c r="B1014" s="973">
        <v>999</v>
      </c>
      <c r="C1014" s="386" t="s">
        <v>1927</v>
      </c>
      <c r="D1014" s="386" t="s">
        <v>2768</v>
      </c>
      <c r="E1014" s="121" t="s">
        <v>1478</v>
      </c>
      <c r="F1014" s="121">
        <v>4</v>
      </c>
      <c r="G1014" s="974" t="s">
        <v>2767</v>
      </c>
      <c r="H1014" s="121">
        <v>4500132287</v>
      </c>
      <c r="I1014" s="121"/>
      <c r="J1014" s="121"/>
      <c r="K1014" s="977">
        <v>2.2719250949999999E-2</v>
      </c>
      <c r="L1014" s="121"/>
      <c r="M1014" s="977">
        <v>2.2719250949999999E-2</v>
      </c>
      <c r="N1014" s="979"/>
    </row>
    <row r="1015" spans="2:14" ht="28" x14ac:dyDescent="0.3">
      <c r="B1015" s="973">
        <v>1000</v>
      </c>
      <c r="C1015" s="386" t="s">
        <v>1927</v>
      </c>
      <c r="D1015" s="386" t="s">
        <v>2769</v>
      </c>
      <c r="E1015" s="121" t="s">
        <v>1483</v>
      </c>
      <c r="F1015" s="121"/>
      <c r="G1015" s="974" t="s">
        <v>2770</v>
      </c>
      <c r="H1015" s="121">
        <v>4500132457</v>
      </c>
      <c r="I1015" s="121"/>
      <c r="J1015" s="121"/>
      <c r="K1015" s="977">
        <v>1.4514E-3</v>
      </c>
      <c r="L1015" s="121"/>
      <c r="M1015" s="977">
        <v>1.4514E-3</v>
      </c>
      <c r="N1015" s="979"/>
    </row>
    <row r="1016" spans="2:14" ht="28" x14ac:dyDescent="0.3">
      <c r="B1016" s="973">
        <v>1001</v>
      </c>
      <c r="C1016" s="386" t="s">
        <v>1927</v>
      </c>
      <c r="D1016" s="386" t="s">
        <v>2771</v>
      </c>
      <c r="E1016" s="121" t="s">
        <v>1478</v>
      </c>
      <c r="F1016" s="121">
        <v>4</v>
      </c>
      <c r="G1016" s="974" t="s">
        <v>2772</v>
      </c>
      <c r="H1016" s="121">
        <v>4500133449</v>
      </c>
      <c r="I1016" s="121"/>
      <c r="J1016" s="121"/>
      <c r="K1016" s="977">
        <v>5.950028106E-2</v>
      </c>
      <c r="L1016" s="121"/>
      <c r="M1016" s="977">
        <v>5.950028106E-2</v>
      </c>
      <c r="N1016" s="979"/>
    </row>
    <row r="1017" spans="2:14" ht="28" x14ac:dyDescent="0.3">
      <c r="B1017" s="973">
        <v>1002</v>
      </c>
      <c r="C1017" s="386" t="s">
        <v>2657</v>
      </c>
      <c r="D1017" s="386" t="s">
        <v>2773</v>
      </c>
      <c r="E1017" s="121" t="s">
        <v>1478</v>
      </c>
      <c r="F1017" s="121">
        <v>3</v>
      </c>
      <c r="G1017" s="974" t="s">
        <v>2774</v>
      </c>
      <c r="H1017" s="121">
        <v>4500133704</v>
      </c>
      <c r="I1017" s="121"/>
      <c r="J1017" s="121"/>
      <c r="K1017" s="977">
        <v>7.3005289727999995E-2</v>
      </c>
      <c r="L1017" s="121"/>
      <c r="M1017" s="977">
        <v>7.3005289727999995E-2</v>
      </c>
      <c r="N1017" s="979"/>
    </row>
    <row r="1018" spans="2:14" x14ac:dyDescent="0.3">
      <c r="B1018" s="973">
        <v>1003</v>
      </c>
      <c r="C1018" s="386" t="s">
        <v>1927</v>
      </c>
      <c r="D1018" s="386" t="s">
        <v>2775</v>
      </c>
      <c r="E1018" s="121" t="s">
        <v>1478</v>
      </c>
      <c r="F1018" s="121">
        <v>3</v>
      </c>
      <c r="G1018" s="974" t="s">
        <v>2776</v>
      </c>
      <c r="H1018" s="121">
        <v>4500134003</v>
      </c>
      <c r="I1018" s="121"/>
      <c r="J1018" s="121"/>
      <c r="K1018" s="977">
        <v>9.4459900929999993E-2</v>
      </c>
      <c r="L1018" s="121"/>
      <c r="M1018" s="977">
        <v>9.4459900929999993E-2</v>
      </c>
      <c r="N1018" s="979"/>
    </row>
    <row r="1019" spans="2:14" ht="28" x14ac:dyDescent="0.3">
      <c r="B1019" s="973">
        <v>1004</v>
      </c>
      <c r="C1019" s="386" t="s">
        <v>2657</v>
      </c>
      <c r="D1019" s="386" t="s">
        <v>2777</v>
      </c>
      <c r="E1019" s="121" t="s">
        <v>1478</v>
      </c>
      <c r="F1019" s="121">
        <v>4</v>
      </c>
      <c r="G1019" s="974" t="s">
        <v>2778</v>
      </c>
      <c r="H1019" s="121">
        <v>4500134343</v>
      </c>
      <c r="I1019" s="121"/>
      <c r="J1019" s="121"/>
      <c r="K1019" s="977">
        <v>0.11541815999999999</v>
      </c>
      <c r="L1019" s="121"/>
      <c r="M1019" s="977">
        <v>0.11541815999999999</v>
      </c>
      <c r="N1019" s="979"/>
    </row>
    <row r="1020" spans="2:14" ht="28" x14ac:dyDescent="0.3">
      <c r="B1020" s="973">
        <v>1005</v>
      </c>
      <c r="C1020" s="386" t="s">
        <v>1927</v>
      </c>
      <c r="D1020" s="386" t="s">
        <v>2779</v>
      </c>
      <c r="E1020" s="121" t="s">
        <v>1483</v>
      </c>
      <c r="F1020" s="121"/>
      <c r="G1020" s="974" t="s">
        <v>2780</v>
      </c>
      <c r="H1020" s="121">
        <v>4500134572</v>
      </c>
      <c r="I1020" s="121"/>
      <c r="J1020" s="121"/>
      <c r="K1020" s="977">
        <v>5.7229999999999998E-3</v>
      </c>
      <c r="L1020" s="121"/>
      <c r="M1020" s="977">
        <v>5.7229999999999998E-3</v>
      </c>
      <c r="N1020" s="979"/>
    </row>
    <row r="1021" spans="2:14" ht="28" x14ac:dyDescent="0.3">
      <c r="B1021" s="973">
        <v>1006</v>
      </c>
      <c r="C1021" s="386" t="s">
        <v>2695</v>
      </c>
      <c r="D1021" s="386" t="s">
        <v>2781</v>
      </c>
      <c r="E1021" s="121" t="s">
        <v>1478</v>
      </c>
      <c r="F1021" s="121">
        <v>4</v>
      </c>
      <c r="G1021" s="974" t="s">
        <v>2780</v>
      </c>
      <c r="H1021" s="121">
        <v>4500134484</v>
      </c>
      <c r="I1021" s="121"/>
      <c r="J1021" s="121"/>
      <c r="K1021" s="977">
        <v>2.7032700239999999E-2</v>
      </c>
      <c r="L1021" s="121"/>
      <c r="M1021" s="977">
        <v>2.7032700239999999E-2</v>
      </c>
      <c r="N1021" s="979"/>
    </row>
    <row r="1022" spans="2:14" ht="28" x14ac:dyDescent="0.3">
      <c r="B1022" s="973">
        <v>1007</v>
      </c>
      <c r="C1022" s="386" t="s">
        <v>2657</v>
      </c>
      <c r="D1022" s="386" t="s">
        <v>2782</v>
      </c>
      <c r="E1022" s="121" t="s">
        <v>1478</v>
      </c>
      <c r="F1022" s="121">
        <v>3</v>
      </c>
      <c r="G1022" s="974" t="s">
        <v>2783</v>
      </c>
      <c r="H1022" s="121">
        <v>4500135035</v>
      </c>
      <c r="I1022" s="121"/>
      <c r="J1022" s="121"/>
      <c r="K1022" s="977">
        <v>0.17439175608399998</v>
      </c>
      <c r="L1022" s="121"/>
      <c r="M1022" s="977">
        <v>0.17439175608399998</v>
      </c>
      <c r="N1022" s="979"/>
    </row>
    <row r="1023" spans="2:14" ht="28" x14ac:dyDescent="0.3">
      <c r="B1023" s="973">
        <v>1008</v>
      </c>
      <c r="C1023" s="386" t="s">
        <v>2657</v>
      </c>
      <c r="D1023" s="386" t="s">
        <v>2784</v>
      </c>
      <c r="E1023" s="121" t="s">
        <v>1478</v>
      </c>
      <c r="F1023" s="121">
        <v>3</v>
      </c>
      <c r="G1023" s="974" t="s">
        <v>2783</v>
      </c>
      <c r="H1023" s="121">
        <v>4500135036</v>
      </c>
      <c r="I1023" s="121"/>
      <c r="J1023" s="121"/>
      <c r="K1023" s="977">
        <v>0.17439175608399998</v>
      </c>
      <c r="L1023" s="121"/>
      <c r="M1023" s="977">
        <v>0.17439175608399998</v>
      </c>
      <c r="N1023" s="979"/>
    </row>
    <row r="1024" spans="2:14" ht="28" x14ac:dyDescent="0.3">
      <c r="B1024" s="973">
        <v>1009</v>
      </c>
      <c r="C1024" s="386" t="s">
        <v>2657</v>
      </c>
      <c r="D1024" s="386" t="s">
        <v>2785</v>
      </c>
      <c r="E1024" s="121" t="s">
        <v>1478</v>
      </c>
      <c r="F1024" s="121">
        <v>3</v>
      </c>
      <c r="G1024" s="974" t="s">
        <v>2783</v>
      </c>
      <c r="H1024" s="121">
        <v>4500135037</v>
      </c>
      <c r="I1024" s="121"/>
      <c r="J1024" s="121"/>
      <c r="K1024" s="977">
        <v>0.17439175608399998</v>
      </c>
      <c r="L1024" s="121"/>
      <c r="M1024" s="977">
        <v>0.17439175608399998</v>
      </c>
      <c r="N1024" s="979"/>
    </row>
    <row r="1025" spans="2:14" ht="28" x14ac:dyDescent="0.3">
      <c r="B1025" s="973">
        <v>1010</v>
      </c>
      <c r="C1025" s="386" t="s">
        <v>2657</v>
      </c>
      <c r="D1025" s="386" t="s">
        <v>2786</v>
      </c>
      <c r="E1025" s="121" t="s">
        <v>1483</v>
      </c>
      <c r="F1025" s="121"/>
      <c r="G1025" s="974" t="s">
        <v>2787</v>
      </c>
      <c r="H1025" s="121">
        <v>4500131820</v>
      </c>
      <c r="I1025" s="121"/>
      <c r="J1025" s="121"/>
      <c r="K1025" s="977">
        <v>3.6403048380000001E-3</v>
      </c>
      <c r="L1025" s="121"/>
      <c r="M1025" s="977">
        <v>3.6403048380000001E-3</v>
      </c>
      <c r="N1025" s="979"/>
    </row>
    <row r="1026" spans="2:14" ht="28" x14ac:dyDescent="0.3">
      <c r="B1026" s="973">
        <v>1011</v>
      </c>
      <c r="C1026" s="386" t="s">
        <v>2657</v>
      </c>
      <c r="D1026" s="386" t="s">
        <v>2788</v>
      </c>
      <c r="E1026" s="121" t="s">
        <v>1483</v>
      </c>
      <c r="F1026" s="121"/>
      <c r="G1026" s="974" t="s">
        <v>2789</v>
      </c>
      <c r="H1026" s="121">
        <v>4500135426</v>
      </c>
      <c r="I1026" s="121"/>
      <c r="J1026" s="121"/>
      <c r="K1026" s="977">
        <v>2.5480919999999996E-3</v>
      </c>
      <c r="L1026" s="121"/>
      <c r="M1026" s="977">
        <v>2.5480919999999996E-3</v>
      </c>
      <c r="N1026" s="979"/>
    </row>
    <row r="1027" spans="2:14" ht="28" x14ac:dyDescent="0.3">
      <c r="B1027" s="973">
        <v>1012</v>
      </c>
      <c r="C1027" s="386" t="s">
        <v>2657</v>
      </c>
      <c r="D1027" s="386" t="s">
        <v>2790</v>
      </c>
      <c r="E1027" s="121" t="s">
        <v>1478</v>
      </c>
      <c r="F1027" s="121">
        <v>3</v>
      </c>
      <c r="G1027" s="974" t="s">
        <v>2789</v>
      </c>
      <c r="H1027" s="121">
        <v>4500135740</v>
      </c>
      <c r="I1027" s="121"/>
      <c r="J1027" s="121"/>
      <c r="K1027" s="977">
        <v>3.8497192255999999E-2</v>
      </c>
      <c r="L1027" s="121"/>
      <c r="M1027" s="977">
        <v>3.8497192255999999E-2</v>
      </c>
      <c r="N1027" s="979"/>
    </row>
    <row r="1028" spans="2:14" ht="42" x14ac:dyDescent="0.3">
      <c r="B1028" s="973">
        <v>1013</v>
      </c>
      <c r="C1028" s="386" t="s">
        <v>2647</v>
      </c>
      <c r="D1028" s="386" t="s">
        <v>2791</v>
      </c>
      <c r="E1028" s="121" t="s">
        <v>1478</v>
      </c>
      <c r="F1028" s="121">
        <v>5</v>
      </c>
      <c r="G1028" s="974" t="s">
        <v>2792</v>
      </c>
      <c r="H1028" s="121">
        <v>4500135756</v>
      </c>
      <c r="I1028" s="121"/>
      <c r="J1028" s="121"/>
      <c r="K1028" s="977">
        <v>9.9147770119999992E-2</v>
      </c>
      <c r="L1028" s="121"/>
      <c r="M1028" s="977">
        <v>9.9147770119999992E-2</v>
      </c>
      <c r="N1028" s="979"/>
    </row>
    <row r="1029" spans="2:14" ht="28" x14ac:dyDescent="0.3">
      <c r="B1029" s="973">
        <v>1014</v>
      </c>
      <c r="C1029" s="386" t="s">
        <v>2657</v>
      </c>
      <c r="D1029" s="386" t="s">
        <v>2793</v>
      </c>
      <c r="E1029" s="121" t="s">
        <v>1478</v>
      </c>
      <c r="F1029" s="121">
        <v>3</v>
      </c>
      <c r="G1029" s="974" t="s">
        <v>2794</v>
      </c>
      <c r="H1029" s="121">
        <v>4500136227</v>
      </c>
      <c r="I1029" s="121"/>
      <c r="J1029" s="121"/>
      <c r="K1029" s="977">
        <v>2.2795998798999999E-2</v>
      </c>
      <c r="L1029" s="121"/>
      <c r="M1029" s="977">
        <v>2.2795998798999999E-2</v>
      </c>
      <c r="N1029" s="979"/>
    </row>
    <row r="1030" spans="2:14" ht="28" x14ac:dyDescent="0.3">
      <c r="B1030" s="973">
        <v>1015</v>
      </c>
      <c r="C1030" s="386" t="s">
        <v>2657</v>
      </c>
      <c r="D1030" s="386" t="s">
        <v>2795</v>
      </c>
      <c r="E1030" s="121" t="s">
        <v>1483</v>
      </c>
      <c r="F1030" s="121"/>
      <c r="G1030" s="974" t="s">
        <v>2796</v>
      </c>
      <c r="H1030" s="121">
        <v>4500136245</v>
      </c>
      <c r="I1030" s="121"/>
      <c r="J1030" s="121"/>
      <c r="K1030" s="977">
        <v>4.2320700000000001E-3</v>
      </c>
      <c r="L1030" s="121"/>
      <c r="M1030" s="977">
        <v>4.2320700000000001E-3</v>
      </c>
      <c r="N1030" s="979"/>
    </row>
    <row r="1031" spans="2:14" ht="28" x14ac:dyDescent="0.3">
      <c r="B1031" s="973">
        <v>1016</v>
      </c>
      <c r="C1031" s="386" t="s">
        <v>2657</v>
      </c>
      <c r="D1031" s="386" t="s">
        <v>2797</v>
      </c>
      <c r="E1031" s="121" t="s">
        <v>1478</v>
      </c>
      <c r="F1031" s="121">
        <v>4</v>
      </c>
      <c r="G1031" s="974" t="s">
        <v>2798</v>
      </c>
      <c r="H1031" s="121">
        <v>4500136763</v>
      </c>
      <c r="I1031" s="121"/>
      <c r="J1031" s="121"/>
      <c r="K1031" s="977">
        <v>3.6972283920000001E-2</v>
      </c>
      <c r="L1031" s="121"/>
      <c r="M1031" s="977">
        <v>3.6972283920000001E-2</v>
      </c>
      <c r="N1031" s="979"/>
    </row>
    <row r="1032" spans="2:14" ht="28" x14ac:dyDescent="0.3">
      <c r="B1032" s="973">
        <v>1017</v>
      </c>
      <c r="C1032" s="386" t="s">
        <v>2647</v>
      </c>
      <c r="D1032" s="386" t="s">
        <v>2799</v>
      </c>
      <c r="E1032" s="121" t="s">
        <v>1478</v>
      </c>
      <c r="F1032" s="121">
        <v>2</v>
      </c>
      <c r="G1032" s="974" t="s">
        <v>2800</v>
      </c>
      <c r="H1032" s="121">
        <v>4500136764</v>
      </c>
      <c r="I1032" s="121"/>
      <c r="J1032" s="121"/>
      <c r="K1032" s="977">
        <v>0.11287389120000001</v>
      </c>
      <c r="L1032" s="121"/>
      <c r="M1032" s="977">
        <v>0.11287389120000001</v>
      </c>
      <c r="N1032" s="979"/>
    </row>
    <row r="1033" spans="2:14" x14ac:dyDescent="0.3">
      <c r="B1033" s="973">
        <v>1018</v>
      </c>
      <c r="C1033" s="386" t="s">
        <v>1927</v>
      </c>
      <c r="D1033" s="386" t="s">
        <v>2801</v>
      </c>
      <c r="E1033" s="121" t="s">
        <v>1478</v>
      </c>
      <c r="F1033" s="121">
        <v>6</v>
      </c>
      <c r="G1033" s="974" t="s">
        <v>2802</v>
      </c>
      <c r="H1033" s="121">
        <v>4500137085</v>
      </c>
      <c r="I1033" s="121"/>
      <c r="J1033" s="121"/>
      <c r="K1033" s="977">
        <v>9.9707545599999989E-2</v>
      </c>
      <c r="L1033" s="121"/>
      <c r="M1033" s="977">
        <v>9.9707545599999989E-2</v>
      </c>
      <c r="N1033" s="979"/>
    </row>
    <row r="1034" spans="2:14" x14ac:dyDescent="0.3">
      <c r="B1034" s="973">
        <v>1019</v>
      </c>
      <c r="C1034" s="386" t="s">
        <v>2657</v>
      </c>
      <c r="D1034" s="386" t="s">
        <v>2803</v>
      </c>
      <c r="E1034" s="121" t="s">
        <v>1478</v>
      </c>
      <c r="F1034" s="121">
        <v>3</v>
      </c>
      <c r="G1034" s="974" t="s">
        <v>2804</v>
      </c>
      <c r="H1034" s="121">
        <v>4500137412</v>
      </c>
      <c r="I1034" s="121"/>
      <c r="J1034" s="121"/>
      <c r="K1034" s="977">
        <v>2.8378193469999997E-2</v>
      </c>
      <c r="L1034" s="121"/>
      <c r="M1034" s="977">
        <v>2.8378193469999997E-2</v>
      </c>
      <c r="N1034" s="979"/>
    </row>
    <row r="1035" spans="2:14" ht="28" x14ac:dyDescent="0.3">
      <c r="B1035" s="973">
        <v>1020</v>
      </c>
      <c r="C1035" s="386" t="s">
        <v>1927</v>
      </c>
      <c r="D1035" s="386" t="s">
        <v>2805</v>
      </c>
      <c r="E1035" s="121" t="s">
        <v>1483</v>
      </c>
      <c r="F1035" s="121"/>
      <c r="G1035" s="974" t="s">
        <v>2806</v>
      </c>
      <c r="H1035" s="121">
        <v>4500138318</v>
      </c>
      <c r="I1035" s="121"/>
      <c r="J1035" s="121"/>
      <c r="K1035" s="977">
        <v>5.8814739999999994E-3</v>
      </c>
      <c r="L1035" s="121"/>
      <c r="M1035" s="977">
        <v>5.8814739999999994E-3</v>
      </c>
      <c r="N1035" s="979"/>
    </row>
    <row r="1036" spans="2:14" x14ac:dyDescent="0.3">
      <c r="C1036" s="600"/>
      <c r="D1036" s="600"/>
      <c r="E1036" s="600"/>
      <c r="G1036" s="987"/>
      <c r="K1036" s="988">
        <f>SUM(K16:K1035)</f>
        <v>67.70874104943276</v>
      </c>
    </row>
  </sheetData>
  <conditionalFormatting sqref="H441:H1035">
    <cfRule type="duplicateValues" dxfId="0" priority="1"/>
  </conditionalFormatting>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B2:T29"/>
  <sheetViews>
    <sheetView zoomScale="90" workbookViewId="0">
      <selection activeCell="G4" sqref="G4"/>
    </sheetView>
  </sheetViews>
  <sheetFormatPr defaultColWidth="9.1796875" defaultRowHeight="14" x14ac:dyDescent="0.3"/>
  <cols>
    <col min="1" max="1" width="9.1796875" style="1"/>
    <col min="2" max="2" width="24.54296875" style="1" customWidth="1"/>
    <col min="3" max="4" width="12.453125" style="1" customWidth="1"/>
    <col min="5" max="5" width="13.453125" style="1" customWidth="1"/>
    <col min="6" max="7" width="12.453125" style="1" customWidth="1"/>
    <col min="8" max="8" width="13.453125" style="1" customWidth="1"/>
    <col min="9" max="10" width="12.453125" style="1" customWidth="1"/>
    <col min="11" max="14" width="13.453125" style="1" customWidth="1"/>
    <col min="15" max="16" width="12.453125" style="1" customWidth="1"/>
    <col min="17" max="17" width="13.453125" style="1" customWidth="1"/>
    <col min="18" max="19" width="16.54296875" style="1" customWidth="1"/>
    <col min="20" max="20" width="26.54296875" style="1" customWidth="1"/>
    <col min="21" max="260" width="9.1796875" style="1"/>
    <col min="261" max="261" width="71" style="1" customWidth="1"/>
    <col min="262" max="262" width="22.54296875" style="1" bestFit="1" customWidth="1"/>
    <col min="263" max="263" width="33" style="1" bestFit="1" customWidth="1"/>
    <col min="264" max="264" width="26.54296875" style="1" bestFit="1" customWidth="1"/>
    <col min="265" max="265" width="22.54296875" style="1" bestFit="1" customWidth="1"/>
    <col min="266" max="266" width="33" style="1" bestFit="1" customWidth="1"/>
    <col min="267" max="267" width="26.54296875" style="1" customWidth="1"/>
    <col min="268" max="268" width="22.54296875" style="1" bestFit="1" customWidth="1"/>
    <col min="269" max="270" width="33" style="1" bestFit="1" customWidth="1"/>
    <col min="271" max="271" width="22.54296875" style="1" bestFit="1" customWidth="1"/>
    <col min="272" max="272" width="33" style="1" bestFit="1" customWidth="1"/>
    <col min="273" max="273" width="25.54296875" style="1" customWidth="1"/>
    <col min="274" max="275" width="16.54296875" style="1" customWidth="1"/>
    <col min="276" max="276" width="26.54296875" style="1" customWidth="1"/>
    <col min="277" max="516" width="9.1796875" style="1"/>
    <col min="517" max="517" width="71" style="1" customWidth="1"/>
    <col min="518" max="518" width="22.54296875" style="1" bestFit="1" customWidth="1"/>
    <col min="519" max="519" width="33" style="1" bestFit="1" customWidth="1"/>
    <col min="520" max="520" width="26.54296875" style="1" bestFit="1" customWidth="1"/>
    <col min="521" max="521" width="22.54296875" style="1" bestFit="1" customWidth="1"/>
    <col min="522" max="522" width="33" style="1" bestFit="1" customWidth="1"/>
    <col min="523" max="523" width="26.54296875" style="1" customWidth="1"/>
    <col min="524" max="524" width="22.54296875" style="1" bestFit="1" customWidth="1"/>
    <col min="525" max="526" width="33" style="1" bestFit="1" customWidth="1"/>
    <col min="527" max="527" width="22.54296875" style="1" bestFit="1" customWidth="1"/>
    <col min="528" max="528" width="33" style="1" bestFit="1" customWidth="1"/>
    <col min="529" max="529" width="25.54296875" style="1" customWidth="1"/>
    <col min="530" max="531" width="16.54296875" style="1" customWidth="1"/>
    <col min="532" max="532" width="26.54296875" style="1" customWidth="1"/>
    <col min="533" max="772" width="9.1796875" style="1"/>
    <col min="773" max="773" width="71" style="1" customWidth="1"/>
    <col min="774" max="774" width="22.54296875" style="1" bestFit="1" customWidth="1"/>
    <col min="775" max="775" width="33" style="1" bestFit="1" customWidth="1"/>
    <col min="776" max="776" width="26.54296875" style="1" bestFit="1" customWidth="1"/>
    <col min="777" max="777" width="22.54296875" style="1" bestFit="1" customWidth="1"/>
    <col min="778" max="778" width="33" style="1" bestFit="1" customWidth="1"/>
    <col min="779" max="779" width="26.54296875" style="1" customWidth="1"/>
    <col min="780" max="780" width="22.54296875" style="1" bestFit="1" customWidth="1"/>
    <col min="781" max="782" width="33" style="1" bestFit="1" customWidth="1"/>
    <col min="783" max="783" width="22.54296875" style="1" bestFit="1" customWidth="1"/>
    <col min="784" max="784" width="33" style="1" bestFit="1" customWidth="1"/>
    <col min="785" max="785" width="25.54296875" style="1" customWidth="1"/>
    <col min="786" max="787" width="16.54296875" style="1" customWidth="1"/>
    <col min="788" max="788" width="26.54296875" style="1" customWidth="1"/>
    <col min="789" max="1028" width="9.1796875" style="1"/>
    <col min="1029" max="1029" width="71" style="1" customWidth="1"/>
    <col min="1030" max="1030" width="22.54296875" style="1" bestFit="1" customWidth="1"/>
    <col min="1031" max="1031" width="33" style="1" bestFit="1" customWidth="1"/>
    <col min="1032" max="1032" width="26.54296875" style="1" bestFit="1" customWidth="1"/>
    <col min="1033" max="1033" width="22.54296875" style="1" bestFit="1" customWidth="1"/>
    <col min="1034" max="1034" width="33" style="1" bestFit="1" customWidth="1"/>
    <col min="1035" max="1035" width="26.54296875" style="1" customWidth="1"/>
    <col min="1036" max="1036" width="22.54296875" style="1" bestFit="1" customWidth="1"/>
    <col min="1037" max="1038" width="33" style="1" bestFit="1" customWidth="1"/>
    <col min="1039" max="1039" width="22.54296875" style="1" bestFit="1" customWidth="1"/>
    <col min="1040" max="1040" width="33" style="1" bestFit="1" customWidth="1"/>
    <col min="1041" max="1041" width="25.54296875" style="1" customWidth="1"/>
    <col min="1042" max="1043" width="16.54296875" style="1" customWidth="1"/>
    <col min="1044" max="1044" width="26.54296875" style="1" customWidth="1"/>
    <col min="1045" max="1284" width="9.1796875" style="1"/>
    <col min="1285" max="1285" width="71" style="1" customWidth="1"/>
    <col min="1286" max="1286" width="22.54296875" style="1" bestFit="1" customWidth="1"/>
    <col min="1287" max="1287" width="33" style="1" bestFit="1" customWidth="1"/>
    <col min="1288" max="1288" width="26.54296875" style="1" bestFit="1" customWidth="1"/>
    <col min="1289" max="1289" width="22.54296875" style="1" bestFit="1" customWidth="1"/>
    <col min="1290" max="1290" width="33" style="1" bestFit="1" customWidth="1"/>
    <col min="1291" max="1291" width="26.54296875" style="1" customWidth="1"/>
    <col min="1292" max="1292" width="22.54296875" style="1" bestFit="1" customWidth="1"/>
    <col min="1293" max="1294" width="33" style="1" bestFit="1" customWidth="1"/>
    <col min="1295" max="1295" width="22.54296875" style="1" bestFit="1" customWidth="1"/>
    <col min="1296" max="1296" width="33" style="1" bestFit="1" customWidth="1"/>
    <col min="1297" max="1297" width="25.54296875" style="1" customWidth="1"/>
    <col min="1298" max="1299" width="16.54296875" style="1" customWidth="1"/>
    <col min="1300" max="1300" width="26.54296875" style="1" customWidth="1"/>
    <col min="1301" max="1540" width="9.1796875" style="1"/>
    <col min="1541" max="1541" width="71" style="1" customWidth="1"/>
    <col min="1542" max="1542" width="22.54296875" style="1" bestFit="1" customWidth="1"/>
    <col min="1543" max="1543" width="33" style="1" bestFit="1" customWidth="1"/>
    <col min="1544" max="1544" width="26.54296875" style="1" bestFit="1" customWidth="1"/>
    <col min="1545" max="1545" width="22.54296875" style="1" bestFit="1" customWidth="1"/>
    <col min="1546" max="1546" width="33" style="1" bestFit="1" customWidth="1"/>
    <col min="1547" max="1547" width="26.54296875" style="1" customWidth="1"/>
    <col min="1548" max="1548" width="22.54296875" style="1" bestFit="1" customWidth="1"/>
    <col min="1549" max="1550" width="33" style="1" bestFit="1" customWidth="1"/>
    <col min="1551" max="1551" width="22.54296875" style="1" bestFit="1" customWidth="1"/>
    <col min="1552" max="1552" width="33" style="1" bestFit="1" customWidth="1"/>
    <col min="1553" max="1553" width="25.54296875" style="1" customWidth="1"/>
    <col min="1554" max="1555" width="16.54296875" style="1" customWidth="1"/>
    <col min="1556" max="1556" width="26.54296875" style="1" customWidth="1"/>
    <col min="1557" max="1796" width="9.1796875" style="1"/>
    <col min="1797" max="1797" width="71" style="1" customWidth="1"/>
    <col min="1798" max="1798" width="22.54296875" style="1" bestFit="1" customWidth="1"/>
    <col min="1799" max="1799" width="33" style="1" bestFit="1" customWidth="1"/>
    <col min="1800" max="1800" width="26.54296875" style="1" bestFit="1" customWidth="1"/>
    <col min="1801" max="1801" width="22.54296875" style="1" bestFit="1" customWidth="1"/>
    <col min="1802" max="1802" width="33" style="1" bestFit="1" customWidth="1"/>
    <col min="1803" max="1803" width="26.54296875" style="1" customWidth="1"/>
    <col min="1804" max="1804" width="22.54296875" style="1" bestFit="1" customWidth="1"/>
    <col min="1805" max="1806" width="33" style="1" bestFit="1" customWidth="1"/>
    <col min="1807" max="1807" width="22.54296875" style="1" bestFit="1" customWidth="1"/>
    <col min="1808" max="1808" width="33" style="1" bestFit="1" customWidth="1"/>
    <col min="1809" max="1809" width="25.54296875" style="1" customWidth="1"/>
    <col min="1810" max="1811" width="16.54296875" style="1" customWidth="1"/>
    <col min="1812" max="1812" width="26.54296875" style="1" customWidth="1"/>
    <col min="1813" max="2052" width="9.1796875" style="1"/>
    <col min="2053" max="2053" width="71" style="1" customWidth="1"/>
    <col min="2054" max="2054" width="22.54296875" style="1" bestFit="1" customWidth="1"/>
    <col min="2055" max="2055" width="33" style="1" bestFit="1" customWidth="1"/>
    <col min="2056" max="2056" width="26.54296875" style="1" bestFit="1" customWidth="1"/>
    <col min="2057" max="2057" width="22.54296875" style="1" bestFit="1" customWidth="1"/>
    <col min="2058" max="2058" width="33" style="1" bestFit="1" customWidth="1"/>
    <col min="2059" max="2059" width="26.54296875" style="1" customWidth="1"/>
    <col min="2060" max="2060" width="22.54296875" style="1" bestFit="1" customWidth="1"/>
    <col min="2061" max="2062" width="33" style="1" bestFit="1" customWidth="1"/>
    <col min="2063" max="2063" width="22.54296875" style="1" bestFit="1" customWidth="1"/>
    <col min="2064" max="2064" width="33" style="1" bestFit="1" customWidth="1"/>
    <col min="2065" max="2065" width="25.54296875" style="1" customWidth="1"/>
    <col min="2066" max="2067" width="16.54296875" style="1" customWidth="1"/>
    <col min="2068" max="2068" width="26.54296875" style="1" customWidth="1"/>
    <col min="2069" max="2308" width="9.1796875" style="1"/>
    <col min="2309" max="2309" width="71" style="1" customWidth="1"/>
    <col min="2310" max="2310" width="22.54296875" style="1" bestFit="1" customWidth="1"/>
    <col min="2311" max="2311" width="33" style="1" bestFit="1" customWidth="1"/>
    <col min="2312" max="2312" width="26.54296875" style="1" bestFit="1" customWidth="1"/>
    <col min="2313" max="2313" width="22.54296875" style="1" bestFit="1" customWidth="1"/>
    <col min="2314" max="2314" width="33" style="1" bestFit="1" customWidth="1"/>
    <col min="2315" max="2315" width="26.54296875" style="1" customWidth="1"/>
    <col min="2316" max="2316" width="22.54296875" style="1" bestFit="1" customWidth="1"/>
    <col min="2317" max="2318" width="33" style="1" bestFit="1" customWidth="1"/>
    <col min="2319" max="2319" width="22.54296875" style="1" bestFit="1" customWidth="1"/>
    <col min="2320" max="2320" width="33" style="1" bestFit="1" customWidth="1"/>
    <col min="2321" max="2321" width="25.54296875" style="1" customWidth="1"/>
    <col min="2322" max="2323" width="16.54296875" style="1" customWidth="1"/>
    <col min="2324" max="2324" width="26.54296875" style="1" customWidth="1"/>
    <col min="2325" max="2564" width="9.1796875" style="1"/>
    <col min="2565" max="2565" width="71" style="1" customWidth="1"/>
    <col min="2566" max="2566" width="22.54296875" style="1" bestFit="1" customWidth="1"/>
    <col min="2567" max="2567" width="33" style="1" bestFit="1" customWidth="1"/>
    <col min="2568" max="2568" width="26.54296875" style="1" bestFit="1" customWidth="1"/>
    <col min="2569" max="2569" width="22.54296875" style="1" bestFit="1" customWidth="1"/>
    <col min="2570" max="2570" width="33" style="1" bestFit="1" customWidth="1"/>
    <col min="2571" max="2571" width="26.54296875" style="1" customWidth="1"/>
    <col min="2572" max="2572" width="22.54296875" style="1" bestFit="1" customWidth="1"/>
    <col min="2573" max="2574" width="33" style="1" bestFit="1" customWidth="1"/>
    <col min="2575" max="2575" width="22.54296875" style="1" bestFit="1" customWidth="1"/>
    <col min="2576" max="2576" width="33" style="1" bestFit="1" customWidth="1"/>
    <col min="2577" max="2577" width="25.54296875" style="1" customWidth="1"/>
    <col min="2578" max="2579" width="16.54296875" style="1" customWidth="1"/>
    <col min="2580" max="2580" width="26.54296875" style="1" customWidth="1"/>
    <col min="2581" max="2820" width="9.1796875" style="1"/>
    <col min="2821" max="2821" width="71" style="1" customWidth="1"/>
    <col min="2822" max="2822" width="22.54296875" style="1" bestFit="1" customWidth="1"/>
    <col min="2823" max="2823" width="33" style="1" bestFit="1" customWidth="1"/>
    <col min="2824" max="2824" width="26.54296875" style="1" bestFit="1" customWidth="1"/>
    <col min="2825" max="2825" width="22.54296875" style="1" bestFit="1" customWidth="1"/>
    <col min="2826" max="2826" width="33" style="1" bestFit="1" customWidth="1"/>
    <col min="2827" max="2827" width="26.54296875" style="1" customWidth="1"/>
    <col min="2828" max="2828" width="22.54296875" style="1" bestFit="1" customWidth="1"/>
    <col min="2829" max="2830" width="33" style="1" bestFit="1" customWidth="1"/>
    <col min="2831" max="2831" width="22.54296875" style="1" bestFit="1" customWidth="1"/>
    <col min="2832" max="2832" width="33" style="1" bestFit="1" customWidth="1"/>
    <col min="2833" max="2833" width="25.54296875" style="1" customWidth="1"/>
    <col min="2834" max="2835" width="16.54296875" style="1" customWidth="1"/>
    <col min="2836" max="2836" width="26.54296875" style="1" customWidth="1"/>
    <col min="2837" max="3076" width="9.1796875" style="1"/>
    <col min="3077" max="3077" width="71" style="1" customWidth="1"/>
    <col min="3078" max="3078" width="22.54296875" style="1" bestFit="1" customWidth="1"/>
    <col min="3079" max="3079" width="33" style="1" bestFit="1" customWidth="1"/>
    <col min="3080" max="3080" width="26.54296875" style="1" bestFit="1" customWidth="1"/>
    <col min="3081" max="3081" width="22.54296875" style="1" bestFit="1" customWidth="1"/>
    <col min="3082" max="3082" width="33" style="1" bestFit="1" customWidth="1"/>
    <col min="3083" max="3083" width="26.54296875" style="1" customWidth="1"/>
    <col min="3084" max="3084" width="22.54296875" style="1" bestFit="1" customWidth="1"/>
    <col min="3085" max="3086" width="33" style="1" bestFit="1" customWidth="1"/>
    <col min="3087" max="3087" width="22.54296875" style="1" bestFit="1" customWidth="1"/>
    <col min="3088" max="3088" width="33" style="1" bestFit="1" customWidth="1"/>
    <col min="3089" max="3089" width="25.54296875" style="1" customWidth="1"/>
    <col min="3090" max="3091" width="16.54296875" style="1" customWidth="1"/>
    <col min="3092" max="3092" width="26.54296875" style="1" customWidth="1"/>
    <col min="3093" max="3332" width="9.1796875" style="1"/>
    <col min="3333" max="3333" width="71" style="1" customWidth="1"/>
    <col min="3334" max="3334" width="22.54296875" style="1" bestFit="1" customWidth="1"/>
    <col min="3335" max="3335" width="33" style="1" bestFit="1" customWidth="1"/>
    <col min="3336" max="3336" width="26.54296875" style="1" bestFit="1" customWidth="1"/>
    <col min="3337" max="3337" width="22.54296875" style="1" bestFit="1" customWidth="1"/>
    <col min="3338" max="3338" width="33" style="1" bestFit="1" customWidth="1"/>
    <col min="3339" max="3339" width="26.54296875" style="1" customWidth="1"/>
    <col min="3340" max="3340" width="22.54296875" style="1" bestFit="1" customWidth="1"/>
    <col min="3341" max="3342" width="33" style="1" bestFit="1" customWidth="1"/>
    <col min="3343" max="3343" width="22.54296875" style="1" bestFit="1" customWidth="1"/>
    <col min="3344" max="3344" width="33" style="1" bestFit="1" customWidth="1"/>
    <col min="3345" max="3345" width="25.54296875" style="1" customWidth="1"/>
    <col min="3346" max="3347" width="16.54296875" style="1" customWidth="1"/>
    <col min="3348" max="3348" width="26.54296875" style="1" customWidth="1"/>
    <col min="3349" max="3588" width="9.1796875" style="1"/>
    <col min="3589" max="3589" width="71" style="1" customWidth="1"/>
    <col min="3590" max="3590" width="22.54296875" style="1" bestFit="1" customWidth="1"/>
    <col min="3591" max="3591" width="33" style="1" bestFit="1" customWidth="1"/>
    <col min="3592" max="3592" width="26.54296875" style="1" bestFit="1" customWidth="1"/>
    <col min="3593" max="3593" width="22.54296875" style="1" bestFit="1" customWidth="1"/>
    <col min="3594" max="3594" width="33" style="1" bestFit="1" customWidth="1"/>
    <col min="3595" max="3595" width="26.54296875" style="1" customWidth="1"/>
    <col min="3596" max="3596" width="22.54296875" style="1" bestFit="1" customWidth="1"/>
    <col min="3597" max="3598" width="33" style="1" bestFit="1" customWidth="1"/>
    <col min="3599" max="3599" width="22.54296875" style="1" bestFit="1" customWidth="1"/>
    <col min="3600" max="3600" width="33" style="1" bestFit="1" customWidth="1"/>
    <col min="3601" max="3601" width="25.54296875" style="1" customWidth="1"/>
    <col min="3602" max="3603" width="16.54296875" style="1" customWidth="1"/>
    <col min="3604" max="3604" width="26.54296875" style="1" customWidth="1"/>
    <col min="3605" max="3844" width="9.1796875" style="1"/>
    <col min="3845" max="3845" width="71" style="1" customWidth="1"/>
    <col min="3846" max="3846" width="22.54296875" style="1" bestFit="1" customWidth="1"/>
    <col min="3847" max="3847" width="33" style="1" bestFit="1" customWidth="1"/>
    <col min="3848" max="3848" width="26.54296875" style="1" bestFit="1" customWidth="1"/>
    <col min="3849" max="3849" width="22.54296875" style="1" bestFit="1" customWidth="1"/>
    <col min="3850" max="3850" width="33" style="1" bestFit="1" customWidth="1"/>
    <col min="3851" max="3851" width="26.54296875" style="1" customWidth="1"/>
    <col min="3852" max="3852" width="22.54296875" style="1" bestFit="1" customWidth="1"/>
    <col min="3853" max="3854" width="33" style="1" bestFit="1" customWidth="1"/>
    <col min="3855" max="3855" width="22.54296875" style="1" bestFit="1" customWidth="1"/>
    <col min="3856" max="3856" width="33" style="1" bestFit="1" customWidth="1"/>
    <col min="3857" max="3857" width="25.54296875" style="1" customWidth="1"/>
    <col min="3858" max="3859" width="16.54296875" style="1" customWidth="1"/>
    <col min="3860" max="3860" width="26.54296875" style="1" customWidth="1"/>
    <col min="3861" max="4100" width="9.1796875" style="1"/>
    <col min="4101" max="4101" width="71" style="1" customWidth="1"/>
    <col min="4102" max="4102" width="22.54296875" style="1" bestFit="1" customWidth="1"/>
    <col min="4103" max="4103" width="33" style="1" bestFit="1" customWidth="1"/>
    <col min="4104" max="4104" width="26.54296875" style="1" bestFit="1" customWidth="1"/>
    <col min="4105" max="4105" width="22.54296875" style="1" bestFit="1" customWidth="1"/>
    <col min="4106" max="4106" width="33" style="1" bestFit="1" customWidth="1"/>
    <col min="4107" max="4107" width="26.54296875" style="1" customWidth="1"/>
    <col min="4108" max="4108" width="22.54296875" style="1" bestFit="1" customWidth="1"/>
    <col min="4109" max="4110" width="33" style="1" bestFit="1" customWidth="1"/>
    <col min="4111" max="4111" width="22.54296875" style="1" bestFit="1" customWidth="1"/>
    <col min="4112" max="4112" width="33" style="1" bestFit="1" customWidth="1"/>
    <col min="4113" max="4113" width="25.54296875" style="1" customWidth="1"/>
    <col min="4114" max="4115" width="16.54296875" style="1" customWidth="1"/>
    <col min="4116" max="4116" width="26.54296875" style="1" customWidth="1"/>
    <col min="4117" max="4356" width="9.1796875" style="1"/>
    <col min="4357" max="4357" width="71" style="1" customWidth="1"/>
    <col min="4358" max="4358" width="22.54296875" style="1" bestFit="1" customWidth="1"/>
    <col min="4359" max="4359" width="33" style="1" bestFit="1" customWidth="1"/>
    <col min="4360" max="4360" width="26.54296875" style="1" bestFit="1" customWidth="1"/>
    <col min="4361" max="4361" width="22.54296875" style="1" bestFit="1" customWidth="1"/>
    <col min="4362" max="4362" width="33" style="1" bestFit="1" customWidth="1"/>
    <col min="4363" max="4363" width="26.54296875" style="1" customWidth="1"/>
    <col min="4364" max="4364" width="22.54296875" style="1" bestFit="1" customWidth="1"/>
    <col min="4365" max="4366" width="33" style="1" bestFit="1" customWidth="1"/>
    <col min="4367" max="4367" width="22.54296875" style="1" bestFit="1" customWidth="1"/>
    <col min="4368" max="4368" width="33" style="1" bestFit="1" customWidth="1"/>
    <col min="4369" max="4369" width="25.54296875" style="1" customWidth="1"/>
    <col min="4370" max="4371" width="16.54296875" style="1" customWidth="1"/>
    <col min="4372" max="4372" width="26.54296875" style="1" customWidth="1"/>
    <col min="4373" max="4612" width="9.1796875" style="1"/>
    <col min="4613" max="4613" width="71" style="1" customWidth="1"/>
    <col min="4614" max="4614" width="22.54296875" style="1" bestFit="1" customWidth="1"/>
    <col min="4615" max="4615" width="33" style="1" bestFit="1" customWidth="1"/>
    <col min="4616" max="4616" width="26.54296875" style="1" bestFit="1" customWidth="1"/>
    <col min="4617" max="4617" width="22.54296875" style="1" bestFit="1" customWidth="1"/>
    <col min="4618" max="4618" width="33" style="1" bestFit="1" customWidth="1"/>
    <col min="4619" max="4619" width="26.54296875" style="1" customWidth="1"/>
    <col min="4620" max="4620" width="22.54296875" style="1" bestFit="1" customWidth="1"/>
    <col min="4621" max="4622" width="33" style="1" bestFit="1" customWidth="1"/>
    <col min="4623" max="4623" width="22.54296875" style="1" bestFit="1" customWidth="1"/>
    <col min="4624" max="4624" width="33" style="1" bestFit="1" customWidth="1"/>
    <col min="4625" max="4625" width="25.54296875" style="1" customWidth="1"/>
    <col min="4626" max="4627" width="16.54296875" style="1" customWidth="1"/>
    <col min="4628" max="4628" width="26.54296875" style="1" customWidth="1"/>
    <col min="4629" max="4868" width="9.1796875" style="1"/>
    <col min="4869" max="4869" width="71" style="1" customWidth="1"/>
    <col min="4870" max="4870" width="22.54296875" style="1" bestFit="1" customWidth="1"/>
    <col min="4871" max="4871" width="33" style="1" bestFit="1" customWidth="1"/>
    <col min="4872" max="4872" width="26.54296875" style="1" bestFit="1" customWidth="1"/>
    <col min="4873" max="4873" width="22.54296875" style="1" bestFit="1" customWidth="1"/>
    <col min="4874" max="4874" width="33" style="1" bestFit="1" customWidth="1"/>
    <col min="4875" max="4875" width="26.54296875" style="1" customWidth="1"/>
    <col min="4876" max="4876" width="22.54296875" style="1" bestFit="1" customWidth="1"/>
    <col min="4877" max="4878" width="33" style="1" bestFit="1" customWidth="1"/>
    <col min="4879" max="4879" width="22.54296875" style="1" bestFit="1" customWidth="1"/>
    <col min="4880" max="4880" width="33" style="1" bestFit="1" customWidth="1"/>
    <col min="4881" max="4881" width="25.54296875" style="1" customWidth="1"/>
    <col min="4882" max="4883" width="16.54296875" style="1" customWidth="1"/>
    <col min="4884" max="4884" width="26.54296875" style="1" customWidth="1"/>
    <col min="4885" max="5124" width="9.1796875" style="1"/>
    <col min="5125" max="5125" width="71" style="1" customWidth="1"/>
    <col min="5126" max="5126" width="22.54296875" style="1" bestFit="1" customWidth="1"/>
    <col min="5127" max="5127" width="33" style="1" bestFit="1" customWidth="1"/>
    <col min="5128" max="5128" width="26.54296875" style="1" bestFit="1" customWidth="1"/>
    <col min="5129" max="5129" width="22.54296875" style="1" bestFit="1" customWidth="1"/>
    <col min="5130" max="5130" width="33" style="1" bestFit="1" customWidth="1"/>
    <col min="5131" max="5131" width="26.54296875" style="1" customWidth="1"/>
    <col min="5132" max="5132" width="22.54296875" style="1" bestFit="1" customWidth="1"/>
    <col min="5133" max="5134" width="33" style="1" bestFit="1" customWidth="1"/>
    <col min="5135" max="5135" width="22.54296875" style="1" bestFit="1" customWidth="1"/>
    <col min="5136" max="5136" width="33" style="1" bestFit="1" customWidth="1"/>
    <col min="5137" max="5137" width="25.54296875" style="1" customWidth="1"/>
    <col min="5138" max="5139" width="16.54296875" style="1" customWidth="1"/>
    <col min="5140" max="5140" width="26.54296875" style="1" customWidth="1"/>
    <col min="5141" max="5380" width="9.1796875" style="1"/>
    <col min="5381" max="5381" width="71" style="1" customWidth="1"/>
    <col min="5382" max="5382" width="22.54296875" style="1" bestFit="1" customWidth="1"/>
    <col min="5383" max="5383" width="33" style="1" bestFit="1" customWidth="1"/>
    <col min="5384" max="5384" width="26.54296875" style="1" bestFit="1" customWidth="1"/>
    <col min="5385" max="5385" width="22.54296875" style="1" bestFit="1" customWidth="1"/>
    <col min="5386" max="5386" width="33" style="1" bestFit="1" customWidth="1"/>
    <col min="5387" max="5387" width="26.54296875" style="1" customWidth="1"/>
    <col min="5388" max="5388" width="22.54296875" style="1" bestFit="1" customWidth="1"/>
    <col min="5389" max="5390" width="33" style="1" bestFit="1" customWidth="1"/>
    <col min="5391" max="5391" width="22.54296875" style="1" bestFit="1" customWidth="1"/>
    <col min="5392" max="5392" width="33" style="1" bestFit="1" customWidth="1"/>
    <col min="5393" max="5393" width="25.54296875" style="1" customWidth="1"/>
    <col min="5394" max="5395" width="16.54296875" style="1" customWidth="1"/>
    <col min="5396" max="5396" width="26.54296875" style="1" customWidth="1"/>
    <col min="5397" max="5636" width="9.1796875" style="1"/>
    <col min="5637" max="5637" width="71" style="1" customWidth="1"/>
    <col min="5638" max="5638" width="22.54296875" style="1" bestFit="1" customWidth="1"/>
    <col min="5639" max="5639" width="33" style="1" bestFit="1" customWidth="1"/>
    <col min="5640" max="5640" width="26.54296875" style="1" bestFit="1" customWidth="1"/>
    <col min="5641" max="5641" width="22.54296875" style="1" bestFit="1" customWidth="1"/>
    <col min="5642" max="5642" width="33" style="1" bestFit="1" customWidth="1"/>
    <col min="5643" max="5643" width="26.54296875" style="1" customWidth="1"/>
    <col min="5644" max="5644" width="22.54296875" style="1" bestFit="1" customWidth="1"/>
    <col min="5645" max="5646" width="33" style="1" bestFit="1" customWidth="1"/>
    <col min="5647" max="5647" width="22.54296875" style="1" bestFit="1" customWidth="1"/>
    <col min="5648" max="5648" width="33" style="1" bestFit="1" customWidth="1"/>
    <col min="5649" max="5649" width="25.54296875" style="1" customWidth="1"/>
    <col min="5650" max="5651" width="16.54296875" style="1" customWidth="1"/>
    <col min="5652" max="5652" width="26.54296875" style="1" customWidth="1"/>
    <col min="5653" max="5892" width="9.1796875" style="1"/>
    <col min="5893" max="5893" width="71" style="1" customWidth="1"/>
    <col min="5894" max="5894" width="22.54296875" style="1" bestFit="1" customWidth="1"/>
    <col min="5895" max="5895" width="33" style="1" bestFit="1" customWidth="1"/>
    <col min="5896" max="5896" width="26.54296875" style="1" bestFit="1" customWidth="1"/>
    <col min="5897" max="5897" width="22.54296875" style="1" bestFit="1" customWidth="1"/>
    <col min="5898" max="5898" width="33" style="1" bestFit="1" customWidth="1"/>
    <col min="5899" max="5899" width="26.54296875" style="1" customWidth="1"/>
    <col min="5900" max="5900" width="22.54296875" style="1" bestFit="1" customWidth="1"/>
    <col min="5901" max="5902" width="33" style="1" bestFit="1" customWidth="1"/>
    <col min="5903" max="5903" width="22.54296875" style="1" bestFit="1" customWidth="1"/>
    <col min="5904" max="5904" width="33" style="1" bestFit="1" customWidth="1"/>
    <col min="5905" max="5905" width="25.54296875" style="1" customWidth="1"/>
    <col min="5906" max="5907" width="16.54296875" style="1" customWidth="1"/>
    <col min="5908" max="5908" width="26.54296875" style="1" customWidth="1"/>
    <col min="5909" max="6148" width="9.1796875" style="1"/>
    <col min="6149" max="6149" width="71" style="1" customWidth="1"/>
    <col min="6150" max="6150" width="22.54296875" style="1" bestFit="1" customWidth="1"/>
    <col min="6151" max="6151" width="33" style="1" bestFit="1" customWidth="1"/>
    <col min="6152" max="6152" width="26.54296875" style="1" bestFit="1" customWidth="1"/>
    <col min="6153" max="6153" width="22.54296875" style="1" bestFit="1" customWidth="1"/>
    <col min="6154" max="6154" width="33" style="1" bestFit="1" customWidth="1"/>
    <col min="6155" max="6155" width="26.54296875" style="1" customWidth="1"/>
    <col min="6156" max="6156" width="22.54296875" style="1" bestFit="1" customWidth="1"/>
    <col min="6157" max="6158" width="33" style="1" bestFit="1" customWidth="1"/>
    <col min="6159" max="6159" width="22.54296875" style="1" bestFit="1" customWidth="1"/>
    <col min="6160" max="6160" width="33" style="1" bestFit="1" customWidth="1"/>
    <col min="6161" max="6161" width="25.54296875" style="1" customWidth="1"/>
    <col min="6162" max="6163" width="16.54296875" style="1" customWidth="1"/>
    <col min="6164" max="6164" width="26.54296875" style="1" customWidth="1"/>
    <col min="6165" max="6404" width="9.1796875" style="1"/>
    <col min="6405" max="6405" width="71" style="1" customWidth="1"/>
    <col min="6406" max="6406" width="22.54296875" style="1" bestFit="1" customWidth="1"/>
    <col min="6407" max="6407" width="33" style="1" bestFit="1" customWidth="1"/>
    <col min="6408" max="6408" width="26.54296875" style="1" bestFit="1" customWidth="1"/>
    <col min="6409" max="6409" width="22.54296875" style="1" bestFit="1" customWidth="1"/>
    <col min="6410" max="6410" width="33" style="1" bestFit="1" customWidth="1"/>
    <col min="6411" max="6411" width="26.54296875" style="1" customWidth="1"/>
    <col min="6412" max="6412" width="22.54296875" style="1" bestFit="1" customWidth="1"/>
    <col min="6413" max="6414" width="33" style="1" bestFit="1" customWidth="1"/>
    <col min="6415" max="6415" width="22.54296875" style="1" bestFit="1" customWidth="1"/>
    <col min="6416" max="6416" width="33" style="1" bestFit="1" customWidth="1"/>
    <col min="6417" max="6417" width="25.54296875" style="1" customWidth="1"/>
    <col min="6418" max="6419" width="16.54296875" style="1" customWidth="1"/>
    <col min="6420" max="6420" width="26.54296875" style="1" customWidth="1"/>
    <col min="6421" max="6660" width="9.1796875" style="1"/>
    <col min="6661" max="6661" width="71" style="1" customWidth="1"/>
    <col min="6662" max="6662" width="22.54296875" style="1" bestFit="1" customWidth="1"/>
    <col min="6663" max="6663" width="33" style="1" bestFit="1" customWidth="1"/>
    <col min="6664" max="6664" width="26.54296875" style="1" bestFit="1" customWidth="1"/>
    <col min="6665" max="6665" width="22.54296875" style="1" bestFit="1" customWidth="1"/>
    <col min="6666" max="6666" width="33" style="1" bestFit="1" customWidth="1"/>
    <col min="6667" max="6667" width="26.54296875" style="1" customWidth="1"/>
    <col min="6668" max="6668" width="22.54296875" style="1" bestFit="1" customWidth="1"/>
    <col min="6669" max="6670" width="33" style="1" bestFit="1" customWidth="1"/>
    <col min="6671" max="6671" width="22.54296875" style="1" bestFit="1" customWidth="1"/>
    <col min="6672" max="6672" width="33" style="1" bestFit="1" customWidth="1"/>
    <col min="6673" max="6673" width="25.54296875" style="1" customWidth="1"/>
    <col min="6674" max="6675" width="16.54296875" style="1" customWidth="1"/>
    <col min="6676" max="6676" width="26.54296875" style="1" customWidth="1"/>
    <col min="6677" max="6916" width="9.1796875" style="1"/>
    <col min="6917" max="6917" width="71" style="1" customWidth="1"/>
    <col min="6918" max="6918" width="22.54296875" style="1" bestFit="1" customWidth="1"/>
    <col min="6919" max="6919" width="33" style="1" bestFit="1" customWidth="1"/>
    <col min="6920" max="6920" width="26.54296875" style="1" bestFit="1" customWidth="1"/>
    <col min="6921" max="6921" width="22.54296875" style="1" bestFit="1" customWidth="1"/>
    <col min="6922" max="6922" width="33" style="1" bestFit="1" customWidth="1"/>
    <col min="6923" max="6923" width="26.54296875" style="1" customWidth="1"/>
    <col min="6924" max="6924" width="22.54296875" style="1" bestFit="1" customWidth="1"/>
    <col min="6925" max="6926" width="33" style="1" bestFit="1" customWidth="1"/>
    <col min="6927" max="6927" width="22.54296875" style="1" bestFit="1" customWidth="1"/>
    <col min="6928" max="6928" width="33" style="1" bestFit="1" customWidth="1"/>
    <col min="6929" max="6929" width="25.54296875" style="1" customWidth="1"/>
    <col min="6930" max="6931" width="16.54296875" style="1" customWidth="1"/>
    <col min="6932" max="6932" width="26.54296875" style="1" customWidth="1"/>
    <col min="6933" max="7172" width="9.1796875" style="1"/>
    <col min="7173" max="7173" width="71" style="1" customWidth="1"/>
    <col min="7174" max="7174" width="22.54296875" style="1" bestFit="1" customWidth="1"/>
    <col min="7175" max="7175" width="33" style="1" bestFit="1" customWidth="1"/>
    <col min="7176" max="7176" width="26.54296875" style="1" bestFit="1" customWidth="1"/>
    <col min="7177" max="7177" width="22.54296875" style="1" bestFit="1" customWidth="1"/>
    <col min="7178" max="7178" width="33" style="1" bestFit="1" customWidth="1"/>
    <col min="7179" max="7179" width="26.54296875" style="1" customWidth="1"/>
    <col min="7180" max="7180" width="22.54296875" style="1" bestFit="1" customWidth="1"/>
    <col min="7181" max="7182" width="33" style="1" bestFit="1" customWidth="1"/>
    <col min="7183" max="7183" width="22.54296875" style="1" bestFit="1" customWidth="1"/>
    <col min="7184" max="7184" width="33" style="1" bestFit="1" customWidth="1"/>
    <col min="7185" max="7185" width="25.54296875" style="1" customWidth="1"/>
    <col min="7186" max="7187" width="16.54296875" style="1" customWidth="1"/>
    <col min="7188" max="7188" width="26.54296875" style="1" customWidth="1"/>
    <col min="7189" max="7428" width="9.1796875" style="1"/>
    <col min="7429" max="7429" width="71" style="1" customWidth="1"/>
    <col min="7430" max="7430" width="22.54296875" style="1" bestFit="1" customWidth="1"/>
    <col min="7431" max="7431" width="33" style="1" bestFit="1" customWidth="1"/>
    <col min="7432" max="7432" width="26.54296875" style="1" bestFit="1" customWidth="1"/>
    <col min="7433" max="7433" width="22.54296875" style="1" bestFit="1" customWidth="1"/>
    <col min="7434" max="7434" width="33" style="1" bestFit="1" customWidth="1"/>
    <col min="7435" max="7435" width="26.54296875" style="1" customWidth="1"/>
    <col min="7436" max="7436" width="22.54296875" style="1" bestFit="1" customWidth="1"/>
    <col min="7437" max="7438" width="33" style="1" bestFit="1" customWidth="1"/>
    <col min="7439" max="7439" width="22.54296875" style="1" bestFit="1" customWidth="1"/>
    <col min="7440" max="7440" width="33" style="1" bestFit="1" customWidth="1"/>
    <col min="7441" max="7441" width="25.54296875" style="1" customWidth="1"/>
    <col min="7442" max="7443" width="16.54296875" style="1" customWidth="1"/>
    <col min="7444" max="7444" width="26.54296875" style="1" customWidth="1"/>
    <col min="7445" max="7684" width="9.1796875" style="1"/>
    <col min="7685" max="7685" width="71" style="1" customWidth="1"/>
    <col min="7686" max="7686" width="22.54296875" style="1" bestFit="1" customWidth="1"/>
    <col min="7687" max="7687" width="33" style="1" bestFit="1" customWidth="1"/>
    <col min="7688" max="7688" width="26.54296875" style="1" bestFit="1" customWidth="1"/>
    <col min="7689" max="7689" width="22.54296875" style="1" bestFit="1" customWidth="1"/>
    <col min="7690" max="7690" width="33" style="1" bestFit="1" customWidth="1"/>
    <col min="7691" max="7691" width="26.54296875" style="1" customWidth="1"/>
    <col min="7692" max="7692" width="22.54296875" style="1" bestFit="1" customWidth="1"/>
    <col min="7693" max="7694" width="33" style="1" bestFit="1" customWidth="1"/>
    <col min="7695" max="7695" width="22.54296875" style="1" bestFit="1" customWidth="1"/>
    <col min="7696" max="7696" width="33" style="1" bestFit="1" customWidth="1"/>
    <col min="7697" max="7697" width="25.54296875" style="1" customWidth="1"/>
    <col min="7698" max="7699" width="16.54296875" style="1" customWidth="1"/>
    <col min="7700" max="7700" width="26.54296875" style="1" customWidth="1"/>
    <col min="7701" max="7940" width="9.1796875" style="1"/>
    <col min="7941" max="7941" width="71" style="1" customWidth="1"/>
    <col min="7942" max="7942" width="22.54296875" style="1" bestFit="1" customWidth="1"/>
    <col min="7943" max="7943" width="33" style="1" bestFit="1" customWidth="1"/>
    <col min="7944" max="7944" width="26.54296875" style="1" bestFit="1" customWidth="1"/>
    <col min="7945" max="7945" width="22.54296875" style="1" bestFit="1" customWidth="1"/>
    <col min="7946" max="7946" width="33" style="1" bestFit="1" customWidth="1"/>
    <col min="7947" max="7947" width="26.54296875" style="1" customWidth="1"/>
    <col min="7948" max="7948" width="22.54296875" style="1" bestFit="1" customWidth="1"/>
    <col min="7949" max="7950" width="33" style="1" bestFit="1" customWidth="1"/>
    <col min="7951" max="7951" width="22.54296875" style="1" bestFit="1" customWidth="1"/>
    <col min="7952" max="7952" width="33" style="1" bestFit="1" customWidth="1"/>
    <col min="7953" max="7953" width="25.54296875" style="1" customWidth="1"/>
    <col min="7954" max="7955" width="16.54296875" style="1" customWidth="1"/>
    <col min="7956" max="7956" width="26.54296875" style="1" customWidth="1"/>
    <col min="7957" max="8196" width="9.1796875" style="1"/>
    <col min="8197" max="8197" width="71" style="1" customWidth="1"/>
    <col min="8198" max="8198" width="22.54296875" style="1" bestFit="1" customWidth="1"/>
    <col min="8199" max="8199" width="33" style="1" bestFit="1" customWidth="1"/>
    <col min="8200" max="8200" width="26.54296875" style="1" bestFit="1" customWidth="1"/>
    <col min="8201" max="8201" width="22.54296875" style="1" bestFit="1" customWidth="1"/>
    <col min="8202" max="8202" width="33" style="1" bestFit="1" customWidth="1"/>
    <col min="8203" max="8203" width="26.54296875" style="1" customWidth="1"/>
    <col min="8204" max="8204" width="22.54296875" style="1" bestFit="1" customWidth="1"/>
    <col min="8205" max="8206" width="33" style="1" bestFit="1" customWidth="1"/>
    <col min="8207" max="8207" width="22.54296875" style="1" bestFit="1" customWidth="1"/>
    <col min="8208" max="8208" width="33" style="1" bestFit="1" customWidth="1"/>
    <col min="8209" max="8209" width="25.54296875" style="1" customWidth="1"/>
    <col min="8210" max="8211" width="16.54296875" style="1" customWidth="1"/>
    <col min="8212" max="8212" width="26.54296875" style="1" customWidth="1"/>
    <col min="8213" max="8452" width="9.1796875" style="1"/>
    <col min="8453" max="8453" width="71" style="1" customWidth="1"/>
    <col min="8454" max="8454" width="22.54296875" style="1" bestFit="1" customWidth="1"/>
    <col min="8455" max="8455" width="33" style="1" bestFit="1" customWidth="1"/>
    <col min="8456" max="8456" width="26.54296875" style="1" bestFit="1" customWidth="1"/>
    <col min="8457" max="8457" width="22.54296875" style="1" bestFit="1" customWidth="1"/>
    <col min="8458" max="8458" width="33" style="1" bestFit="1" customWidth="1"/>
    <col min="8459" max="8459" width="26.54296875" style="1" customWidth="1"/>
    <col min="8460" max="8460" width="22.54296875" style="1" bestFit="1" customWidth="1"/>
    <col min="8461" max="8462" width="33" style="1" bestFit="1" customWidth="1"/>
    <col min="8463" max="8463" width="22.54296875" style="1" bestFit="1" customWidth="1"/>
    <col min="8464" max="8464" width="33" style="1" bestFit="1" customWidth="1"/>
    <col min="8465" max="8465" width="25.54296875" style="1" customWidth="1"/>
    <col min="8466" max="8467" width="16.54296875" style="1" customWidth="1"/>
    <col min="8468" max="8468" width="26.54296875" style="1" customWidth="1"/>
    <col min="8469" max="8708" width="9.1796875" style="1"/>
    <col min="8709" max="8709" width="71" style="1" customWidth="1"/>
    <col min="8710" max="8710" width="22.54296875" style="1" bestFit="1" customWidth="1"/>
    <col min="8711" max="8711" width="33" style="1" bestFit="1" customWidth="1"/>
    <col min="8712" max="8712" width="26.54296875" style="1" bestFit="1" customWidth="1"/>
    <col min="8713" max="8713" width="22.54296875" style="1" bestFit="1" customWidth="1"/>
    <col min="8714" max="8714" width="33" style="1" bestFit="1" customWidth="1"/>
    <col min="8715" max="8715" width="26.54296875" style="1" customWidth="1"/>
    <col min="8716" max="8716" width="22.54296875" style="1" bestFit="1" customWidth="1"/>
    <col min="8717" max="8718" width="33" style="1" bestFit="1" customWidth="1"/>
    <col min="8719" max="8719" width="22.54296875" style="1" bestFit="1" customWidth="1"/>
    <col min="8720" max="8720" width="33" style="1" bestFit="1" customWidth="1"/>
    <col min="8721" max="8721" width="25.54296875" style="1" customWidth="1"/>
    <col min="8722" max="8723" width="16.54296875" style="1" customWidth="1"/>
    <col min="8724" max="8724" width="26.54296875" style="1" customWidth="1"/>
    <col min="8725" max="8964" width="9.1796875" style="1"/>
    <col min="8965" max="8965" width="71" style="1" customWidth="1"/>
    <col min="8966" max="8966" width="22.54296875" style="1" bestFit="1" customWidth="1"/>
    <col min="8967" max="8967" width="33" style="1" bestFit="1" customWidth="1"/>
    <col min="8968" max="8968" width="26.54296875" style="1" bestFit="1" customWidth="1"/>
    <col min="8969" max="8969" width="22.54296875" style="1" bestFit="1" customWidth="1"/>
    <col min="8970" max="8970" width="33" style="1" bestFit="1" customWidth="1"/>
    <col min="8971" max="8971" width="26.54296875" style="1" customWidth="1"/>
    <col min="8972" max="8972" width="22.54296875" style="1" bestFit="1" customWidth="1"/>
    <col min="8973" max="8974" width="33" style="1" bestFit="1" customWidth="1"/>
    <col min="8975" max="8975" width="22.54296875" style="1" bestFit="1" customWidth="1"/>
    <col min="8976" max="8976" width="33" style="1" bestFit="1" customWidth="1"/>
    <col min="8977" max="8977" width="25.54296875" style="1" customWidth="1"/>
    <col min="8978" max="8979" width="16.54296875" style="1" customWidth="1"/>
    <col min="8980" max="8980" width="26.54296875" style="1" customWidth="1"/>
    <col min="8981" max="9220" width="9.1796875" style="1"/>
    <col min="9221" max="9221" width="71" style="1" customWidth="1"/>
    <col min="9222" max="9222" width="22.54296875" style="1" bestFit="1" customWidth="1"/>
    <col min="9223" max="9223" width="33" style="1" bestFit="1" customWidth="1"/>
    <col min="9224" max="9224" width="26.54296875" style="1" bestFit="1" customWidth="1"/>
    <col min="9225" max="9225" width="22.54296875" style="1" bestFit="1" customWidth="1"/>
    <col min="9226" max="9226" width="33" style="1" bestFit="1" customWidth="1"/>
    <col min="9227" max="9227" width="26.54296875" style="1" customWidth="1"/>
    <col min="9228" max="9228" width="22.54296875" style="1" bestFit="1" customWidth="1"/>
    <col min="9229" max="9230" width="33" style="1" bestFit="1" customWidth="1"/>
    <col min="9231" max="9231" width="22.54296875" style="1" bestFit="1" customWidth="1"/>
    <col min="9232" max="9232" width="33" style="1" bestFit="1" customWidth="1"/>
    <col min="9233" max="9233" width="25.54296875" style="1" customWidth="1"/>
    <col min="9234" max="9235" width="16.54296875" style="1" customWidth="1"/>
    <col min="9236" max="9236" width="26.54296875" style="1" customWidth="1"/>
    <col min="9237" max="9476" width="9.1796875" style="1"/>
    <col min="9477" max="9477" width="71" style="1" customWidth="1"/>
    <col min="9478" max="9478" width="22.54296875" style="1" bestFit="1" customWidth="1"/>
    <col min="9479" max="9479" width="33" style="1" bestFit="1" customWidth="1"/>
    <col min="9480" max="9480" width="26.54296875" style="1" bestFit="1" customWidth="1"/>
    <col min="9481" max="9481" width="22.54296875" style="1" bestFit="1" customWidth="1"/>
    <col min="9482" max="9482" width="33" style="1" bestFit="1" customWidth="1"/>
    <col min="9483" max="9483" width="26.54296875" style="1" customWidth="1"/>
    <col min="9484" max="9484" width="22.54296875" style="1" bestFit="1" customWidth="1"/>
    <col min="9485" max="9486" width="33" style="1" bestFit="1" customWidth="1"/>
    <col min="9487" max="9487" width="22.54296875" style="1" bestFit="1" customWidth="1"/>
    <col min="9488" max="9488" width="33" style="1" bestFit="1" customWidth="1"/>
    <col min="9489" max="9489" width="25.54296875" style="1" customWidth="1"/>
    <col min="9490" max="9491" width="16.54296875" style="1" customWidth="1"/>
    <col min="9492" max="9492" width="26.54296875" style="1" customWidth="1"/>
    <col min="9493" max="9732" width="9.1796875" style="1"/>
    <col min="9733" max="9733" width="71" style="1" customWidth="1"/>
    <col min="9734" max="9734" width="22.54296875" style="1" bestFit="1" customWidth="1"/>
    <col min="9735" max="9735" width="33" style="1" bestFit="1" customWidth="1"/>
    <col min="9736" max="9736" width="26.54296875" style="1" bestFit="1" customWidth="1"/>
    <col min="9737" max="9737" width="22.54296875" style="1" bestFit="1" customWidth="1"/>
    <col min="9738" max="9738" width="33" style="1" bestFit="1" customWidth="1"/>
    <col min="9739" max="9739" width="26.54296875" style="1" customWidth="1"/>
    <col min="9740" max="9740" width="22.54296875" style="1" bestFit="1" customWidth="1"/>
    <col min="9741" max="9742" width="33" style="1" bestFit="1" customWidth="1"/>
    <col min="9743" max="9743" width="22.54296875" style="1" bestFit="1" customWidth="1"/>
    <col min="9744" max="9744" width="33" style="1" bestFit="1" customWidth="1"/>
    <col min="9745" max="9745" width="25.54296875" style="1" customWidth="1"/>
    <col min="9746" max="9747" width="16.54296875" style="1" customWidth="1"/>
    <col min="9748" max="9748" width="26.54296875" style="1" customWidth="1"/>
    <col min="9749" max="9988" width="9.1796875" style="1"/>
    <col min="9989" max="9989" width="71" style="1" customWidth="1"/>
    <col min="9990" max="9990" width="22.54296875" style="1" bestFit="1" customWidth="1"/>
    <col min="9991" max="9991" width="33" style="1" bestFit="1" customWidth="1"/>
    <col min="9992" max="9992" width="26.54296875" style="1" bestFit="1" customWidth="1"/>
    <col min="9993" max="9993" width="22.54296875" style="1" bestFit="1" customWidth="1"/>
    <col min="9994" max="9994" width="33" style="1" bestFit="1" customWidth="1"/>
    <col min="9995" max="9995" width="26.54296875" style="1" customWidth="1"/>
    <col min="9996" max="9996" width="22.54296875" style="1" bestFit="1" customWidth="1"/>
    <col min="9997" max="9998" width="33" style="1" bestFit="1" customWidth="1"/>
    <col min="9999" max="9999" width="22.54296875" style="1" bestFit="1" customWidth="1"/>
    <col min="10000" max="10000" width="33" style="1" bestFit="1" customWidth="1"/>
    <col min="10001" max="10001" width="25.54296875" style="1" customWidth="1"/>
    <col min="10002" max="10003" width="16.54296875" style="1" customWidth="1"/>
    <col min="10004" max="10004" width="26.54296875" style="1" customWidth="1"/>
    <col min="10005" max="10244" width="9.1796875" style="1"/>
    <col min="10245" max="10245" width="71" style="1" customWidth="1"/>
    <col min="10246" max="10246" width="22.54296875" style="1" bestFit="1" customWidth="1"/>
    <col min="10247" max="10247" width="33" style="1" bestFit="1" customWidth="1"/>
    <col min="10248" max="10248" width="26.54296875" style="1" bestFit="1" customWidth="1"/>
    <col min="10249" max="10249" width="22.54296875" style="1" bestFit="1" customWidth="1"/>
    <col min="10250" max="10250" width="33" style="1" bestFit="1" customWidth="1"/>
    <col min="10251" max="10251" width="26.54296875" style="1" customWidth="1"/>
    <col min="10252" max="10252" width="22.54296875" style="1" bestFit="1" customWidth="1"/>
    <col min="10253" max="10254" width="33" style="1" bestFit="1" customWidth="1"/>
    <col min="10255" max="10255" width="22.54296875" style="1" bestFit="1" customWidth="1"/>
    <col min="10256" max="10256" width="33" style="1" bestFit="1" customWidth="1"/>
    <col min="10257" max="10257" width="25.54296875" style="1" customWidth="1"/>
    <col min="10258" max="10259" width="16.54296875" style="1" customWidth="1"/>
    <col min="10260" max="10260" width="26.54296875" style="1" customWidth="1"/>
    <col min="10261" max="10500" width="9.1796875" style="1"/>
    <col min="10501" max="10501" width="71" style="1" customWidth="1"/>
    <col min="10502" max="10502" width="22.54296875" style="1" bestFit="1" customWidth="1"/>
    <col min="10503" max="10503" width="33" style="1" bestFit="1" customWidth="1"/>
    <col min="10504" max="10504" width="26.54296875" style="1" bestFit="1" customWidth="1"/>
    <col min="10505" max="10505" width="22.54296875" style="1" bestFit="1" customWidth="1"/>
    <col min="10506" max="10506" width="33" style="1" bestFit="1" customWidth="1"/>
    <col min="10507" max="10507" width="26.54296875" style="1" customWidth="1"/>
    <col min="10508" max="10508" width="22.54296875" style="1" bestFit="1" customWidth="1"/>
    <col min="10509" max="10510" width="33" style="1" bestFit="1" customWidth="1"/>
    <col min="10511" max="10511" width="22.54296875" style="1" bestFit="1" customWidth="1"/>
    <col min="10512" max="10512" width="33" style="1" bestFit="1" customWidth="1"/>
    <col min="10513" max="10513" width="25.54296875" style="1" customWidth="1"/>
    <col min="10514" max="10515" width="16.54296875" style="1" customWidth="1"/>
    <col min="10516" max="10516" width="26.54296875" style="1" customWidth="1"/>
    <col min="10517" max="10756" width="9.1796875" style="1"/>
    <col min="10757" max="10757" width="71" style="1" customWidth="1"/>
    <col min="10758" max="10758" width="22.54296875" style="1" bestFit="1" customWidth="1"/>
    <col min="10759" max="10759" width="33" style="1" bestFit="1" customWidth="1"/>
    <col min="10760" max="10760" width="26.54296875" style="1" bestFit="1" customWidth="1"/>
    <col min="10761" max="10761" width="22.54296875" style="1" bestFit="1" customWidth="1"/>
    <col min="10762" max="10762" width="33" style="1" bestFit="1" customWidth="1"/>
    <col min="10763" max="10763" width="26.54296875" style="1" customWidth="1"/>
    <col min="10764" max="10764" width="22.54296875" style="1" bestFit="1" customWidth="1"/>
    <col min="10765" max="10766" width="33" style="1" bestFit="1" customWidth="1"/>
    <col min="10767" max="10767" width="22.54296875" style="1" bestFit="1" customWidth="1"/>
    <col min="10768" max="10768" width="33" style="1" bestFit="1" customWidth="1"/>
    <col min="10769" max="10769" width="25.54296875" style="1" customWidth="1"/>
    <col min="10770" max="10771" width="16.54296875" style="1" customWidth="1"/>
    <col min="10772" max="10772" width="26.54296875" style="1" customWidth="1"/>
    <col min="10773" max="11012" width="9.1796875" style="1"/>
    <col min="11013" max="11013" width="71" style="1" customWidth="1"/>
    <col min="11014" max="11014" width="22.54296875" style="1" bestFit="1" customWidth="1"/>
    <col min="11015" max="11015" width="33" style="1" bestFit="1" customWidth="1"/>
    <col min="11016" max="11016" width="26.54296875" style="1" bestFit="1" customWidth="1"/>
    <col min="11017" max="11017" width="22.54296875" style="1" bestFit="1" customWidth="1"/>
    <col min="11018" max="11018" width="33" style="1" bestFit="1" customWidth="1"/>
    <col min="11019" max="11019" width="26.54296875" style="1" customWidth="1"/>
    <col min="11020" max="11020" width="22.54296875" style="1" bestFit="1" customWidth="1"/>
    <col min="11021" max="11022" width="33" style="1" bestFit="1" customWidth="1"/>
    <col min="11023" max="11023" width="22.54296875" style="1" bestFit="1" customWidth="1"/>
    <col min="11024" max="11024" width="33" style="1" bestFit="1" customWidth="1"/>
    <col min="11025" max="11025" width="25.54296875" style="1" customWidth="1"/>
    <col min="11026" max="11027" width="16.54296875" style="1" customWidth="1"/>
    <col min="11028" max="11028" width="26.54296875" style="1" customWidth="1"/>
    <col min="11029" max="11268" width="9.1796875" style="1"/>
    <col min="11269" max="11269" width="71" style="1" customWidth="1"/>
    <col min="11270" max="11270" width="22.54296875" style="1" bestFit="1" customWidth="1"/>
    <col min="11271" max="11271" width="33" style="1" bestFit="1" customWidth="1"/>
    <col min="11272" max="11272" width="26.54296875" style="1" bestFit="1" customWidth="1"/>
    <col min="11273" max="11273" width="22.54296875" style="1" bestFit="1" customWidth="1"/>
    <col min="11274" max="11274" width="33" style="1" bestFit="1" customWidth="1"/>
    <col min="11275" max="11275" width="26.54296875" style="1" customWidth="1"/>
    <col min="11276" max="11276" width="22.54296875" style="1" bestFit="1" customWidth="1"/>
    <col min="11277" max="11278" width="33" style="1" bestFit="1" customWidth="1"/>
    <col min="11279" max="11279" width="22.54296875" style="1" bestFit="1" customWidth="1"/>
    <col min="11280" max="11280" width="33" style="1" bestFit="1" customWidth="1"/>
    <col min="11281" max="11281" width="25.54296875" style="1" customWidth="1"/>
    <col min="11282" max="11283" width="16.54296875" style="1" customWidth="1"/>
    <col min="11284" max="11284" width="26.54296875" style="1" customWidth="1"/>
    <col min="11285" max="11524" width="9.1796875" style="1"/>
    <col min="11525" max="11525" width="71" style="1" customWidth="1"/>
    <col min="11526" max="11526" width="22.54296875" style="1" bestFit="1" customWidth="1"/>
    <col min="11527" max="11527" width="33" style="1" bestFit="1" customWidth="1"/>
    <col min="11528" max="11528" width="26.54296875" style="1" bestFit="1" customWidth="1"/>
    <col min="11529" max="11529" width="22.54296875" style="1" bestFit="1" customWidth="1"/>
    <col min="11530" max="11530" width="33" style="1" bestFit="1" customWidth="1"/>
    <col min="11531" max="11531" width="26.54296875" style="1" customWidth="1"/>
    <col min="11532" max="11532" width="22.54296875" style="1" bestFit="1" customWidth="1"/>
    <col min="11533" max="11534" width="33" style="1" bestFit="1" customWidth="1"/>
    <col min="11535" max="11535" width="22.54296875" style="1" bestFit="1" customWidth="1"/>
    <col min="11536" max="11536" width="33" style="1" bestFit="1" customWidth="1"/>
    <col min="11537" max="11537" width="25.54296875" style="1" customWidth="1"/>
    <col min="11538" max="11539" width="16.54296875" style="1" customWidth="1"/>
    <col min="11540" max="11540" width="26.54296875" style="1" customWidth="1"/>
    <col min="11541" max="11780" width="9.1796875" style="1"/>
    <col min="11781" max="11781" width="71" style="1" customWidth="1"/>
    <col min="11782" max="11782" width="22.54296875" style="1" bestFit="1" customWidth="1"/>
    <col min="11783" max="11783" width="33" style="1" bestFit="1" customWidth="1"/>
    <col min="11784" max="11784" width="26.54296875" style="1" bestFit="1" customWidth="1"/>
    <col min="11785" max="11785" width="22.54296875" style="1" bestFit="1" customWidth="1"/>
    <col min="11786" max="11786" width="33" style="1" bestFit="1" customWidth="1"/>
    <col min="11787" max="11787" width="26.54296875" style="1" customWidth="1"/>
    <col min="11788" max="11788" width="22.54296875" style="1" bestFit="1" customWidth="1"/>
    <col min="11789" max="11790" width="33" style="1" bestFit="1" customWidth="1"/>
    <col min="11791" max="11791" width="22.54296875" style="1" bestFit="1" customWidth="1"/>
    <col min="11792" max="11792" width="33" style="1" bestFit="1" customWidth="1"/>
    <col min="11793" max="11793" width="25.54296875" style="1" customWidth="1"/>
    <col min="11794" max="11795" width="16.54296875" style="1" customWidth="1"/>
    <col min="11796" max="11796" width="26.54296875" style="1" customWidth="1"/>
    <col min="11797" max="12036" width="9.1796875" style="1"/>
    <col min="12037" max="12037" width="71" style="1" customWidth="1"/>
    <col min="12038" max="12038" width="22.54296875" style="1" bestFit="1" customWidth="1"/>
    <col min="12039" max="12039" width="33" style="1" bestFit="1" customWidth="1"/>
    <col min="12040" max="12040" width="26.54296875" style="1" bestFit="1" customWidth="1"/>
    <col min="12041" max="12041" width="22.54296875" style="1" bestFit="1" customWidth="1"/>
    <col min="12042" max="12042" width="33" style="1" bestFit="1" customWidth="1"/>
    <col min="12043" max="12043" width="26.54296875" style="1" customWidth="1"/>
    <col min="12044" max="12044" width="22.54296875" style="1" bestFit="1" customWidth="1"/>
    <col min="12045" max="12046" width="33" style="1" bestFit="1" customWidth="1"/>
    <col min="12047" max="12047" width="22.54296875" style="1" bestFit="1" customWidth="1"/>
    <col min="12048" max="12048" width="33" style="1" bestFit="1" customWidth="1"/>
    <col min="12049" max="12049" width="25.54296875" style="1" customWidth="1"/>
    <col min="12050" max="12051" width="16.54296875" style="1" customWidth="1"/>
    <col min="12052" max="12052" width="26.54296875" style="1" customWidth="1"/>
    <col min="12053" max="12292" width="9.1796875" style="1"/>
    <col min="12293" max="12293" width="71" style="1" customWidth="1"/>
    <col min="12294" max="12294" width="22.54296875" style="1" bestFit="1" customWidth="1"/>
    <col min="12295" max="12295" width="33" style="1" bestFit="1" customWidth="1"/>
    <col min="12296" max="12296" width="26.54296875" style="1" bestFit="1" customWidth="1"/>
    <col min="12297" max="12297" width="22.54296875" style="1" bestFit="1" customWidth="1"/>
    <col min="12298" max="12298" width="33" style="1" bestFit="1" customWidth="1"/>
    <col min="12299" max="12299" width="26.54296875" style="1" customWidth="1"/>
    <col min="12300" max="12300" width="22.54296875" style="1" bestFit="1" customWidth="1"/>
    <col min="12301" max="12302" width="33" style="1" bestFit="1" customWidth="1"/>
    <col min="12303" max="12303" width="22.54296875" style="1" bestFit="1" customWidth="1"/>
    <col min="12304" max="12304" width="33" style="1" bestFit="1" customWidth="1"/>
    <col min="12305" max="12305" width="25.54296875" style="1" customWidth="1"/>
    <col min="12306" max="12307" width="16.54296875" style="1" customWidth="1"/>
    <col min="12308" max="12308" width="26.54296875" style="1" customWidth="1"/>
    <col min="12309" max="12548" width="9.1796875" style="1"/>
    <col min="12549" max="12549" width="71" style="1" customWidth="1"/>
    <col min="12550" max="12550" width="22.54296875" style="1" bestFit="1" customWidth="1"/>
    <col min="12551" max="12551" width="33" style="1" bestFit="1" customWidth="1"/>
    <col min="12552" max="12552" width="26.54296875" style="1" bestFit="1" customWidth="1"/>
    <col min="12553" max="12553" width="22.54296875" style="1" bestFit="1" customWidth="1"/>
    <col min="12554" max="12554" width="33" style="1" bestFit="1" customWidth="1"/>
    <col min="12555" max="12555" width="26.54296875" style="1" customWidth="1"/>
    <col min="12556" max="12556" width="22.54296875" style="1" bestFit="1" customWidth="1"/>
    <col min="12557" max="12558" width="33" style="1" bestFit="1" customWidth="1"/>
    <col min="12559" max="12559" width="22.54296875" style="1" bestFit="1" customWidth="1"/>
    <col min="12560" max="12560" width="33" style="1" bestFit="1" customWidth="1"/>
    <col min="12561" max="12561" width="25.54296875" style="1" customWidth="1"/>
    <col min="12562" max="12563" width="16.54296875" style="1" customWidth="1"/>
    <col min="12564" max="12564" width="26.54296875" style="1" customWidth="1"/>
    <col min="12565" max="12804" width="9.1796875" style="1"/>
    <col min="12805" max="12805" width="71" style="1" customWidth="1"/>
    <col min="12806" max="12806" width="22.54296875" style="1" bestFit="1" customWidth="1"/>
    <col min="12807" max="12807" width="33" style="1" bestFit="1" customWidth="1"/>
    <col min="12808" max="12808" width="26.54296875" style="1" bestFit="1" customWidth="1"/>
    <col min="12809" max="12809" width="22.54296875" style="1" bestFit="1" customWidth="1"/>
    <col min="12810" max="12810" width="33" style="1" bestFit="1" customWidth="1"/>
    <col min="12811" max="12811" width="26.54296875" style="1" customWidth="1"/>
    <col min="12812" max="12812" width="22.54296875" style="1" bestFit="1" customWidth="1"/>
    <col min="12813" max="12814" width="33" style="1" bestFit="1" customWidth="1"/>
    <col min="12815" max="12815" width="22.54296875" style="1" bestFit="1" customWidth="1"/>
    <col min="12816" max="12816" width="33" style="1" bestFit="1" customWidth="1"/>
    <col min="12817" max="12817" width="25.54296875" style="1" customWidth="1"/>
    <col min="12818" max="12819" width="16.54296875" style="1" customWidth="1"/>
    <col min="12820" max="12820" width="26.54296875" style="1" customWidth="1"/>
    <col min="12821" max="13060" width="9.1796875" style="1"/>
    <col min="13061" max="13061" width="71" style="1" customWidth="1"/>
    <col min="13062" max="13062" width="22.54296875" style="1" bestFit="1" customWidth="1"/>
    <col min="13063" max="13063" width="33" style="1" bestFit="1" customWidth="1"/>
    <col min="13064" max="13064" width="26.54296875" style="1" bestFit="1" customWidth="1"/>
    <col min="13065" max="13065" width="22.54296875" style="1" bestFit="1" customWidth="1"/>
    <col min="13066" max="13066" width="33" style="1" bestFit="1" customWidth="1"/>
    <col min="13067" max="13067" width="26.54296875" style="1" customWidth="1"/>
    <col min="13068" max="13068" width="22.54296875" style="1" bestFit="1" customWidth="1"/>
    <col min="13069" max="13070" width="33" style="1" bestFit="1" customWidth="1"/>
    <col min="13071" max="13071" width="22.54296875" style="1" bestFit="1" customWidth="1"/>
    <col min="13072" max="13072" width="33" style="1" bestFit="1" customWidth="1"/>
    <col min="13073" max="13073" width="25.54296875" style="1" customWidth="1"/>
    <col min="13074" max="13075" width="16.54296875" style="1" customWidth="1"/>
    <col min="13076" max="13076" width="26.54296875" style="1" customWidth="1"/>
    <col min="13077" max="13316" width="9.1796875" style="1"/>
    <col min="13317" max="13317" width="71" style="1" customWidth="1"/>
    <col min="13318" max="13318" width="22.54296875" style="1" bestFit="1" customWidth="1"/>
    <col min="13319" max="13319" width="33" style="1" bestFit="1" customWidth="1"/>
    <col min="13320" max="13320" width="26.54296875" style="1" bestFit="1" customWidth="1"/>
    <col min="13321" max="13321" width="22.54296875" style="1" bestFit="1" customWidth="1"/>
    <col min="13322" max="13322" width="33" style="1" bestFit="1" customWidth="1"/>
    <col min="13323" max="13323" width="26.54296875" style="1" customWidth="1"/>
    <col min="13324" max="13324" width="22.54296875" style="1" bestFit="1" customWidth="1"/>
    <col min="13325" max="13326" width="33" style="1" bestFit="1" customWidth="1"/>
    <col min="13327" max="13327" width="22.54296875" style="1" bestFit="1" customWidth="1"/>
    <col min="13328" max="13328" width="33" style="1" bestFit="1" customWidth="1"/>
    <col min="13329" max="13329" width="25.54296875" style="1" customWidth="1"/>
    <col min="13330" max="13331" width="16.54296875" style="1" customWidth="1"/>
    <col min="13332" max="13332" width="26.54296875" style="1" customWidth="1"/>
    <col min="13333" max="13572" width="9.1796875" style="1"/>
    <col min="13573" max="13573" width="71" style="1" customWidth="1"/>
    <col min="13574" max="13574" width="22.54296875" style="1" bestFit="1" customWidth="1"/>
    <col min="13575" max="13575" width="33" style="1" bestFit="1" customWidth="1"/>
    <col min="13576" max="13576" width="26.54296875" style="1" bestFit="1" customWidth="1"/>
    <col min="13577" max="13577" width="22.54296875" style="1" bestFit="1" customWidth="1"/>
    <col min="13578" max="13578" width="33" style="1" bestFit="1" customWidth="1"/>
    <col min="13579" max="13579" width="26.54296875" style="1" customWidth="1"/>
    <col min="13580" max="13580" width="22.54296875" style="1" bestFit="1" customWidth="1"/>
    <col min="13581" max="13582" width="33" style="1" bestFit="1" customWidth="1"/>
    <col min="13583" max="13583" width="22.54296875" style="1" bestFit="1" customWidth="1"/>
    <col min="13584" max="13584" width="33" style="1" bestFit="1" customWidth="1"/>
    <col min="13585" max="13585" width="25.54296875" style="1" customWidth="1"/>
    <col min="13586" max="13587" width="16.54296875" style="1" customWidth="1"/>
    <col min="13588" max="13588" width="26.54296875" style="1" customWidth="1"/>
    <col min="13589" max="13828" width="9.1796875" style="1"/>
    <col min="13829" max="13829" width="71" style="1" customWidth="1"/>
    <col min="13830" max="13830" width="22.54296875" style="1" bestFit="1" customWidth="1"/>
    <col min="13831" max="13831" width="33" style="1" bestFit="1" customWidth="1"/>
    <col min="13832" max="13832" width="26.54296875" style="1" bestFit="1" customWidth="1"/>
    <col min="13833" max="13833" width="22.54296875" style="1" bestFit="1" customWidth="1"/>
    <col min="13834" max="13834" width="33" style="1" bestFit="1" customWidth="1"/>
    <col min="13835" max="13835" width="26.54296875" style="1" customWidth="1"/>
    <col min="13836" max="13836" width="22.54296875" style="1" bestFit="1" customWidth="1"/>
    <col min="13837" max="13838" width="33" style="1" bestFit="1" customWidth="1"/>
    <col min="13839" max="13839" width="22.54296875" style="1" bestFit="1" customWidth="1"/>
    <col min="13840" max="13840" width="33" style="1" bestFit="1" customWidth="1"/>
    <col min="13841" max="13841" width="25.54296875" style="1" customWidth="1"/>
    <col min="13842" max="13843" width="16.54296875" style="1" customWidth="1"/>
    <col min="13844" max="13844" width="26.54296875" style="1" customWidth="1"/>
    <col min="13845" max="14084" width="9.1796875" style="1"/>
    <col min="14085" max="14085" width="71" style="1" customWidth="1"/>
    <col min="14086" max="14086" width="22.54296875" style="1" bestFit="1" customWidth="1"/>
    <col min="14087" max="14087" width="33" style="1" bestFit="1" customWidth="1"/>
    <col min="14088" max="14088" width="26.54296875" style="1" bestFit="1" customWidth="1"/>
    <col min="14089" max="14089" width="22.54296875" style="1" bestFit="1" customWidth="1"/>
    <col min="14090" max="14090" width="33" style="1" bestFit="1" customWidth="1"/>
    <col min="14091" max="14091" width="26.54296875" style="1" customWidth="1"/>
    <col min="14092" max="14092" width="22.54296875" style="1" bestFit="1" customWidth="1"/>
    <col min="14093" max="14094" width="33" style="1" bestFit="1" customWidth="1"/>
    <col min="14095" max="14095" width="22.54296875" style="1" bestFit="1" customWidth="1"/>
    <col min="14096" max="14096" width="33" style="1" bestFit="1" customWidth="1"/>
    <col min="14097" max="14097" width="25.54296875" style="1" customWidth="1"/>
    <col min="14098" max="14099" width="16.54296875" style="1" customWidth="1"/>
    <col min="14100" max="14100" width="26.54296875" style="1" customWidth="1"/>
    <col min="14101" max="14340" width="9.1796875" style="1"/>
    <col min="14341" max="14341" width="71" style="1" customWidth="1"/>
    <col min="14342" max="14342" width="22.54296875" style="1" bestFit="1" customWidth="1"/>
    <col min="14343" max="14343" width="33" style="1" bestFit="1" customWidth="1"/>
    <col min="14344" max="14344" width="26.54296875" style="1" bestFit="1" customWidth="1"/>
    <col min="14345" max="14345" width="22.54296875" style="1" bestFit="1" customWidth="1"/>
    <col min="14346" max="14346" width="33" style="1" bestFit="1" customWidth="1"/>
    <col min="14347" max="14347" width="26.54296875" style="1" customWidth="1"/>
    <col min="14348" max="14348" width="22.54296875" style="1" bestFit="1" customWidth="1"/>
    <col min="14349" max="14350" width="33" style="1" bestFit="1" customWidth="1"/>
    <col min="14351" max="14351" width="22.54296875" style="1" bestFit="1" customWidth="1"/>
    <col min="14352" max="14352" width="33" style="1" bestFit="1" customWidth="1"/>
    <col min="14353" max="14353" width="25.54296875" style="1" customWidth="1"/>
    <col min="14354" max="14355" width="16.54296875" style="1" customWidth="1"/>
    <col min="14356" max="14356" width="26.54296875" style="1" customWidth="1"/>
    <col min="14357" max="14596" width="9.1796875" style="1"/>
    <col min="14597" max="14597" width="71" style="1" customWidth="1"/>
    <col min="14598" max="14598" width="22.54296875" style="1" bestFit="1" customWidth="1"/>
    <col min="14599" max="14599" width="33" style="1" bestFit="1" customWidth="1"/>
    <col min="14600" max="14600" width="26.54296875" style="1" bestFit="1" customWidth="1"/>
    <col min="14601" max="14601" width="22.54296875" style="1" bestFit="1" customWidth="1"/>
    <col min="14602" max="14602" width="33" style="1" bestFit="1" customWidth="1"/>
    <col min="14603" max="14603" width="26.54296875" style="1" customWidth="1"/>
    <col min="14604" max="14604" width="22.54296875" style="1" bestFit="1" customWidth="1"/>
    <col min="14605" max="14606" width="33" style="1" bestFit="1" customWidth="1"/>
    <col min="14607" max="14607" width="22.54296875" style="1" bestFit="1" customWidth="1"/>
    <col min="14608" max="14608" width="33" style="1" bestFit="1" customWidth="1"/>
    <col min="14609" max="14609" width="25.54296875" style="1" customWidth="1"/>
    <col min="14610" max="14611" width="16.54296875" style="1" customWidth="1"/>
    <col min="14612" max="14612" width="26.54296875" style="1" customWidth="1"/>
    <col min="14613" max="14852" width="9.1796875" style="1"/>
    <col min="14853" max="14853" width="71" style="1" customWidth="1"/>
    <col min="14854" max="14854" width="22.54296875" style="1" bestFit="1" customWidth="1"/>
    <col min="14855" max="14855" width="33" style="1" bestFit="1" customWidth="1"/>
    <col min="14856" max="14856" width="26.54296875" style="1" bestFit="1" customWidth="1"/>
    <col min="14857" max="14857" width="22.54296875" style="1" bestFit="1" customWidth="1"/>
    <col min="14858" max="14858" width="33" style="1" bestFit="1" customWidth="1"/>
    <col min="14859" max="14859" width="26.54296875" style="1" customWidth="1"/>
    <col min="14860" max="14860" width="22.54296875" style="1" bestFit="1" customWidth="1"/>
    <col min="14861" max="14862" width="33" style="1" bestFit="1" customWidth="1"/>
    <col min="14863" max="14863" width="22.54296875" style="1" bestFit="1" customWidth="1"/>
    <col min="14864" max="14864" width="33" style="1" bestFit="1" customWidth="1"/>
    <col min="14865" max="14865" width="25.54296875" style="1" customWidth="1"/>
    <col min="14866" max="14867" width="16.54296875" style="1" customWidth="1"/>
    <col min="14868" max="14868" width="26.54296875" style="1" customWidth="1"/>
    <col min="14869" max="15108" width="9.1796875" style="1"/>
    <col min="15109" max="15109" width="71" style="1" customWidth="1"/>
    <col min="15110" max="15110" width="22.54296875" style="1" bestFit="1" customWidth="1"/>
    <col min="15111" max="15111" width="33" style="1" bestFit="1" customWidth="1"/>
    <col min="15112" max="15112" width="26.54296875" style="1" bestFit="1" customWidth="1"/>
    <col min="15113" max="15113" width="22.54296875" style="1" bestFit="1" customWidth="1"/>
    <col min="15114" max="15114" width="33" style="1" bestFit="1" customWidth="1"/>
    <col min="15115" max="15115" width="26.54296875" style="1" customWidth="1"/>
    <col min="15116" max="15116" width="22.54296875" style="1" bestFit="1" customWidth="1"/>
    <col min="15117" max="15118" width="33" style="1" bestFit="1" customWidth="1"/>
    <col min="15119" max="15119" width="22.54296875" style="1" bestFit="1" customWidth="1"/>
    <col min="15120" max="15120" width="33" style="1" bestFit="1" customWidth="1"/>
    <col min="15121" max="15121" width="25.54296875" style="1" customWidth="1"/>
    <col min="15122" max="15123" width="16.54296875" style="1" customWidth="1"/>
    <col min="15124" max="15124" width="26.54296875" style="1" customWidth="1"/>
    <col min="15125" max="15364" width="9.1796875" style="1"/>
    <col min="15365" max="15365" width="71" style="1" customWidth="1"/>
    <col min="15366" max="15366" width="22.54296875" style="1" bestFit="1" customWidth="1"/>
    <col min="15367" max="15367" width="33" style="1" bestFit="1" customWidth="1"/>
    <col min="15368" max="15368" width="26.54296875" style="1" bestFit="1" customWidth="1"/>
    <col min="15369" max="15369" width="22.54296875" style="1" bestFit="1" customWidth="1"/>
    <col min="15370" max="15370" width="33" style="1" bestFit="1" customWidth="1"/>
    <col min="15371" max="15371" width="26.54296875" style="1" customWidth="1"/>
    <col min="15372" max="15372" width="22.54296875" style="1" bestFit="1" customWidth="1"/>
    <col min="15373" max="15374" width="33" style="1" bestFit="1" customWidth="1"/>
    <col min="15375" max="15375" width="22.54296875" style="1" bestFit="1" customWidth="1"/>
    <col min="15376" max="15376" width="33" style="1" bestFit="1" customWidth="1"/>
    <col min="15377" max="15377" width="25.54296875" style="1" customWidth="1"/>
    <col min="15378" max="15379" width="16.54296875" style="1" customWidth="1"/>
    <col min="15380" max="15380" width="26.54296875" style="1" customWidth="1"/>
    <col min="15381" max="15620" width="9.1796875" style="1"/>
    <col min="15621" max="15621" width="71" style="1" customWidth="1"/>
    <col min="15622" max="15622" width="22.54296875" style="1" bestFit="1" customWidth="1"/>
    <col min="15623" max="15623" width="33" style="1" bestFit="1" customWidth="1"/>
    <col min="15624" max="15624" width="26.54296875" style="1" bestFit="1" customWidth="1"/>
    <col min="15625" max="15625" width="22.54296875" style="1" bestFit="1" customWidth="1"/>
    <col min="15626" max="15626" width="33" style="1" bestFit="1" customWidth="1"/>
    <col min="15627" max="15627" width="26.54296875" style="1" customWidth="1"/>
    <col min="15628" max="15628" width="22.54296875" style="1" bestFit="1" customWidth="1"/>
    <col min="15629" max="15630" width="33" style="1" bestFit="1" customWidth="1"/>
    <col min="15631" max="15631" width="22.54296875" style="1" bestFit="1" customWidth="1"/>
    <col min="15632" max="15632" width="33" style="1" bestFit="1" customWidth="1"/>
    <col min="15633" max="15633" width="25.54296875" style="1" customWidth="1"/>
    <col min="15634" max="15635" width="16.54296875" style="1" customWidth="1"/>
    <col min="15636" max="15636" width="26.54296875" style="1" customWidth="1"/>
    <col min="15637" max="15876" width="9.1796875" style="1"/>
    <col min="15877" max="15877" width="71" style="1" customWidth="1"/>
    <col min="15878" max="15878" width="22.54296875" style="1" bestFit="1" customWidth="1"/>
    <col min="15879" max="15879" width="33" style="1" bestFit="1" customWidth="1"/>
    <col min="15880" max="15880" width="26.54296875" style="1" bestFit="1" customWidth="1"/>
    <col min="15881" max="15881" width="22.54296875" style="1" bestFit="1" customWidth="1"/>
    <col min="15882" max="15882" width="33" style="1" bestFit="1" customWidth="1"/>
    <col min="15883" max="15883" width="26.54296875" style="1" customWidth="1"/>
    <col min="15884" max="15884" width="22.54296875" style="1" bestFit="1" customWidth="1"/>
    <col min="15885" max="15886" width="33" style="1" bestFit="1" customWidth="1"/>
    <col min="15887" max="15887" width="22.54296875" style="1" bestFit="1" customWidth="1"/>
    <col min="15888" max="15888" width="33" style="1" bestFit="1" customWidth="1"/>
    <col min="15889" max="15889" width="25.54296875" style="1" customWidth="1"/>
    <col min="15890" max="15891" width="16.54296875" style="1" customWidth="1"/>
    <col min="15892" max="15892" width="26.54296875" style="1" customWidth="1"/>
    <col min="15893" max="16132" width="9.1796875" style="1"/>
    <col min="16133" max="16133" width="71" style="1" customWidth="1"/>
    <col min="16134" max="16134" width="22.54296875" style="1" bestFit="1" customWidth="1"/>
    <col min="16135" max="16135" width="33" style="1" bestFit="1" customWidth="1"/>
    <col min="16136" max="16136" width="26.54296875" style="1" bestFit="1" customWidth="1"/>
    <col min="16137" max="16137" width="22.54296875" style="1" bestFit="1" customWidth="1"/>
    <col min="16138" max="16138" width="33" style="1" bestFit="1" customWidth="1"/>
    <col min="16139" max="16139" width="26.54296875" style="1" customWidth="1"/>
    <col min="16140" max="16140" width="22.54296875" style="1" bestFit="1" customWidth="1"/>
    <col min="16141" max="16142" width="33" style="1" bestFit="1" customWidth="1"/>
    <col min="16143" max="16143" width="22.54296875" style="1" bestFit="1" customWidth="1"/>
    <col min="16144" max="16144" width="33" style="1" bestFit="1" customWidth="1"/>
    <col min="16145" max="16145" width="25.54296875" style="1" customWidth="1"/>
    <col min="16146" max="16147" width="16.54296875" style="1" customWidth="1"/>
    <col min="16148" max="16148" width="26.54296875" style="1" customWidth="1"/>
    <col min="16149" max="16384" width="9.1796875" style="1"/>
  </cols>
  <sheetData>
    <row r="2" spans="2:18" x14ac:dyDescent="0.3">
      <c r="B2" s="17"/>
      <c r="C2" s="17"/>
      <c r="D2" s="17"/>
      <c r="E2" s="17"/>
      <c r="F2" s="17"/>
      <c r="G2" s="62" t="str">
        <f>Index!B2</f>
        <v xml:space="preserve">      Maharashtra State Power Generation Company Ltd.</v>
      </c>
      <c r="H2" s="17"/>
      <c r="I2" s="17"/>
      <c r="J2" s="17"/>
      <c r="K2" s="17"/>
      <c r="L2" s="17"/>
      <c r="M2" s="17"/>
      <c r="N2" s="17"/>
      <c r="O2" s="17"/>
      <c r="P2" s="17"/>
      <c r="Q2" s="17"/>
      <c r="R2" s="17"/>
    </row>
    <row r="3" spans="2:18" x14ac:dyDescent="0.3">
      <c r="B3" s="163"/>
      <c r="C3" s="163"/>
      <c r="D3" s="163"/>
      <c r="E3" s="163"/>
      <c r="F3" s="163"/>
      <c r="G3" s="63" t="s">
        <v>3039</v>
      </c>
      <c r="H3" s="163"/>
      <c r="I3" s="163"/>
      <c r="J3" s="163"/>
      <c r="K3" s="163"/>
      <c r="L3" s="163"/>
      <c r="M3" s="163"/>
      <c r="N3" s="163"/>
      <c r="O3" s="163"/>
      <c r="P3" s="163"/>
      <c r="Q3" s="163"/>
      <c r="R3" s="163"/>
    </row>
    <row r="4" spans="2:18" x14ac:dyDescent="0.3">
      <c r="B4" s="17"/>
      <c r="C4" s="17"/>
      <c r="D4" s="17"/>
      <c r="E4" s="17"/>
      <c r="F4" s="17"/>
      <c r="G4" s="602" t="s">
        <v>1004</v>
      </c>
      <c r="H4" s="17"/>
      <c r="I4" s="17"/>
      <c r="J4" s="17"/>
      <c r="K4" s="17"/>
      <c r="L4" s="17"/>
      <c r="M4" s="17"/>
      <c r="N4" s="17"/>
      <c r="O4" s="17"/>
      <c r="P4" s="17"/>
      <c r="Q4" s="17"/>
      <c r="R4" s="17"/>
    </row>
    <row r="6" spans="2:18" x14ac:dyDescent="0.3">
      <c r="B6" s="4" t="s">
        <v>1005</v>
      </c>
      <c r="C6" s="4"/>
      <c r="D6" s="4"/>
      <c r="E6" s="4"/>
      <c r="F6" s="4"/>
      <c r="G6" s="4"/>
      <c r="H6" s="4"/>
      <c r="I6" s="4"/>
      <c r="J6" s="4"/>
      <c r="K6" s="4"/>
      <c r="L6" s="4"/>
      <c r="M6" s="4"/>
      <c r="N6" s="4"/>
      <c r="O6" s="4"/>
      <c r="P6" s="4"/>
      <c r="Q6" s="4"/>
    </row>
    <row r="7" spans="2:18" x14ac:dyDescent="0.3">
      <c r="B7" s="4" t="s">
        <v>1006</v>
      </c>
      <c r="C7" s="4"/>
      <c r="D7" s="4"/>
      <c r="E7" s="4"/>
      <c r="F7" s="4"/>
      <c r="G7" s="4"/>
      <c r="H7" s="4"/>
      <c r="I7" s="4"/>
      <c r="J7" s="4"/>
      <c r="K7" s="4"/>
      <c r="L7" s="4"/>
      <c r="M7" s="4"/>
      <c r="N7" s="4"/>
      <c r="O7" s="4"/>
      <c r="P7" s="4"/>
      <c r="Q7" s="4"/>
    </row>
    <row r="9" spans="2:18" x14ac:dyDescent="0.3">
      <c r="B9" s="137"/>
      <c r="C9" s="1610" t="s">
        <v>1007</v>
      </c>
      <c r="D9" s="1611"/>
      <c r="E9" s="1612"/>
      <c r="F9" s="1610" t="s">
        <v>1008</v>
      </c>
      <c r="G9" s="1611"/>
      <c r="H9" s="1612"/>
      <c r="I9" s="1610" t="s">
        <v>1009</v>
      </c>
      <c r="J9" s="1611"/>
      <c r="K9" s="1612"/>
      <c r="L9" s="1610" t="s">
        <v>1010</v>
      </c>
      <c r="M9" s="1611"/>
      <c r="N9" s="1612"/>
      <c r="O9" s="1610" t="s">
        <v>1011</v>
      </c>
      <c r="P9" s="1611"/>
      <c r="Q9" s="1612"/>
    </row>
    <row r="10" spans="2:18" ht="70" x14ac:dyDescent="0.3">
      <c r="B10" s="606"/>
      <c r="C10" s="534" t="s">
        <v>1012</v>
      </c>
      <c r="D10" s="534" t="s">
        <v>1013</v>
      </c>
      <c r="E10" s="534" t="s">
        <v>1014</v>
      </c>
      <c r="F10" s="534" t="s">
        <v>1015</v>
      </c>
      <c r="G10" s="534" t="s">
        <v>1013</v>
      </c>
      <c r="H10" s="534" t="s">
        <v>1014</v>
      </c>
      <c r="I10" s="534" t="s">
        <v>1015</v>
      </c>
      <c r="J10" s="534" t="s">
        <v>1013</v>
      </c>
      <c r="K10" s="534" t="s">
        <v>1014</v>
      </c>
      <c r="L10" s="534" t="s">
        <v>1015</v>
      </c>
      <c r="M10" s="534" t="s">
        <v>1013</v>
      </c>
      <c r="N10" s="534" t="s">
        <v>1014</v>
      </c>
      <c r="O10" s="534" t="s">
        <v>1015</v>
      </c>
      <c r="P10" s="534" t="s">
        <v>1013</v>
      </c>
      <c r="Q10" s="534" t="s">
        <v>1014</v>
      </c>
    </row>
    <row r="11" spans="2:18" x14ac:dyDescent="0.3">
      <c r="B11" s="607" t="s">
        <v>1016</v>
      </c>
      <c r="C11" s="284"/>
      <c r="D11" s="284"/>
      <c r="E11" s="284"/>
      <c r="F11" s="284"/>
      <c r="G11" s="284"/>
      <c r="H11" s="284"/>
      <c r="I11" s="284"/>
      <c r="J11" s="284"/>
      <c r="K11" s="284"/>
      <c r="L11" s="284"/>
      <c r="M11" s="284"/>
      <c r="N11" s="284"/>
      <c r="O11" s="284"/>
      <c r="P11" s="284"/>
      <c r="Q11" s="284"/>
      <c r="R11" s="608"/>
    </row>
    <row r="12" spans="2:18" x14ac:dyDescent="0.3">
      <c r="B12" s="2" t="s">
        <v>963</v>
      </c>
      <c r="C12" s="284"/>
      <c r="D12" s="284"/>
      <c r="E12" s="284"/>
      <c r="F12" s="284"/>
      <c r="G12" s="284"/>
      <c r="H12" s="284"/>
      <c r="I12" s="284"/>
      <c r="J12" s="284"/>
      <c r="K12" s="284"/>
      <c r="L12" s="284"/>
      <c r="M12" s="284"/>
      <c r="N12" s="284"/>
      <c r="O12" s="284"/>
      <c r="P12" s="284"/>
      <c r="Q12" s="284"/>
      <c r="R12" s="609"/>
    </row>
    <row r="13" spans="2:18" x14ac:dyDescent="0.3">
      <c r="B13" s="2" t="s">
        <v>963</v>
      </c>
      <c r="C13" s="284"/>
      <c r="D13" s="284"/>
      <c r="E13" s="284"/>
      <c r="F13" s="284"/>
      <c r="G13" s="284"/>
      <c r="H13" s="284"/>
      <c r="I13" s="284"/>
      <c r="J13" s="284"/>
      <c r="K13" s="284"/>
      <c r="L13" s="284"/>
      <c r="M13" s="284"/>
      <c r="N13" s="284"/>
      <c r="O13" s="284"/>
      <c r="P13" s="284"/>
      <c r="Q13" s="284"/>
    </row>
    <row r="14" spans="2:18" x14ac:dyDescent="0.3">
      <c r="B14" s="3" t="s">
        <v>1017</v>
      </c>
      <c r="C14" s="284"/>
      <c r="D14" s="284"/>
      <c r="E14" s="284"/>
      <c r="F14" s="284"/>
      <c r="G14" s="284"/>
      <c r="H14" s="284"/>
      <c r="I14" s="284"/>
      <c r="J14" s="284"/>
      <c r="K14" s="284"/>
      <c r="L14" s="284"/>
      <c r="M14" s="284"/>
      <c r="N14" s="284"/>
      <c r="O14" s="284"/>
      <c r="P14" s="284"/>
      <c r="Q14" s="284"/>
      <c r="R14" s="610"/>
    </row>
    <row r="15" spans="2:18" x14ac:dyDescent="0.3">
      <c r="B15" s="2" t="s">
        <v>1018</v>
      </c>
      <c r="C15" s="284"/>
      <c r="D15" s="284"/>
      <c r="E15" s="284"/>
      <c r="F15" s="284"/>
      <c r="G15" s="284"/>
      <c r="H15" s="284"/>
      <c r="I15" s="284"/>
      <c r="J15" s="284"/>
      <c r="K15" s="284"/>
      <c r="L15" s="284"/>
      <c r="M15" s="284"/>
      <c r="N15" s="284"/>
      <c r="O15" s="284"/>
      <c r="P15" s="284"/>
      <c r="Q15" s="284"/>
    </row>
    <row r="16" spans="2:18" x14ac:dyDescent="0.3">
      <c r="B16" s="611" t="s">
        <v>1019</v>
      </c>
      <c r="C16" s="284"/>
      <c r="D16" s="284"/>
      <c r="E16" s="284"/>
      <c r="F16" s="284"/>
      <c r="G16" s="284"/>
      <c r="H16" s="284"/>
      <c r="I16" s="284"/>
      <c r="J16" s="284"/>
      <c r="K16" s="284"/>
      <c r="L16" s="284"/>
      <c r="M16" s="284"/>
      <c r="N16" s="284"/>
      <c r="O16" s="284"/>
      <c r="P16" s="284"/>
      <c r="Q16" s="284"/>
      <c r="R16" s="610"/>
    </row>
    <row r="17" spans="2:20" x14ac:dyDescent="0.3">
      <c r="B17" s="612" t="s">
        <v>1020</v>
      </c>
      <c r="C17" s="284"/>
      <c r="D17" s="284"/>
      <c r="E17" s="284"/>
      <c r="F17" s="284"/>
      <c r="G17" s="284"/>
      <c r="H17" s="284"/>
      <c r="I17" s="284"/>
      <c r="J17" s="284"/>
      <c r="K17" s="284"/>
      <c r="L17" s="284"/>
      <c r="M17" s="284"/>
      <c r="N17" s="284"/>
      <c r="O17" s="284"/>
      <c r="P17" s="284"/>
      <c r="Q17" s="284"/>
      <c r="R17" s="613"/>
    </row>
    <row r="18" spans="2:20" x14ac:dyDescent="0.3">
      <c r="B18" s="611" t="s">
        <v>1021</v>
      </c>
      <c r="C18" s="284"/>
      <c r="D18" s="284"/>
      <c r="E18" s="284"/>
      <c r="F18" s="284"/>
      <c r="G18" s="284"/>
      <c r="H18" s="284"/>
      <c r="I18" s="284"/>
      <c r="J18" s="284"/>
      <c r="K18" s="284"/>
      <c r="L18" s="284"/>
      <c r="M18" s="284"/>
      <c r="N18" s="284"/>
      <c r="O18" s="284"/>
      <c r="P18" s="284"/>
      <c r="Q18" s="284"/>
      <c r="R18" s="608"/>
      <c r="T18" s="608"/>
    </row>
    <row r="19" spans="2:20" x14ac:dyDescent="0.3">
      <c r="B19" s="3" t="s">
        <v>1022</v>
      </c>
      <c r="C19" s="284"/>
      <c r="D19" s="284"/>
      <c r="E19" s="284"/>
      <c r="F19" s="284"/>
      <c r="G19" s="284"/>
      <c r="H19" s="284"/>
      <c r="I19" s="284"/>
      <c r="J19" s="284"/>
      <c r="K19" s="284"/>
      <c r="L19" s="284"/>
      <c r="M19" s="284"/>
      <c r="N19" s="284"/>
      <c r="O19" s="284"/>
      <c r="P19" s="284"/>
      <c r="Q19" s="284"/>
      <c r="R19" s="614"/>
      <c r="T19" s="608"/>
    </row>
    <row r="20" spans="2:20" s="4" customFormat="1" x14ac:dyDescent="0.3">
      <c r="B20" s="3" t="s">
        <v>1023</v>
      </c>
      <c r="C20" s="284"/>
      <c r="D20" s="284"/>
      <c r="E20" s="284"/>
      <c r="F20" s="284"/>
      <c r="G20" s="284"/>
      <c r="H20" s="284"/>
      <c r="I20" s="284"/>
      <c r="J20" s="284"/>
      <c r="K20" s="284"/>
      <c r="L20" s="284"/>
      <c r="M20" s="284"/>
      <c r="N20" s="284"/>
      <c r="O20" s="284"/>
      <c r="P20" s="284"/>
      <c r="Q20" s="284"/>
      <c r="R20" s="615"/>
      <c r="S20" s="615"/>
    </row>
    <row r="21" spans="2:20" ht="42" x14ac:dyDescent="0.3">
      <c r="B21" s="616" t="s">
        <v>1024</v>
      </c>
      <c r="C21" s="284"/>
      <c r="D21" s="284"/>
      <c r="E21" s="284"/>
      <c r="F21" s="284"/>
      <c r="G21" s="284"/>
      <c r="H21" s="284"/>
      <c r="I21" s="284"/>
      <c r="J21" s="284"/>
      <c r="K21" s="284"/>
      <c r="L21" s="284"/>
      <c r="M21" s="284"/>
      <c r="N21" s="284"/>
      <c r="O21" s="284"/>
      <c r="P21" s="284"/>
      <c r="Q21" s="284"/>
      <c r="R21" s="610"/>
    </row>
    <row r="22" spans="2:20" x14ac:dyDescent="0.3">
      <c r="B22" s="617"/>
      <c r="C22" s="618"/>
      <c r="D22" s="54"/>
      <c r="E22" s="619"/>
      <c r="F22" s="620"/>
      <c r="G22" s="608"/>
      <c r="H22" s="621"/>
      <c r="I22" s="622"/>
      <c r="J22" s="610"/>
      <c r="K22" s="623"/>
      <c r="L22" s="623"/>
      <c r="M22" s="623"/>
      <c r="N22" s="623"/>
      <c r="O22" s="620"/>
      <c r="P22" s="608"/>
      <c r="Q22" s="623"/>
    </row>
    <row r="23" spans="2:20" x14ac:dyDescent="0.3">
      <c r="B23" s="1" t="s">
        <v>1025</v>
      </c>
      <c r="G23" s="608"/>
      <c r="H23" s="624"/>
      <c r="I23" s="624"/>
      <c r="J23" s="610"/>
      <c r="K23" s="624"/>
      <c r="L23" s="624"/>
      <c r="M23" s="624"/>
      <c r="N23" s="624"/>
      <c r="P23" s="608"/>
      <c r="Q23" s="624"/>
      <c r="R23" s="610"/>
    </row>
    <row r="24" spans="2:20" x14ac:dyDescent="0.3">
      <c r="H24" s="625"/>
      <c r="K24" s="625"/>
      <c r="L24" s="625"/>
      <c r="M24" s="625"/>
      <c r="N24" s="625"/>
      <c r="Q24" s="625"/>
    </row>
    <row r="25" spans="2:20" x14ac:dyDescent="0.3">
      <c r="C25" s="608"/>
      <c r="D25" s="608"/>
      <c r="E25" s="608"/>
      <c r="F25" s="608"/>
      <c r="G25" s="608"/>
      <c r="H25" s="608"/>
      <c r="I25" s="608"/>
      <c r="J25" s="608"/>
      <c r="K25" s="608"/>
      <c r="L25" s="608"/>
      <c r="M25" s="608"/>
      <c r="N25" s="608"/>
      <c r="O25" s="608"/>
      <c r="P25" s="608"/>
      <c r="Q25" s="608"/>
    </row>
    <row r="26" spans="2:20" x14ac:dyDescent="0.3">
      <c r="H26" s="608"/>
      <c r="K26" s="608"/>
      <c r="L26" s="608"/>
      <c r="M26" s="608"/>
      <c r="N26" s="608"/>
      <c r="Q26" s="608"/>
      <c r="S26" s="608"/>
    </row>
    <row r="27" spans="2:20" x14ac:dyDescent="0.3">
      <c r="C27" s="608"/>
      <c r="D27" s="608"/>
      <c r="F27" s="608"/>
      <c r="G27" s="608"/>
      <c r="H27" s="608"/>
      <c r="I27" s="608"/>
      <c r="J27" s="608"/>
      <c r="K27" s="608"/>
      <c r="L27" s="608"/>
      <c r="M27" s="608"/>
      <c r="N27" s="608"/>
      <c r="O27" s="608"/>
      <c r="P27" s="608"/>
      <c r="Q27" s="608"/>
    </row>
    <row r="29" spans="2:20" x14ac:dyDescent="0.3">
      <c r="C29" s="342"/>
      <c r="E29" s="608"/>
    </row>
  </sheetData>
  <mergeCells count="5">
    <mergeCell ref="C9:E9"/>
    <mergeCell ref="F9:H9"/>
    <mergeCell ref="I9:K9"/>
    <mergeCell ref="L9:N9"/>
    <mergeCell ref="O9:Q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B1:C85"/>
  <sheetViews>
    <sheetView topLeftCell="A63" zoomScale="62" workbookViewId="0">
      <selection activeCell="B80" sqref="B80:C80"/>
    </sheetView>
  </sheetViews>
  <sheetFormatPr defaultColWidth="9.1796875" defaultRowHeight="14" x14ac:dyDescent="0.3"/>
  <cols>
    <col min="1" max="1" width="9.1796875" style="1"/>
    <col min="2" max="2" width="51" style="1" customWidth="1"/>
    <col min="3" max="3" width="124" style="1" customWidth="1"/>
    <col min="4" max="257" width="9.1796875" style="1"/>
    <col min="258" max="258" width="50.453125" style="1" customWidth="1"/>
    <col min="259" max="259" width="90.54296875" style="1" customWidth="1"/>
    <col min="260" max="513" width="9.1796875" style="1"/>
    <col min="514" max="514" width="50.453125" style="1" customWidth="1"/>
    <col min="515" max="515" width="90.54296875" style="1" customWidth="1"/>
    <col min="516" max="769" width="9.1796875" style="1"/>
    <col min="770" max="770" width="50.453125" style="1" customWidth="1"/>
    <col min="771" max="771" width="90.54296875" style="1" customWidth="1"/>
    <col min="772" max="1025" width="9.1796875" style="1"/>
    <col min="1026" max="1026" width="50.453125" style="1" customWidth="1"/>
    <col min="1027" max="1027" width="90.54296875" style="1" customWidth="1"/>
    <col min="1028" max="1281" width="9.1796875" style="1"/>
    <col min="1282" max="1282" width="50.453125" style="1" customWidth="1"/>
    <col min="1283" max="1283" width="90.54296875" style="1" customWidth="1"/>
    <col min="1284" max="1537" width="9.1796875" style="1"/>
    <col min="1538" max="1538" width="50.453125" style="1" customWidth="1"/>
    <col min="1539" max="1539" width="90.54296875" style="1" customWidth="1"/>
    <col min="1540" max="1793" width="9.1796875" style="1"/>
    <col min="1794" max="1794" width="50.453125" style="1" customWidth="1"/>
    <col min="1795" max="1795" width="90.54296875" style="1" customWidth="1"/>
    <col min="1796" max="2049" width="9.1796875" style="1"/>
    <col min="2050" max="2050" width="50.453125" style="1" customWidth="1"/>
    <col min="2051" max="2051" width="90.54296875" style="1" customWidth="1"/>
    <col min="2052" max="2305" width="9.1796875" style="1"/>
    <col min="2306" max="2306" width="50.453125" style="1" customWidth="1"/>
    <col min="2307" max="2307" width="90.54296875" style="1" customWidth="1"/>
    <col min="2308" max="2561" width="9.1796875" style="1"/>
    <col min="2562" max="2562" width="50.453125" style="1" customWidth="1"/>
    <col min="2563" max="2563" width="90.54296875" style="1" customWidth="1"/>
    <col min="2564" max="2817" width="9.1796875" style="1"/>
    <col min="2818" max="2818" width="50.453125" style="1" customWidth="1"/>
    <col min="2819" max="2819" width="90.54296875" style="1" customWidth="1"/>
    <col min="2820" max="3073" width="9.1796875" style="1"/>
    <col min="3074" max="3074" width="50.453125" style="1" customWidth="1"/>
    <col min="3075" max="3075" width="90.54296875" style="1" customWidth="1"/>
    <col min="3076" max="3329" width="9.1796875" style="1"/>
    <col min="3330" max="3330" width="50.453125" style="1" customWidth="1"/>
    <col min="3331" max="3331" width="90.54296875" style="1" customWidth="1"/>
    <col min="3332" max="3585" width="9.1796875" style="1"/>
    <col min="3586" max="3586" width="50.453125" style="1" customWidth="1"/>
    <col min="3587" max="3587" width="90.54296875" style="1" customWidth="1"/>
    <col min="3588" max="3841" width="9.1796875" style="1"/>
    <col min="3842" max="3842" width="50.453125" style="1" customWidth="1"/>
    <col min="3843" max="3843" width="90.54296875" style="1" customWidth="1"/>
    <col min="3844" max="4097" width="9.1796875" style="1"/>
    <col min="4098" max="4098" width="50.453125" style="1" customWidth="1"/>
    <col min="4099" max="4099" width="90.54296875" style="1" customWidth="1"/>
    <col min="4100" max="4353" width="9.1796875" style="1"/>
    <col min="4354" max="4354" width="50.453125" style="1" customWidth="1"/>
    <col min="4355" max="4355" width="90.54296875" style="1" customWidth="1"/>
    <col min="4356" max="4609" width="9.1796875" style="1"/>
    <col min="4610" max="4610" width="50.453125" style="1" customWidth="1"/>
    <col min="4611" max="4611" width="90.54296875" style="1" customWidth="1"/>
    <col min="4612" max="4865" width="9.1796875" style="1"/>
    <col min="4866" max="4866" width="50.453125" style="1" customWidth="1"/>
    <col min="4867" max="4867" width="90.54296875" style="1" customWidth="1"/>
    <col min="4868" max="5121" width="9.1796875" style="1"/>
    <col min="5122" max="5122" width="50.453125" style="1" customWidth="1"/>
    <col min="5123" max="5123" width="90.54296875" style="1" customWidth="1"/>
    <col min="5124" max="5377" width="9.1796875" style="1"/>
    <col min="5378" max="5378" width="50.453125" style="1" customWidth="1"/>
    <col min="5379" max="5379" width="90.54296875" style="1" customWidth="1"/>
    <col min="5380" max="5633" width="9.1796875" style="1"/>
    <col min="5634" max="5634" width="50.453125" style="1" customWidth="1"/>
    <col min="5635" max="5635" width="90.54296875" style="1" customWidth="1"/>
    <col min="5636" max="5889" width="9.1796875" style="1"/>
    <col min="5890" max="5890" width="50.453125" style="1" customWidth="1"/>
    <col min="5891" max="5891" width="90.54296875" style="1" customWidth="1"/>
    <col min="5892" max="6145" width="9.1796875" style="1"/>
    <col min="6146" max="6146" width="50.453125" style="1" customWidth="1"/>
    <col min="6147" max="6147" width="90.54296875" style="1" customWidth="1"/>
    <col min="6148" max="6401" width="9.1796875" style="1"/>
    <col min="6402" max="6402" width="50.453125" style="1" customWidth="1"/>
    <col min="6403" max="6403" width="90.54296875" style="1" customWidth="1"/>
    <col min="6404" max="6657" width="9.1796875" style="1"/>
    <col min="6658" max="6658" width="50.453125" style="1" customWidth="1"/>
    <col min="6659" max="6659" width="90.54296875" style="1" customWidth="1"/>
    <col min="6660" max="6913" width="9.1796875" style="1"/>
    <col min="6914" max="6914" width="50.453125" style="1" customWidth="1"/>
    <col min="6915" max="6915" width="90.54296875" style="1" customWidth="1"/>
    <col min="6916" max="7169" width="9.1796875" style="1"/>
    <col min="7170" max="7170" width="50.453125" style="1" customWidth="1"/>
    <col min="7171" max="7171" width="90.54296875" style="1" customWidth="1"/>
    <col min="7172" max="7425" width="9.1796875" style="1"/>
    <col min="7426" max="7426" width="50.453125" style="1" customWidth="1"/>
    <col min="7427" max="7427" width="90.54296875" style="1" customWidth="1"/>
    <col min="7428" max="7681" width="9.1796875" style="1"/>
    <col min="7682" max="7682" width="50.453125" style="1" customWidth="1"/>
    <col min="7683" max="7683" width="90.54296875" style="1" customWidth="1"/>
    <col min="7684" max="7937" width="9.1796875" style="1"/>
    <col min="7938" max="7938" width="50.453125" style="1" customWidth="1"/>
    <col min="7939" max="7939" width="90.54296875" style="1" customWidth="1"/>
    <col min="7940" max="8193" width="9.1796875" style="1"/>
    <col min="8194" max="8194" width="50.453125" style="1" customWidth="1"/>
    <col min="8195" max="8195" width="90.54296875" style="1" customWidth="1"/>
    <col min="8196" max="8449" width="9.1796875" style="1"/>
    <col min="8450" max="8450" width="50.453125" style="1" customWidth="1"/>
    <col min="8451" max="8451" width="90.54296875" style="1" customWidth="1"/>
    <col min="8452" max="8705" width="9.1796875" style="1"/>
    <col min="8706" max="8706" width="50.453125" style="1" customWidth="1"/>
    <col min="8707" max="8707" width="90.54296875" style="1" customWidth="1"/>
    <col min="8708" max="8961" width="9.1796875" style="1"/>
    <col min="8962" max="8962" width="50.453125" style="1" customWidth="1"/>
    <col min="8963" max="8963" width="90.54296875" style="1" customWidth="1"/>
    <col min="8964" max="9217" width="9.1796875" style="1"/>
    <col min="9218" max="9218" width="50.453125" style="1" customWidth="1"/>
    <col min="9219" max="9219" width="90.54296875" style="1" customWidth="1"/>
    <col min="9220" max="9473" width="9.1796875" style="1"/>
    <col min="9474" max="9474" width="50.453125" style="1" customWidth="1"/>
    <col min="9475" max="9475" width="90.54296875" style="1" customWidth="1"/>
    <col min="9476" max="9729" width="9.1796875" style="1"/>
    <col min="9730" max="9730" width="50.453125" style="1" customWidth="1"/>
    <col min="9731" max="9731" width="90.54296875" style="1" customWidth="1"/>
    <col min="9732" max="9985" width="9.1796875" style="1"/>
    <col min="9986" max="9986" width="50.453125" style="1" customWidth="1"/>
    <col min="9987" max="9987" width="90.54296875" style="1" customWidth="1"/>
    <col min="9988" max="10241" width="9.1796875" style="1"/>
    <col min="10242" max="10242" width="50.453125" style="1" customWidth="1"/>
    <col min="10243" max="10243" width="90.54296875" style="1" customWidth="1"/>
    <col min="10244" max="10497" width="9.1796875" style="1"/>
    <col min="10498" max="10498" width="50.453125" style="1" customWidth="1"/>
    <col min="10499" max="10499" width="90.54296875" style="1" customWidth="1"/>
    <col min="10500" max="10753" width="9.1796875" style="1"/>
    <col min="10754" max="10754" width="50.453125" style="1" customWidth="1"/>
    <col min="10755" max="10755" width="90.54296875" style="1" customWidth="1"/>
    <col min="10756" max="11009" width="9.1796875" style="1"/>
    <col min="11010" max="11010" width="50.453125" style="1" customWidth="1"/>
    <col min="11011" max="11011" width="90.54296875" style="1" customWidth="1"/>
    <col min="11012" max="11265" width="9.1796875" style="1"/>
    <col min="11266" max="11266" width="50.453125" style="1" customWidth="1"/>
    <col min="11267" max="11267" width="90.54296875" style="1" customWidth="1"/>
    <col min="11268" max="11521" width="9.1796875" style="1"/>
    <col min="11522" max="11522" width="50.453125" style="1" customWidth="1"/>
    <col min="11523" max="11523" width="90.54296875" style="1" customWidth="1"/>
    <col min="11524" max="11777" width="9.1796875" style="1"/>
    <col min="11778" max="11778" width="50.453125" style="1" customWidth="1"/>
    <col min="11779" max="11779" width="90.54296875" style="1" customWidth="1"/>
    <col min="11780" max="12033" width="9.1796875" style="1"/>
    <col min="12034" max="12034" width="50.453125" style="1" customWidth="1"/>
    <col min="12035" max="12035" width="90.54296875" style="1" customWidth="1"/>
    <col min="12036" max="12289" width="9.1796875" style="1"/>
    <col min="12290" max="12290" width="50.453125" style="1" customWidth="1"/>
    <col min="12291" max="12291" width="90.54296875" style="1" customWidth="1"/>
    <col min="12292" max="12545" width="9.1796875" style="1"/>
    <col min="12546" max="12546" width="50.453125" style="1" customWidth="1"/>
    <col min="12547" max="12547" width="90.54296875" style="1" customWidth="1"/>
    <col min="12548" max="12801" width="9.1796875" style="1"/>
    <col min="12802" max="12802" width="50.453125" style="1" customWidth="1"/>
    <col min="12803" max="12803" width="90.54296875" style="1" customWidth="1"/>
    <col min="12804" max="13057" width="9.1796875" style="1"/>
    <col min="13058" max="13058" width="50.453125" style="1" customWidth="1"/>
    <col min="13059" max="13059" width="90.54296875" style="1" customWidth="1"/>
    <col min="13060" max="13313" width="9.1796875" style="1"/>
    <col min="13314" max="13314" width="50.453125" style="1" customWidth="1"/>
    <col min="13315" max="13315" width="90.54296875" style="1" customWidth="1"/>
    <col min="13316" max="13569" width="9.1796875" style="1"/>
    <col min="13570" max="13570" width="50.453125" style="1" customWidth="1"/>
    <col min="13571" max="13571" width="90.54296875" style="1" customWidth="1"/>
    <col min="13572" max="13825" width="9.1796875" style="1"/>
    <col min="13826" max="13826" width="50.453125" style="1" customWidth="1"/>
    <col min="13827" max="13827" width="90.54296875" style="1" customWidth="1"/>
    <col min="13828" max="14081" width="9.1796875" style="1"/>
    <col min="14082" max="14082" width="50.453125" style="1" customWidth="1"/>
    <col min="14083" max="14083" width="90.54296875" style="1" customWidth="1"/>
    <col min="14084" max="14337" width="9.1796875" style="1"/>
    <col min="14338" max="14338" width="50.453125" style="1" customWidth="1"/>
    <col min="14339" max="14339" width="90.54296875" style="1" customWidth="1"/>
    <col min="14340" max="14593" width="9.1796875" style="1"/>
    <col min="14594" max="14594" width="50.453125" style="1" customWidth="1"/>
    <col min="14595" max="14595" width="90.54296875" style="1" customWidth="1"/>
    <col min="14596" max="14849" width="9.1796875" style="1"/>
    <col min="14850" max="14850" width="50.453125" style="1" customWidth="1"/>
    <col min="14851" max="14851" width="90.54296875" style="1" customWidth="1"/>
    <col min="14852" max="15105" width="9.1796875" style="1"/>
    <col min="15106" max="15106" width="50.453125" style="1" customWidth="1"/>
    <col min="15107" max="15107" width="90.54296875" style="1" customWidth="1"/>
    <col min="15108" max="15361" width="9.1796875" style="1"/>
    <col min="15362" max="15362" width="50.453125" style="1" customWidth="1"/>
    <col min="15363" max="15363" width="90.54296875" style="1" customWidth="1"/>
    <col min="15364" max="15617" width="9.1796875" style="1"/>
    <col min="15618" max="15618" width="50.453125" style="1" customWidth="1"/>
    <col min="15619" max="15619" width="90.54296875" style="1" customWidth="1"/>
    <col min="15620" max="15873" width="9.1796875" style="1"/>
    <col min="15874" max="15874" width="50.453125" style="1" customWidth="1"/>
    <col min="15875" max="15875" width="90.54296875" style="1" customWidth="1"/>
    <col min="15876" max="16129" width="9.1796875" style="1"/>
    <col min="16130" max="16130" width="50.453125" style="1" customWidth="1"/>
    <col min="16131" max="16131" width="90.54296875" style="1" customWidth="1"/>
    <col min="16132" max="16384" width="9.1796875" style="1"/>
  </cols>
  <sheetData>
    <row r="1" spans="2:3" x14ac:dyDescent="0.3">
      <c r="C1" s="989"/>
    </row>
    <row r="2" spans="2:3" x14ac:dyDescent="0.3">
      <c r="B2" s="1406" t="str">
        <f>Index!B2</f>
        <v xml:space="preserve">      Maharashtra State Power Generation Company Ltd.</v>
      </c>
      <c r="C2" s="1406"/>
    </row>
    <row r="3" spans="2:3" x14ac:dyDescent="0.3">
      <c r="B3" s="1407" t="s">
        <v>3039</v>
      </c>
      <c r="C3" s="1407"/>
    </row>
    <row r="4" spans="2:3" x14ac:dyDescent="0.3">
      <c r="B4" s="1614" t="s">
        <v>1026</v>
      </c>
      <c r="C4" s="1614"/>
    </row>
    <row r="6" spans="2:3" x14ac:dyDescent="0.3">
      <c r="C6" s="4" t="s">
        <v>2807</v>
      </c>
    </row>
    <row r="7" spans="2:3" x14ac:dyDescent="0.3">
      <c r="B7" s="533" t="s">
        <v>35</v>
      </c>
      <c r="C7" s="9" t="s">
        <v>1027</v>
      </c>
    </row>
    <row r="8" spans="2:3" x14ac:dyDescent="0.3">
      <c r="B8" s="135" t="s">
        <v>1028</v>
      </c>
      <c r="C8" s="135" t="s">
        <v>2808</v>
      </c>
    </row>
    <row r="9" spans="2:3" x14ac:dyDescent="0.3">
      <c r="B9" s="2" t="s">
        <v>1015</v>
      </c>
      <c r="C9" s="2" t="s">
        <v>2809</v>
      </c>
    </row>
    <row r="10" spans="2:3" x14ac:dyDescent="0.3">
      <c r="B10" s="2" t="s">
        <v>1029</v>
      </c>
      <c r="C10" s="986">
        <v>3432</v>
      </c>
    </row>
    <row r="11" spans="2:3" x14ac:dyDescent="0.3">
      <c r="B11" s="626" t="s">
        <v>1030</v>
      </c>
      <c r="C11" s="986">
        <v>3432</v>
      </c>
    </row>
    <row r="12" spans="2:3" x14ac:dyDescent="0.3">
      <c r="B12" s="2" t="s">
        <v>1031</v>
      </c>
      <c r="C12" s="135" t="s">
        <v>2810</v>
      </c>
    </row>
    <row r="13" spans="2:3" x14ac:dyDescent="0.3">
      <c r="B13" s="116" t="s">
        <v>1032</v>
      </c>
      <c r="C13" s="626"/>
    </row>
    <row r="14" spans="2:3" x14ac:dyDescent="0.3">
      <c r="B14" s="2" t="s">
        <v>1033</v>
      </c>
      <c r="C14" s="626" t="s">
        <v>2811</v>
      </c>
    </row>
    <row r="15" spans="2:3" x14ac:dyDescent="0.3">
      <c r="B15" s="2" t="s">
        <v>1034</v>
      </c>
      <c r="C15" s="626" t="s">
        <v>2811</v>
      </c>
    </row>
    <row r="16" spans="2:3" x14ac:dyDescent="0.3">
      <c r="B16" s="2" t="s">
        <v>1035</v>
      </c>
      <c r="C16" s="2"/>
    </row>
    <row r="17" spans="2:3" x14ac:dyDescent="0.3">
      <c r="B17" s="2" t="s">
        <v>1036</v>
      </c>
      <c r="C17" s="2"/>
    </row>
    <row r="18" spans="2:3" x14ac:dyDescent="0.3">
      <c r="B18" s="2" t="s">
        <v>1037</v>
      </c>
      <c r="C18" s="626" t="s">
        <v>2812</v>
      </c>
    </row>
    <row r="19" spans="2:3" x14ac:dyDescent="0.3">
      <c r="B19" s="2" t="s">
        <v>1038</v>
      </c>
      <c r="C19" s="990" t="s">
        <v>2813</v>
      </c>
    </row>
    <row r="20" spans="2:3" x14ac:dyDescent="0.3">
      <c r="B20" s="2" t="s">
        <v>1039</v>
      </c>
      <c r="C20" s="2" t="s">
        <v>2814</v>
      </c>
    </row>
    <row r="21" spans="2:3" x14ac:dyDescent="0.3">
      <c r="B21" s="2" t="s">
        <v>1040</v>
      </c>
      <c r="C21" s="990" t="s">
        <v>2815</v>
      </c>
    </row>
    <row r="22" spans="2:3" x14ac:dyDescent="0.3">
      <c r="B22" s="2" t="s">
        <v>1041</v>
      </c>
      <c r="C22" s="2" t="s">
        <v>2816</v>
      </c>
    </row>
    <row r="23" spans="2:3" x14ac:dyDescent="0.3">
      <c r="B23" s="2" t="s">
        <v>1042</v>
      </c>
      <c r="C23" s="2"/>
    </row>
    <row r="24" spans="2:3" x14ac:dyDescent="0.3">
      <c r="B24" s="2" t="s">
        <v>1043</v>
      </c>
      <c r="C24" s="2"/>
    </row>
    <row r="27" spans="2:3" x14ac:dyDescent="0.3">
      <c r="C27" s="4" t="s">
        <v>2817</v>
      </c>
    </row>
    <row r="28" spans="2:3" x14ac:dyDescent="0.3">
      <c r="B28" s="533" t="s">
        <v>35</v>
      </c>
      <c r="C28" s="9" t="s">
        <v>1027</v>
      </c>
    </row>
    <row r="29" spans="2:3" x14ac:dyDescent="0.3">
      <c r="B29" s="135" t="s">
        <v>1028</v>
      </c>
      <c r="C29" s="135" t="s">
        <v>2808</v>
      </c>
    </row>
    <row r="30" spans="2:3" x14ac:dyDescent="0.3">
      <c r="B30" s="2" t="s">
        <v>1015</v>
      </c>
      <c r="C30" s="2" t="s">
        <v>2809</v>
      </c>
    </row>
    <row r="31" spans="2:3" x14ac:dyDescent="0.3">
      <c r="B31" s="2" t="s">
        <v>1029</v>
      </c>
      <c r="C31" s="986">
        <v>1232.46</v>
      </c>
    </row>
    <row r="32" spans="2:3" x14ac:dyDescent="0.3">
      <c r="B32" s="626" t="s">
        <v>1030</v>
      </c>
      <c r="C32" s="986">
        <v>790.5</v>
      </c>
    </row>
    <row r="33" spans="2:3" x14ac:dyDescent="0.3">
      <c r="B33" s="2" t="s">
        <v>1031</v>
      </c>
      <c r="C33" s="135" t="s">
        <v>2810</v>
      </c>
    </row>
    <row r="34" spans="2:3" x14ac:dyDescent="0.3">
      <c r="B34" s="116" t="s">
        <v>1032</v>
      </c>
      <c r="C34" s="626"/>
    </row>
    <row r="35" spans="2:3" x14ac:dyDescent="0.3">
      <c r="B35" s="2" t="s">
        <v>1033</v>
      </c>
      <c r="C35" s="626" t="s">
        <v>2811</v>
      </c>
    </row>
    <row r="36" spans="2:3" x14ac:dyDescent="0.3">
      <c r="B36" s="2" t="s">
        <v>1034</v>
      </c>
      <c r="C36" s="626" t="s">
        <v>2811</v>
      </c>
    </row>
    <row r="37" spans="2:3" x14ac:dyDescent="0.3">
      <c r="B37" s="2" t="s">
        <v>1035</v>
      </c>
      <c r="C37" s="2"/>
    </row>
    <row r="38" spans="2:3" x14ac:dyDescent="0.3">
      <c r="B38" s="2" t="s">
        <v>1036</v>
      </c>
      <c r="C38" s="2"/>
    </row>
    <row r="39" spans="2:3" x14ac:dyDescent="0.3">
      <c r="B39" s="2" t="s">
        <v>1037</v>
      </c>
      <c r="C39" s="626" t="s">
        <v>2818</v>
      </c>
    </row>
    <row r="40" spans="2:3" x14ac:dyDescent="0.3">
      <c r="B40" s="2" t="s">
        <v>1038</v>
      </c>
      <c r="C40" s="990"/>
    </row>
    <row r="41" spans="2:3" x14ac:dyDescent="0.3">
      <c r="B41" s="2" t="s">
        <v>1039</v>
      </c>
      <c r="C41" s="2" t="s">
        <v>2819</v>
      </c>
    </row>
    <row r="42" spans="2:3" x14ac:dyDescent="0.3">
      <c r="B42" s="2" t="s">
        <v>1040</v>
      </c>
      <c r="C42" s="990" t="s">
        <v>2820</v>
      </c>
    </row>
    <row r="43" spans="2:3" x14ac:dyDescent="0.3">
      <c r="B43" s="2" t="s">
        <v>1041</v>
      </c>
      <c r="C43" s="2" t="s">
        <v>2816</v>
      </c>
    </row>
    <row r="44" spans="2:3" x14ac:dyDescent="0.3">
      <c r="B44" s="2" t="s">
        <v>1042</v>
      </c>
      <c r="C44" s="2"/>
    </row>
    <row r="45" spans="2:3" x14ac:dyDescent="0.3">
      <c r="B45" s="2" t="s">
        <v>1043</v>
      </c>
      <c r="C45" s="2"/>
    </row>
    <row r="48" spans="2:3" x14ac:dyDescent="0.3">
      <c r="C48" s="4" t="s">
        <v>2821</v>
      </c>
    </row>
    <row r="49" spans="2:3" x14ac:dyDescent="0.3">
      <c r="B49" s="533" t="s">
        <v>35</v>
      </c>
      <c r="C49" s="9" t="s">
        <v>1027</v>
      </c>
    </row>
    <row r="50" spans="2:3" x14ac:dyDescent="0.3">
      <c r="B50" s="135" t="s">
        <v>1028</v>
      </c>
      <c r="C50" s="135" t="s">
        <v>2808</v>
      </c>
    </row>
    <row r="51" spans="2:3" x14ac:dyDescent="0.3">
      <c r="B51" s="2" t="s">
        <v>1015</v>
      </c>
      <c r="C51" s="2" t="s">
        <v>2809</v>
      </c>
    </row>
    <row r="52" spans="2:3" x14ac:dyDescent="0.3">
      <c r="B52" s="2" t="s">
        <v>1029</v>
      </c>
      <c r="C52" s="986">
        <v>524</v>
      </c>
    </row>
    <row r="53" spans="2:3" x14ac:dyDescent="0.3">
      <c r="B53" s="626" t="s">
        <v>1030</v>
      </c>
      <c r="C53" s="986">
        <v>252.8</v>
      </c>
    </row>
    <row r="54" spans="2:3" x14ac:dyDescent="0.3">
      <c r="B54" s="2" t="s">
        <v>1031</v>
      </c>
      <c r="C54" s="135" t="s">
        <v>2810</v>
      </c>
    </row>
    <row r="55" spans="2:3" x14ac:dyDescent="0.3">
      <c r="B55" s="116" t="s">
        <v>1032</v>
      </c>
      <c r="C55" s="626"/>
    </row>
    <row r="56" spans="2:3" x14ac:dyDescent="0.3">
      <c r="B56" s="2" t="s">
        <v>1033</v>
      </c>
      <c r="C56" s="626" t="s">
        <v>2811</v>
      </c>
    </row>
    <row r="57" spans="2:3" x14ac:dyDescent="0.3">
      <c r="B57" s="2" t="s">
        <v>1034</v>
      </c>
      <c r="C57" s="626" t="s">
        <v>2811</v>
      </c>
    </row>
    <row r="58" spans="2:3" x14ac:dyDescent="0.3">
      <c r="B58" s="2" t="s">
        <v>1035</v>
      </c>
      <c r="C58" s="2"/>
    </row>
    <row r="59" spans="2:3" x14ac:dyDescent="0.3">
      <c r="B59" s="2" t="s">
        <v>1036</v>
      </c>
      <c r="C59" s="2"/>
    </row>
    <row r="60" spans="2:3" x14ac:dyDescent="0.3">
      <c r="B60" s="2" t="s">
        <v>1037</v>
      </c>
      <c r="C60" s="626"/>
    </row>
    <row r="61" spans="2:3" x14ac:dyDescent="0.3">
      <c r="B61" s="2" t="s">
        <v>1038</v>
      </c>
      <c r="C61" s="990"/>
    </row>
    <row r="62" spans="2:3" x14ac:dyDescent="0.3">
      <c r="B62" s="2" t="s">
        <v>1039</v>
      </c>
      <c r="C62" s="2" t="s">
        <v>2819</v>
      </c>
    </row>
    <row r="63" spans="2:3" x14ac:dyDescent="0.3">
      <c r="B63" s="2" t="s">
        <v>1040</v>
      </c>
      <c r="C63" s="990" t="s">
        <v>2822</v>
      </c>
    </row>
    <row r="64" spans="2:3" x14ac:dyDescent="0.3">
      <c r="B64" s="2" t="s">
        <v>1041</v>
      </c>
      <c r="C64" s="2" t="s">
        <v>2816</v>
      </c>
    </row>
    <row r="65" spans="2:3" x14ac:dyDescent="0.3">
      <c r="B65" s="2" t="s">
        <v>1042</v>
      </c>
      <c r="C65" s="2"/>
    </row>
    <row r="66" spans="2:3" x14ac:dyDescent="0.3">
      <c r="B66" s="2" t="s">
        <v>1043</v>
      </c>
      <c r="C66" s="2"/>
    </row>
    <row r="72" spans="2:3" ht="14.15" customHeight="1" x14ac:dyDescent="0.3"/>
    <row r="74" spans="2:3" ht="14.15" customHeight="1" x14ac:dyDescent="0.3"/>
    <row r="75" spans="2:3" ht="14.15" customHeight="1" x14ac:dyDescent="0.3">
      <c r="B75" s="1613" t="s">
        <v>1044</v>
      </c>
      <c r="C75" s="1613"/>
    </row>
    <row r="76" spans="2:3" ht="14.15" customHeight="1" x14ac:dyDescent="0.3">
      <c r="B76" s="1613" t="s">
        <v>1045</v>
      </c>
      <c r="C76" s="1613"/>
    </row>
    <row r="77" spans="2:3" ht="14.15" customHeight="1" x14ac:dyDescent="0.3">
      <c r="B77" s="1613" t="s">
        <v>1046</v>
      </c>
      <c r="C77" s="1613"/>
    </row>
    <row r="78" spans="2:3" ht="14.15" customHeight="1" x14ac:dyDescent="0.3">
      <c r="B78" s="1613" t="s">
        <v>1047</v>
      </c>
      <c r="C78" s="1613"/>
    </row>
    <row r="79" spans="2:3" ht="14.15" customHeight="1" x14ac:dyDescent="0.3">
      <c r="B79" s="1613" t="s">
        <v>1048</v>
      </c>
      <c r="C79" s="1613"/>
    </row>
    <row r="80" spans="2:3" ht="14.15" customHeight="1" x14ac:dyDescent="0.3">
      <c r="B80" s="1613" t="s">
        <v>1049</v>
      </c>
      <c r="C80" s="1613"/>
    </row>
    <row r="81" spans="2:3" ht="14.15" customHeight="1" x14ac:dyDescent="0.3">
      <c r="B81" s="1613" t="s">
        <v>1050</v>
      </c>
      <c r="C81" s="1613"/>
    </row>
    <row r="82" spans="2:3" x14ac:dyDescent="0.3">
      <c r="B82" s="1613" t="s">
        <v>1051</v>
      </c>
      <c r="C82" s="1613"/>
    </row>
    <row r="83" spans="2:3" x14ac:dyDescent="0.3">
      <c r="B83" s="1613" t="s">
        <v>1052</v>
      </c>
      <c r="C83" s="1613"/>
    </row>
    <row r="84" spans="2:3" x14ac:dyDescent="0.3">
      <c r="B84" s="1613" t="s">
        <v>1053</v>
      </c>
      <c r="C84" s="1613"/>
    </row>
    <row r="85" spans="2:3" x14ac:dyDescent="0.3">
      <c r="B85" s="1613" t="s">
        <v>1054</v>
      </c>
      <c r="C85" s="1613"/>
    </row>
  </sheetData>
  <mergeCells count="14">
    <mergeCell ref="B82:C82"/>
    <mergeCell ref="B83:C83"/>
    <mergeCell ref="B84:C84"/>
    <mergeCell ref="B85:C85"/>
    <mergeCell ref="B2:C2"/>
    <mergeCell ref="B3:C3"/>
    <mergeCell ref="B4:C4"/>
    <mergeCell ref="B81:C81"/>
    <mergeCell ref="B75:C75"/>
    <mergeCell ref="B76:C76"/>
    <mergeCell ref="B77:C77"/>
    <mergeCell ref="B78:C78"/>
    <mergeCell ref="B79:C79"/>
    <mergeCell ref="B80:C8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B1:J29"/>
  <sheetViews>
    <sheetView zoomScale="95" workbookViewId="0">
      <selection activeCell="C4" sqref="C4"/>
    </sheetView>
  </sheetViews>
  <sheetFormatPr defaultColWidth="9.1796875" defaultRowHeight="14" x14ac:dyDescent="0.3"/>
  <cols>
    <col min="1" max="1" width="9.1796875" style="546"/>
    <col min="2" max="2" width="39" style="546" customWidth="1"/>
    <col min="3" max="3" width="19.1796875" style="546" customWidth="1"/>
    <col min="4" max="7" width="15.54296875" style="546" customWidth="1"/>
    <col min="8" max="259" width="9.1796875" style="546"/>
    <col min="260" max="260" width="82.54296875" style="546" bestFit="1" customWidth="1"/>
    <col min="261" max="263" width="28.54296875" style="546" customWidth="1"/>
    <col min="264" max="515" width="9.1796875" style="546"/>
    <col min="516" max="516" width="82.54296875" style="546" bestFit="1" customWidth="1"/>
    <col min="517" max="519" width="28.54296875" style="546" customWidth="1"/>
    <col min="520" max="771" width="9.1796875" style="546"/>
    <col min="772" max="772" width="82.54296875" style="546" bestFit="1" customWidth="1"/>
    <col min="773" max="775" width="28.54296875" style="546" customWidth="1"/>
    <col min="776" max="1027" width="9.1796875" style="546"/>
    <col min="1028" max="1028" width="82.54296875" style="546" bestFit="1" customWidth="1"/>
    <col min="1029" max="1031" width="28.54296875" style="546" customWidth="1"/>
    <col min="1032" max="1283" width="9.1796875" style="546"/>
    <col min="1284" max="1284" width="82.54296875" style="546" bestFit="1" customWidth="1"/>
    <col min="1285" max="1287" width="28.54296875" style="546" customWidth="1"/>
    <col min="1288" max="1539" width="9.1796875" style="546"/>
    <col min="1540" max="1540" width="82.54296875" style="546" bestFit="1" customWidth="1"/>
    <col min="1541" max="1543" width="28.54296875" style="546" customWidth="1"/>
    <col min="1544" max="1795" width="9.1796875" style="546"/>
    <col min="1796" max="1796" width="82.54296875" style="546" bestFit="1" customWidth="1"/>
    <col min="1797" max="1799" width="28.54296875" style="546" customWidth="1"/>
    <col min="1800" max="2051" width="9.1796875" style="546"/>
    <col min="2052" max="2052" width="82.54296875" style="546" bestFit="1" customWidth="1"/>
    <col min="2053" max="2055" width="28.54296875" style="546" customWidth="1"/>
    <col min="2056" max="2307" width="9.1796875" style="546"/>
    <col min="2308" max="2308" width="82.54296875" style="546" bestFit="1" customWidth="1"/>
    <col min="2309" max="2311" width="28.54296875" style="546" customWidth="1"/>
    <col min="2312" max="2563" width="9.1796875" style="546"/>
    <col min="2564" max="2564" width="82.54296875" style="546" bestFit="1" customWidth="1"/>
    <col min="2565" max="2567" width="28.54296875" style="546" customWidth="1"/>
    <col min="2568" max="2819" width="9.1796875" style="546"/>
    <col min="2820" max="2820" width="82.54296875" style="546" bestFit="1" customWidth="1"/>
    <col min="2821" max="2823" width="28.54296875" style="546" customWidth="1"/>
    <col min="2824" max="3075" width="9.1796875" style="546"/>
    <col min="3076" max="3076" width="82.54296875" style="546" bestFit="1" customWidth="1"/>
    <col min="3077" max="3079" width="28.54296875" style="546" customWidth="1"/>
    <col min="3080" max="3331" width="9.1796875" style="546"/>
    <col min="3332" max="3332" width="82.54296875" style="546" bestFit="1" customWidth="1"/>
    <col min="3333" max="3335" width="28.54296875" style="546" customWidth="1"/>
    <col min="3336" max="3587" width="9.1796875" style="546"/>
    <col min="3588" max="3588" width="82.54296875" style="546" bestFit="1" customWidth="1"/>
    <col min="3589" max="3591" width="28.54296875" style="546" customWidth="1"/>
    <col min="3592" max="3843" width="9.1796875" style="546"/>
    <col min="3844" max="3844" width="82.54296875" style="546" bestFit="1" customWidth="1"/>
    <col min="3845" max="3847" width="28.54296875" style="546" customWidth="1"/>
    <col min="3848" max="4099" width="9.1796875" style="546"/>
    <col min="4100" max="4100" width="82.54296875" style="546" bestFit="1" customWidth="1"/>
    <col min="4101" max="4103" width="28.54296875" style="546" customWidth="1"/>
    <col min="4104" max="4355" width="9.1796875" style="546"/>
    <col min="4356" max="4356" width="82.54296875" style="546" bestFit="1" customWidth="1"/>
    <col min="4357" max="4359" width="28.54296875" style="546" customWidth="1"/>
    <col min="4360" max="4611" width="9.1796875" style="546"/>
    <col min="4612" max="4612" width="82.54296875" style="546" bestFit="1" customWidth="1"/>
    <col min="4613" max="4615" width="28.54296875" style="546" customWidth="1"/>
    <col min="4616" max="4867" width="9.1796875" style="546"/>
    <col min="4868" max="4868" width="82.54296875" style="546" bestFit="1" customWidth="1"/>
    <col min="4869" max="4871" width="28.54296875" style="546" customWidth="1"/>
    <col min="4872" max="5123" width="9.1796875" style="546"/>
    <col min="5124" max="5124" width="82.54296875" style="546" bestFit="1" customWidth="1"/>
    <col min="5125" max="5127" width="28.54296875" style="546" customWidth="1"/>
    <col min="5128" max="5379" width="9.1796875" style="546"/>
    <col min="5380" max="5380" width="82.54296875" style="546" bestFit="1" customWidth="1"/>
    <col min="5381" max="5383" width="28.54296875" style="546" customWidth="1"/>
    <col min="5384" max="5635" width="9.1796875" style="546"/>
    <col min="5636" max="5636" width="82.54296875" style="546" bestFit="1" customWidth="1"/>
    <col min="5637" max="5639" width="28.54296875" style="546" customWidth="1"/>
    <col min="5640" max="5891" width="9.1796875" style="546"/>
    <col min="5892" max="5892" width="82.54296875" style="546" bestFit="1" customWidth="1"/>
    <col min="5893" max="5895" width="28.54296875" style="546" customWidth="1"/>
    <col min="5896" max="6147" width="9.1796875" style="546"/>
    <col min="6148" max="6148" width="82.54296875" style="546" bestFit="1" customWidth="1"/>
    <col min="6149" max="6151" width="28.54296875" style="546" customWidth="1"/>
    <col min="6152" max="6403" width="9.1796875" style="546"/>
    <col min="6404" max="6404" width="82.54296875" style="546" bestFit="1" customWidth="1"/>
    <col min="6405" max="6407" width="28.54296875" style="546" customWidth="1"/>
    <col min="6408" max="6659" width="9.1796875" style="546"/>
    <col min="6660" max="6660" width="82.54296875" style="546" bestFit="1" customWidth="1"/>
    <col min="6661" max="6663" width="28.54296875" style="546" customWidth="1"/>
    <col min="6664" max="6915" width="9.1796875" style="546"/>
    <col min="6916" max="6916" width="82.54296875" style="546" bestFit="1" customWidth="1"/>
    <col min="6917" max="6919" width="28.54296875" style="546" customWidth="1"/>
    <col min="6920" max="7171" width="9.1796875" style="546"/>
    <col min="7172" max="7172" width="82.54296875" style="546" bestFit="1" customWidth="1"/>
    <col min="7173" max="7175" width="28.54296875" style="546" customWidth="1"/>
    <col min="7176" max="7427" width="9.1796875" style="546"/>
    <col min="7428" max="7428" width="82.54296875" style="546" bestFit="1" customWidth="1"/>
    <col min="7429" max="7431" width="28.54296875" style="546" customWidth="1"/>
    <col min="7432" max="7683" width="9.1796875" style="546"/>
    <col min="7684" max="7684" width="82.54296875" style="546" bestFit="1" customWidth="1"/>
    <col min="7685" max="7687" width="28.54296875" style="546" customWidth="1"/>
    <col min="7688" max="7939" width="9.1796875" style="546"/>
    <col min="7940" max="7940" width="82.54296875" style="546" bestFit="1" customWidth="1"/>
    <col min="7941" max="7943" width="28.54296875" style="546" customWidth="1"/>
    <col min="7944" max="8195" width="9.1796875" style="546"/>
    <col min="8196" max="8196" width="82.54296875" style="546" bestFit="1" customWidth="1"/>
    <col min="8197" max="8199" width="28.54296875" style="546" customWidth="1"/>
    <col min="8200" max="8451" width="9.1796875" style="546"/>
    <col min="8452" max="8452" width="82.54296875" style="546" bestFit="1" customWidth="1"/>
    <col min="8453" max="8455" width="28.54296875" style="546" customWidth="1"/>
    <col min="8456" max="8707" width="9.1796875" style="546"/>
    <col min="8708" max="8708" width="82.54296875" style="546" bestFit="1" customWidth="1"/>
    <col min="8709" max="8711" width="28.54296875" style="546" customWidth="1"/>
    <col min="8712" max="8963" width="9.1796875" style="546"/>
    <col min="8964" max="8964" width="82.54296875" style="546" bestFit="1" customWidth="1"/>
    <col min="8965" max="8967" width="28.54296875" style="546" customWidth="1"/>
    <col min="8968" max="9219" width="9.1796875" style="546"/>
    <col min="9220" max="9220" width="82.54296875" style="546" bestFit="1" customWidth="1"/>
    <col min="9221" max="9223" width="28.54296875" style="546" customWidth="1"/>
    <col min="9224" max="9475" width="9.1796875" style="546"/>
    <col min="9476" max="9476" width="82.54296875" style="546" bestFit="1" customWidth="1"/>
    <col min="9477" max="9479" width="28.54296875" style="546" customWidth="1"/>
    <col min="9480" max="9731" width="9.1796875" style="546"/>
    <col min="9732" max="9732" width="82.54296875" style="546" bestFit="1" customWidth="1"/>
    <col min="9733" max="9735" width="28.54296875" style="546" customWidth="1"/>
    <col min="9736" max="9987" width="9.1796875" style="546"/>
    <col min="9988" max="9988" width="82.54296875" style="546" bestFit="1" customWidth="1"/>
    <col min="9989" max="9991" width="28.54296875" style="546" customWidth="1"/>
    <col min="9992" max="10243" width="9.1796875" style="546"/>
    <col min="10244" max="10244" width="82.54296875" style="546" bestFit="1" customWidth="1"/>
    <col min="10245" max="10247" width="28.54296875" style="546" customWidth="1"/>
    <col min="10248" max="10499" width="9.1796875" style="546"/>
    <col min="10500" max="10500" width="82.54296875" style="546" bestFit="1" customWidth="1"/>
    <col min="10501" max="10503" width="28.54296875" style="546" customWidth="1"/>
    <col min="10504" max="10755" width="9.1796875" style="546"/>
    <col min="10756" max="10756" width="82.54296875" style="546" bestFit="1" customWidth="1"/>
    <col min="10757" max="10759" width="28.54296875" style="546" customWidth="1"/>
    <col min="10760" max="11011" width="9.1796875" style="546"/>
    <col min="11012" max="11012" width="82.54296875" style="546" bestFit="1" customWidth="1"/>
    <col min="11013" max="11015" width="28.54296875" style="546" customWidth="1"/>
    <col min="11016" max="11267" width="9.1796875" style="546"/>
    <col min="11268" max="11268" width="82.54296875" style="546" bestFit="1" customWidth="1"/>
    <col min="11269" max="11271" width="28.54296875" style="546" customWidth="1"/>
    <col min="11272" max="11523" width="9.1796875" style="546"/>
    <col min="11524" max="11524" width="82.54296875" style="546" bestFit="1" customWidth="1"/>
    <col min="11525" max="11527" width="28.54296875" style="546" customWidth="1"/>
    <col min="11528" max="11779" width="9.1796875" style="546"/>
    <col min="11780" max="11780" width="82.54296875" style="546" bestFit="1" customWidth="1"/>
    <col min="11781" max="11783" width="28.54296875" style="546" customWidth="1"/>
    <col min="11784" max="12035" width="9.1796875" style="546"/>
    <col min="12036" max="12036" width="82.54296875" style="546" bestFit="1" customWidth="1"/>
    <col min="12037" max="12039" width="28.54296875" style="546" customWidth="1"/>
    <col min="12040" max="12291" width="9.1796875" style="546"/>
    <col min="12292" max="12292" width="82.54296875" style="546" bestFit="1" customWidth="1"/>
    <col min="12293" max="12295" width="28.54296875" style="546" customWidth="1"/>
    <col min="12296" max="12547" width="9.1796875" style="546"/>
    <col min="12548" max="12548" width="82.54296875" style="546" bestFit="1" customWidth="1"/>
    <col min="12549" max="12551" width="28.54296875" style="546" customWidth="1"/>
    <col min="12552" max="12803" width="9.1796875" style="546"/>
    <col min="12804" max="12804" width="82.54296875" style="546" bestFit="1" customWidth="1"/>
    <col min="12805" max="12807" width="28.54296875" style="546" customWidth="1"/>
    <col min="12808" max="13059" width="9.1796875" style="546"/>
    <col min="13060" max="13060" width="82.54296875" style="546" bestFit="1" customWidth="1"/>
    <col min="13061" max="13063" width="28.54296875" style="546" customWidth="1"/>
    <col min="13064" max="13315" width="9.1796875" style="546"/>
    <col min="13316" max="13316" width="82.54296875" style="546" bestFit="1" customWidth="1"/>
    <col min="13317" max="13319" width="28.54296875" style="546" customWidth="1"/>
    <col min="13320" max="13571" width="9.1796875" style="546"/>
    <col min="13572" max="13572" width="82.54296875" style="546" bestFit="1" customWidth="1"/>
    <col min="13573" max="13575" width="28.54296875" style="546" customWidth="1"/>
    <col min="13576" max="13827" width="9.1796875" style="546"/>
    <col min="13828" max="13828" width="82.54296875" style="546" bestFit="1" customWidth="1"/>
    <col min="13829" max="13831" width="28.54296875" style="546" customWidth="1"/>
    <col min="13832" max="14083" width="9.1796875" style="546"/>
    <col min="14084" max="14084" width="82.54296875" style="546" bestFit="1" customWidth="1"/>
    <col min="14085" max="14087" width="28.54296875" style="546" customWidth="1"/>
    <col min="14088" max="14339" width="9.1796875" style="546"/>
    <col min="14340" max="14340" width="82.54296875" style="546" bestFit="1" customWidth="1"/>
    <col min="14341" max="14343" width="28.54296875" style="546" customWidth="1"/>
    <col min="14344" max="14595" width="9.1796875" style="546"/>
    <col min="14596" max="14596" width="82.54296875" style="546" bestFit="1" customWidth="1"/>
    <col min="14597" max="14599" width="28.54296875" style="546" customWidth="1"/>
    <col min="14600" max="14851" width="9.1796875" style="546"/>
    <col min="14852" max="14852" width="82.54296875" style="546" bestFit="1" customWidth="1"/>
    <col min="14853" max="14855" width="28.54296875" style="546" customWidth="1"/>
    <col min="14856" max="15107" width="9.1796875" style="546"/>
    <col min="15108" max="15108" width="82.54296875" style="546" bestFit="1" customWidth="1"/>
    <col min="15109" max="15111" width="28.54296875" style="546" customWidth="1"/>
    <col min="15112" max="15363" width="9.1796875" style="546"/>
    <col min="15364" max="15364" width="82.54296875" style="546" bestFit="1" customWidth="1"/>
    <col min="15365" max="15367" width="28.54296875" style="546" customWidth="1"/>
    <col min="15368" max="15619" width="9.1796875" style="546"/>
    <col min="15620" max="15620" width="82.54296875" style="546" bestFit="1" customWidth="1"/>
    <col min="15621" max="15623" width="28.54296875" style="546" customWidth="1"/>
    <col min="15624" max="15875" width="9.1796875" style="546"/>
    <col min="15876" max="15876" width="82.54296875" style="546" bestFit="1" customWidth="1"/>
    <col min="15877" max="15879" width="28.54296875" style="546" customWidth="1"/>
    <col min="15880" max="16131" width="9.1796875" style="546"/>
    <col min="16132" max="16132" width="82.54296875" style="546" bestFit="1" customWidth="1"/>
    <col min="16133" max="16135" width="28.54296875" style="546" customWidth="1"/>
    <col min="16136" max="16384" width="9.1796875" style="546"/>
  </cols>
  <sheetData>
    <row r="1" spans="2:10" x14ac:dyDescent="0.3">
      <c r="B1" s="562"/>
    </row>
    <row r="2" spans="2:10" x14ac:dyDescent="0.3">
      <c r="B2" s="17"/>
      <c r="C2" s="62" t="str">
        <f>Index!B2</f>
        <v xml:space="preserve">      Maharashtra State Power Generation Company Ltd.</v>
      </c>
      <c r="D2" s="62"/>
      <c r="E2" s="62"/>
      <c r="F2" s="17"/>
      <c r="G2" s="17"/>
    </row>
    <row r="3" spans="2:10" x14ac:dyDescent="0.3">
      <c r="B3" s="572"/>
      <c r="C3" s="63" t="s">
        <v>3039</v>
      </c>
      <c r="D3" s="63"/>
      <c r="E3" s="63"/>
      <c r="F3" s="572"/>
      <c r="G3" s="572"/>
    </row>
    <row r="4" spans="2:10" x14ac:dyDescent="0.3">
      <c r="B4" s="17"/>
      <c r="C4" s="628" t="s">
        <v>1062</v>
      </c>
      <c r="D4" s="628"/>
      <c r="E4" s="628"/>
      <c r="F4" s="17"/>
      <c r="G4" s="17"/>
      <c r="J4" s="62"/>
    </row>
    <row r="5" spans="2:10" x14ac:dyDescent="0.3">
      <c r="G5" s="637" t="s">
        <v>10</v>
      </c>
      <c r="J5" s="63"/>
    </row>
    <row r="6" spans="2:10" s="638" customFormat="1" x14ac:dyDescent="0.3">
      <c r="B6" s="564" t="s">
        <v>1063</v>
      </c>
      <c r="C6" s="564" t="s">
        <v>849</v>
      </c>
      <c r="D6" s="564" t="s">
        <v>850</v>
      </c>
      <c r="E6" s="564" t="s">
        <v>851</v>
      </c>
      <c r="F6" s="564" t="s">
        <v>852</v>
      </c>
      <c r="G6" s="564" t="s">
        <v>853</v>
      </c>
      <c r="J6" s="628"/>
    </row>
    <row r="7" spans="2:10" x14ac:dyDescent="0.3">
      <c r="B7" s="551"/>
      <c r="C7" s="577" t="s">
        <v>1064</v>
      </c>
      <c r="D7" s="577"/>
      <c r="E7" s="577"/>
      <c r="F7" s="577"/>
      <c r="G7" s="577"/>
    </row>
    <row r="8" spans="2:10" x14ac:dyDescent="0.3">
      <c r="B8" s="639" t="s">
        <v>1065</v>
      </c>
      <c r="C8" s="900"/>
      <c r="D8" s="900"/>
      <c r="E8" s="900"/>
      <c r="F8" s="900"/>
      <c r="G8" s="900"/>
    </row>
    <row r="9" spans="2:10" x14ac:dyDescent="0.3">
      <c r="B9" s="640"/>
      <c r="C9" s="577"/>
      <c r="D9" s="577"/>
      <c r="E9" s="577"/>
      <c r="F9" s="577"/>
      <c r="G9" s="577"/>
    </row>
    <row r="10" spans="2:10" x14ac:dyDescent="0.3">
      <c r="B10" s="640" t="s">
        <v>1066</v>
      </c>
      <c r="C10" s="577"/>
      <c r="D10" s="577"/>
      <c r="E10" s="577"/>
      <c r="F10" s="577"/>
      <c r="G10" s="577"/>
    </row>
    <row r="11" spans="2:10" x14ac:dyDescent="0.3">
      <c r="B11" s="639" t="s">
        <v>963</v>
      </c>
      <c r="C11" s="577"/>
      <c r="D11" s="577"/>
      <c r="E11" s="577"/>
      <c r="F11" s="577"/>
      <c r="G11" s="577"/>
    </row>
    <row r="12" spans="2:10" x14ac:dyDescent="0.3">
      <c r="B12" s="639" t="s">
        <v>964</v>
      </c>
      <c r="C12" s="577"/>
      <c r="D12" s="577"/>
      <c r="E12" s="577"/>
      <c r="F12" s="577"/>
      <c r="G12" s="577"/>
    </row>
    <row r="13" spans="2:10" x14ac:dyDescent="0.3">
      <c r="B13" s="639" t="s">
        <v>961</v>
      </c>
      <c r="C13" s="577"/>
      <c r="D13" s="577"/>
      <c r="E13" s="577"/>
      <c r="F13" s="577"/>
      <c r="G13" s="577"/>
    </row>
    <row r="14" spans="2:10" x14ac:dyDescent="0.3">
      <c r="B14" s="553" t="s">
        <v>1017</v>
      </c>
      <c r="C14" s="577"/>
      <c r="D14" s="577"/>
      <c r="E14" s="577"/>
      <c r="F14" s="577"/>
      <c r="G14" s="577"/>
    </row>
    <row r="15" spans="2:10" x14ac:dyDescent="0.3">
      <c r="B15" s="551"/>
      <c r="C15" s="577"/>
      <c r="D15" s="577"/>
      <c r="E15" s="577"/>
      <c r="F15" s="577"/>
      <c r="G15" s="577"/>
    </row>
    <row r="16" spans="2:10" x14ac:dyDescent="0.3">
      <c r="B16" s="641" t="s">
        <v>1067</v>
      </c>
      <c r="C16" s="577"/>
      <c r="D16" s="577"/>
      <c r="E16" s="577"/>
      <c r="F16" s="577"/>
      <c r="G16" s="577"/>
    </row>
    <row r="17" spans="2:7" x14ac:dyDescent="0.3">
      <c r="B17" s="553" t="s">
        <v>1068</v>
      </c>
      <c r="C17" s="577"/>
      <c r="D17" s="577"/>
      <c r="E17" s="577"/>
      <c r="F17" s="577"/>
      <c r="G17" s="577"/>
    </row>
    <row r="18" spans="2:7" x14ac:dyDescent="0.3">
      <c r="B18" s="553" t="s">
        <v>1069</v>
      </c>
      <c r="C18" s="577"/>
      <c r="D18" s="577"/>
      <c r="E18" s="577"/>
      <c r="F18" s="577"/>
      <c r="G18" s="577"/>
    </row>
    <row r="19" spans="2:7" x14ac:dyDescent="0.3">
      <c r="B19" s="551"/>
      <c r="C19" s="577"/>
      <c r="D19" s="577"/>
      <c r="E19" s="577"/>
      <c r="F19" s="577"/>
      <c r="G19" s="577"/>
    </row>
    <row r="20" spans="2:7" x14ac:dyDescent="0.3">
      <c r="B20" s="553" t="s">
        <v>267</v>
      </c>
      <c r="C20" s="577"/>
      <c r="D20" s="577"/>
      <c r="E20" s="577"/>
      <c r="F20" s="577"/>
      <c r="G20" s="577"/>
    </row>
    <row r="21" spans="2:7" x14ac:dyDescent="0.3">
      <c r="C21" s="569"/>
      <c r="D21" s="569"/>
      <c r="E21" s="569"/>
      <c r="F21" s="642"/>
      <c r="G21" s="610"/>
    </row>
    <row r="29" spans="2:7" x14ac:dyDescent="0.3">
      <c r="C29" s="571"/>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6"/>
  <sheetViews>
    <sheetView view="pageBreakPreview" topLeftCell="H1" zoomScale="67" zoomScaleSheetLayoutView="94" workbookViewId="0">
      <pane ySplit="7" topLeftCell="A27" activePane="bottomLeft" state="frozen"/>
      <selection activeCell="B1" sqref="B1"/>
      <selection pane="bottomLeft" activeCell="AF27" sqref="AF27"/>
    </sheetView>
  </sheetViews>
  <sheetFormatPr defaultColWidth="9.1796875" defaultRowHeight="14" x14ac:dyDescent="0.3"/>
  <cols>
    <col min="1" max="1" width="2.81640625" style="940" customWidth="1"/>
    <col min="2" max="2" width="9.54296875" style="940" customWidth="1"/>
    <col min="3" max="3" width="36.453125" style="940" customWidth="1"/>
    <col min="4" max="13" width="9.1796875" style="940" customWidth="1"/>
    <col min="14" max="15" width="10.1796875" style="940" bestFit="1" customWidth="1"/>
    <col min="16" max="16" width="10.453125" style="940" bestFit="1" customWidth="1"/>
    <col min="17" max="31" width="10.1796875" style="940" bestFit="1" customWidth="1"/>
    <col min="32" max="32" width="11.453125" style="940" bestFit="1" customWidth="1"/>
    <col min="33" max="33" width="19.453125" style="940" bestFit="1" customWidth="1"/>
    <col min="34" max="35" width="9.1796875" style="940"/>
    <col min="36" max="36" width="11.453125" style="940" customWidth="1"/>
    <col min="37" max="37" width="10.453125" style="940" customWidth="1"/>
    <col min="38" max="245" width="9.1796875" style="940"/>
    <col min="246" max="246" width="2.81640625" style="940" customWidth="1"/>
    <col min="247" max="247" width="13.1796875" style="940" customWidth="1"/>
    <col min="248" max="248" width="60.453125" style="940" customWidth="1"/>
    <col min="249" max="253" width="10.81640625" style="940" bestFit="1" customWidth="1"/>
    <col min="254" max="254" width="11.81640625" style="940" bestFit="1" customWidth="1"/>
    <col min="255" max="255" width="14.453125" style="940" bestFit="1" customWidth="1"/>
    <col min="256" max="256" width="17.453125" style="940" bestFit="1" customWidth="1"/>
    <col min="257" max="259" width="17.54296875" style="940" bestFit="1" customWidth="1"/>
    <col min="260" max="266" width="21" style="940" bestFit="1" customWidth="1"/>
    <col min="267" max="274" width="21.1796875" style="940" bestFit="1" customWidth="1"/>
    <col min="275" max="275" width="22.54296875" style="940" customWidth="1"/>
    <col min="276" max="276" width="22" style="940" customWidth="1"/>
    <col min="277" max="277" width="22.54296875" style="940" customWidth="1"/>
    <col min="278" max="283" width="21.1796875" style="940" bestFit="1" customWidth="1"/>
    <col min="284" max="284" width="19.54296875" style="940" customWidth="1"/>
    <col min="285" max="285" width="21.1796875" style="940" bestFit="1" customWidth="1"/>
    <col min="286" max="286" width="22.54296875" style="940" customWidth="1"/>
    <col min="287" max="287" width="22" style="940" customWidth="1"/>
    <col min="288" max="288" width="23.453125" style="940" bestFit="1" customWidth="1"/>
    <col min="289" max="291" width="9.1796875" style="940"/>
    <col min="292" max="292" width="11.453125" style="940" customWidth="1"/>
    <col min="293" max="293" width="10.453125" style="940" customWidth="1"/>
    <col min="294" max="501" width="9.1796875" style="940"/>
    <col min="502" max="502" width="2.81640625" style="940" customWidth="1"/>
    <col min="503" max="503" width="13.1796875" style="940" customWidth="1"/>
    <col min="504" max="504" width="60.453125" style="940" customWidth="1"/>
    <col min="505" max="509" width="10.81640625" style="940" bestFit="1" customWidth="1"/>
    <col min="510" max="510" width="11.81640625" style="940" bestFit="1" customWidth="1"/>
    <col min="511" max="511" width="14.453125" style="940" bestFit="1" customWidth="1"/>
    <col min="512" max="512" width="17.453125" style="940" bestFit="1" customWidth="1"/>
    <col min="513" max="515" width="17.54296875" style="940" bestFit="1" customWidth="1"/>
    <col min="516" max="522" width="21" style="940" bestFit="1" customWidth="1"/>
    <col min="523" max="530" width="21.1796875" style="940" bestFit="1" customWidth="1"/>
    <col min="531" max="531" width="22.54296875" style="940" customWidth="1"/>
    <col min="532" max="532" width="22" style="940" customWidth="1"/>
    <col min="533" max="533" width="22.54296875" style="940" customWidth="1"/>
    <col min="534" max="539" width="21.1796875" style="940" bestFit="1" customWidth="1"/>
    <col min="540" max="540" width="19.54296875" style="940" customWidth="1"/>
    <col min="541" max="541" width="21.1796875" style="940" bestFit="1" customWidth="1"/>
    <col min="542" max="542" width="22.54296875" style="940" customWidth="1"/>
    <col min="543" max="543" width="22" style="940" customWidth="1"/>
    <col min="544" max="544" width="23.453125" style="940" bestFit="1" customWidth="1"/>
    <col min="545" max="547" width="9.1796875" style="940"/>
    <col min="548" max="548" width="11.453125" style="940" customWidth="1"/>
    <col min="549" max="549" width="10.453125" style="940" customWidth="1"/>
    <col min="550" max="757" width="9.1796875" style="940"/>
    <col min="758" max="758" width="2.81640625" style="940" customWidth="1"/>
    <col min="759" max="759" width="13.1796875" style="940" customWidth="1"/>
    <col min="760" max="760" width="60.453125" style="940" customWidth="1"/>
    <col min="761" max="765" width="10.81640625" style="940" bestFit="1" customWidth="1"/>
    <col min="766" max="766" width="11.81640625" style="940" bestFit="1" customWidth="1"/>
    <col min="767" max="767" width="14.453125" style="940" bestFit="1" customWidth="1"/>
    <col min="768" max="768" width="17.453125" style="940" bestFit="1" customWidth="1"/>
    <col min="769" max="771" width="17.54296875" style="940" bestFit="1" customWidth="1"/>
    <col min="772" max="778" width="21" style="940" bestFit="1" customWidth="1"/>
    <col min="779" max="786" width="21.1796875" style="940" bestFit="1" customWidth="1"/>
    <col min="787" max="787" width="22.54296875" style="940" customWidth="1"/>
    <col min="788" max="788" width="22" style="940" customWidth="1"/>
    <col min="789" max="789" width="22.54296875" style="940" customWidth="1"/>
    <col min="790" max="795" width="21.1796875" style="940" bestFit="1" customWidth="1"/>
    <col min="796" max="796" width="19.54296875" style="940" customWidth="1"/>
    <col min="797" max="797" width="21.1796875" style="940" bestFit="1" customWidth="1"/>
    <col min="798" max="798" width="22.54296875" style="940" customWidth="1"/>
    <col min="799" max="799" width="22" style="940" customWidth="1"/>
    <col min="800" max="800" width="23.453125" style="940" bestFit="1" customWidth="1"/>
    <col min="801" max="803" width="9.1796875" style="940"/>
    <col min="804" max="804" width="11.453125" style="940" customWidth="1"/>
    <col min="805" max="805" width="10.453125" style="940" customWidth="1"/>
    <col min="806" max="1013" width="9.1796875" style="940"/>
    <col min="1014" max="1014" width="2.81640625" style="940" customWidth="1"/>
    <col min="1015" max="1015" width="13.1796875" style="940" customWidth="1"/>
    <col min="1016" max="1016" width="60.453125" style="940" customWidth="1"/>
    <col min="1017" max="1021" width="10.81640625" style="940" bestFit="1" customWidth="1"/>
    <col min="1022" max="1022" width="11.81640625" style="940" bestFit="1" customWidth="1"/>
    <col min="1023" max="1023" width="14.453125" style="940" bestFit="1" customWidth="1"/>
    <col min="1024" max="1024" width="17.453125" style="940" bestFit="1" customWidth="1"/>
    <col min="1025" max="1027" width="17.54296875" style="940" bestFit="1" customWidth="1"/>
    <col min="1028" max="1034" width="21" style="940" bestFit="1" customWidth="1"/>
    <col min="1035" max="1042" width="21.1796875" style="940" bestFit="1" customWidth="1"/>
    <col min="1043" max="1043" width="22.54296875" style="940" customWidth="1"/>
    <col min="1044" max="1044" width="22" style="940" customWidth="1"/>
    <col min="1045" max="1045" width="22.54296875" style="940" customWidth="1"/>
    <col min="1046" max="1051" width="21.1796875" style="940" bestFit="1" customWidth="1"/>
    <col min="1052" max="1052" width="19.54296875" style="940" customWidth="1"/>
    <col min="1053" max="1053" width="21.1796875" style="940" bestFit="1" customWidth="1"/>
    <col min="1054" max="1054" width="22.54296875" style="940" customWidth="1"/>
    <col min="1055" max="1055" width="22" style="940" customWidth="1"/>
    <col min="1056" max="1056" width="23.453125" style="940" bestFit="1" customWidth="1"/>
    <col min="1057" max="1059" width="9.1796875" style="940"/>
    <col min="1060" max="1060" width="11.453125" style="940" customWidth="1"/>
    <col min="1061" max="1061" width="10.453125" style="940" customWidth="1"/>
    <col min="1062" max="1269" width="9.1796875" style="940"/>
    <col min="1270" max="1270" width="2.81640625" style="940" customWidth="1"/>
    <col min="1271" max="1271" width="13.1796875" style="940" customWidth="1"/>
    <col min="1272" max="1272" width="60.453125" style="940" customWidth="1"/>
    <col min="1273" max="1277" width="10.81640625" style="940" bestFit="1" customWidth="1"/>
    <col min="1278" max="1278" width="11.81640625" style="940" bestFit="1" customWidth="1"/>
    <col min="1279" max="1279" width="14.453125" style="940" bestFit="1" customWidth="1"/>
    <col min="1280" max="1280" width="17.453125" style="940" bestFit="1" customWidth="1"/>
    <col min="1281" max="1283" width="17.54296875" style="940" bestFit="1" customWidth="1"/>
    <col min="1284" max="1290" width="21" style="940" bestFit="1" customWidth="1"/>
    <col min="1291" max="1298" width="21.1796875" style="940" bestFit="1" customWidth="1"/>
    <col min="1299" max="1299" width="22.54296875" style="940" customWidth="1"/>
    <col min="1300" max="1300" width="22" style="940" customWidth="1"/>
    <col min="1301" max="1301" width="22.54296875" style="940" customWidth="1"/>
    <col min="1302" max="1307" width="21.1796875" style="940" bestFit="1" customWidth="1"/>
    <col min="1308" max="1308" width="19.54296875" style="940" customWidth="1"/>
    <col min="1309" max="1309" width="21.1796875" style="940" bestFit="1" customWidth="1"/>
    <col min="1310" max="1310" width="22.54296875" style="940" customWidth="1"/>
    <col min="1311" max="1311" width="22" style="940" customWidth="1"/>
    <col min="1312" max="1312" width="23.453125" style="940" bestFit="1" customWidth="1"/>
    <col min="1313" max="1315" width="9.1796875" style="940"/>
    <col min="1316" max="1316" width="11.453125" style="940" customWidth="1"/>
    <col min="1317" max="1317" width="10.453125" style="940" customWidth="1"/>
    <col min="1318" max="1525" width="9.1796875" style="940"/>
    <col min="1526" max="1526" width="2.81640625" style="940" customWidth="1"/>
    <col min="1527" max="1527" width="13.1796875" style="940" customWidth="1"/>
    <col min="1528" max="1528" width="60.453125" style="940" customWidth="1"/>
    <col min="1529" max="1533" width="10.81640625" style="940" bestFit="1" customWidth="1"/>
    <col min="1534" max="1534" width="11.81640625" style="940" bestFit="1" customWidth="1"/>
    <col min="1535" max="1535" width="14.453125" style="940" bestFit="1" customWidth="1"/>
    <col min="1536" max="1536" width="17.453125" style="940" bestFit="1" customWidth="1"/>
    <col min="1537" max="1539" width="17.54296875" style="940" bestFit="1" customWidth="1"/>
    <col min="1540" max="1546" width="21" style="940" bestFit="1" customWidth="1"/>
    <col min="1547" max="1554" width="21.1796875" style="940" bestFit="1" customWidth="1"/>
    <col min="1555" max="1555" width="22.54296875" style="940" customWidth="1"/>
    <col min="1556" max="1556" width="22" style="940" customWidth="1"/>
    <col min="1557" max="1557" width="22.54296875" style="940" customWidth="1"/>
    <col min="1558" max="1563" width="21.1796875" style="940" bestFit="1" customWidth="1"/>
    <col min="1564" max="1564" width="19.54296875" style="940" customWidth="1"/>
    <col min="1565" max="1565" width="21.1796875" style="940" bestFit="1" customWidth="1"/>
    <col min="1566" max="1566" width="22.54296875" style="940" customWidth="1"/>
    <col min="1567" max="1567" width="22" style="940" customWidth="1"/>
    <col min="1568" max="1568" width="23.453125" style="940" bestFit="1" customWidth="1"/>
    <col min="1569" max="1571" width="9.1796875" style="940"/>
    <col min="1572" max="1572" width="11.453125" style="940" customWidth="1"/>
    <col min="1573" max="1573" width="10.453125" style="940" customWidth="1"/>
    <col min="1574" max="1781" width="9.1796875" style="940"/>
    <col min="1782" max="1782" width="2.81640625" style="940" customWidth="1"/>
    <col min="1783" max="1783" width="13.1796875" style="940" customWidth="1"/>
    <col min="1784" max="1784" width="60.453125" style="940" customWidth="1"/>
    <col min="1785" max="1789" width="10.81640625" style="940" bestFit="1" customWidth="1"/>
    <col min="1790" max="1790" width="11.81640625" style="940" bestFit="1" customWidth="1"/>
    <col min="1791" max="1791" width="14.453125" style="940" bestFit="1" customWidth="1"/>
    <col min="1792" max="1792" width="17.453125" style="940" bestFit="1" customWidth="1"/>
    <col min="1793" max="1795" width="17.54296875" style="940" bestFit="1" customWidth="1"/>
    <col min="1796" max="1802" width="21" style="940" bestFit="1" customWidth="1"/>
    <col min="1803" max="1810" width="21.1796875" style="940" bestFit="1" customWidth="1"/>
    <col min="1811" max="1811" width="22.54296875" style="940" customWidth="1"/>
    <col min="1812" max="1812" width="22" style="940" customWidth="1"/>
    <col min="1813" max="1813" width="22.54296875" style="940" customWidth="1"/>
    <col min="1814" max="1819" width="21.1796875" style="940" bestFit="1" customWidth="1"/>
    <col min="1820" max="1820" width="19.54296875" style="940" customWidth="1"/>
    <col min="1821" max="1821" width="21.1796875" style="940" bestFit="1" customWidth="1"/>
    <col min="1822" max="1822" width="22.54296875" style="940" customWidth="1"/>
    <col min="1823" max="1823" width="22" style="940" customWidth="1"/>
    <col min="1824" max="1824" width="23.453125" style="940" bestFit="1" customWidth="1"/>
    <col min="1825" max="1827" width="9.1796875" style="940"/>
    <col min="1828" max="1828" width="11.453125" style="940" customWidth="1"/>
    <col min="1829" max="1829" width="10.453125" style="940" customWidth="1"/>
    <col min="1830" max="2037" width="9.1796875" style="940"/>
    <col min="2038" max="2038" width="2.81640625" style="940" customWidth="1"/>
    <col min="2039" max="2039" width="13.1796875" style="940" customWidth="1"/>
    <col min="2040" max="2040" width="60.453125" style="940" customWidth="1"/>
    <col min="2041" max="2045" width="10.81640625" style="940" bestFit="1" customWidth="1"/>
    <col min="2046" max="2046" width="11.81640625" style="940" bestFit="1" customWidth="1"/>
    <col min="2047" max="2047" width="14.453125" style="940" bestFit="1" customWidth="1"/>
    <col min="2048" max="2048" width="17.453125" style="940" bestFit="1" customWidth="1"/>
    <col min="2049" max="2051" width="17.54296875" style="940" bestFit="1" customWidth="1"/>
    <col min="2052" max="2058" width="21" style="940" bestFit="1" customWidth="1"/>
    <col min="2059" max="2066" width="21.1796875" style="940" bestFit="1" customWidth="1"/>
    <col min="2067" max="2067" width="22.54296875" style="940" customWidth="1"/>
    <col min="2068" max="2068" width="22" style="940" customWidth="1"/>
    <col min="2069" max="2069" width="22.54296875" style="940" customWidth="1"/>
    <col min="2070" max="2075" width="21.1796875" style="940" bestFit="1" customWidth="1"/>
    <col min="2076" max="2076" width="19.54296875" style="940" customWidth="1"/>
    <col min="2077" max="2077" width="21.1796875" style="940" bestFit="1" customWidth="1"/>
    <col min="2078" max="2078" width="22.54296875" style="940" customWidth="1"/>
    <col min="2079" max="2079" width="22" style="940" customWidth="1"/>
    <col min="2080" max="2080" width="23.453125" style="940" bestFit="1" customWidth="1"/>
    <col min="2081" max="2083" width="9.1796875" style="940"/>
    <col min="2084" max="2084" width="11.453125" style="940" customWidth="1"/>
    <col min="2085" max="2085" width="10.453125" style="940" customWidth="1"/>
    <col min="2086" max="2293" width="9.1796875" style="940"/>
    <col min="2294" max="2294" width="2.81640625" style="940" customWidth="1"/>
    <col min="2295" max="2295" width="13.1796875" style="940" customWidth="1"/>
    <col min="2296" max="2296" width="60.453125" style="940" customWidth="1"/>
    <col min="2297" max="2301" width="10.81640625" style="940" bestFit="1" customWidth="1"/>
    <col min="2302" max="2302" width="11.81640625" style="940" bestFit="1" customWidth="1"/>
    <col min="2303" max="2303" width="14.453125" style="940" bestFit="1" customWidth="1"/>
    <col min="2304" max="2304" width="17.453125" style="940" bestFit="1" customWidth="1"/>
    <col min="2305" max="2307" width="17.54296875" style="940" bestFit="1" customWidth="1"/>
    <col min="2308" max="2314" width="21" style="940" bestFit="1" customWidth="1"/>
    <col min="2315" max="2322" width="21.1796875" style="940" bestFit="1" customWidth="1"/>
    <col min="2323" max="2323" width="22.54296875" style="940" customWidth="1"/>
    <col min="2324" max="2324" width="22" style="940" customWidth="1"/>
    <col min="2325" max="2325" width="22.54296875" style="940" customWidth="1"/>
    <col min="2326" max="2331" width="21.1796875" style="940" bestFit="1" customWidth="1"/>
    <col min="2332" max="2332" width="19.54296875" style="940" customWidth="1"/>
    <col min="2333" max="2333" width="21.1796875" style="940" bestFit="1" customWidth="1"/>
    <col min="2334" max="2334" width="22.54296875" style="940" customWidth="1"/>
    <col min="2335" max="2335" width="22" style="940" customWidth="1"/>
    <col min="2336" max="2336" width="23.453125" style="940" bestFit="1" customWidth="1"/>
    <col min="2337" max="2339" width="9.1796875" style="940"/>
    <col min="2340" max="2340" width="11.453125" style="940" customWidth="1"/>
    <col min="2341" max="2341" width="10.453125" style="940" customWidth="1"/>
    <col min="2342" max="2549" width="9.1796875" style="940"/>
    <col min="2550" max="2550" width="2.81640625" style="940" customWidth="1"/>
    <col min="2551" max="2551" width="13.1796875" style="940" customWidth="1"/>
    <col min="2552" max="2552" width="60.453125" style="940" customWidth="1"/>
    <col min="2553" max="2557" width="10.81640625" style="940" bestFit="1" customWidth="1"/>
    <col min="2558" max="2558" width="11.81640625" style="940" bestFit="1" customWidth="1"/>
    <col min="2559" max="2559" width="14.453125" style="940" bestFit="1" customWidth="1"/>
    <col min="2560" max="2560" width="17.453125" style="940" bestFit="1" customWidth="1"/>
    <col min="2561" max="2563" width="17.54296875" style="940" bestFit="1" customWidth="1"/>
    <col min="2564" max="2570" width="21" style="940" bestFit="1" customWidth="1"/>
    <col min="2571" max="2578" width="21.1796875" style="940" bestFit="1" customWidth="1"/>
    <col min="2579" max="2579" width="22.54296875" style="940" customWidth="1"/>
    <col min="2580" max="2580" width="22" style="940" customWidth="1"/>
    <col min="2581" max="2581" width="22.54296875" style="940" customWidth="1"/>
    <col min="2582" max="2587" width="21.1796875" style="940" bestFit="1" customWidth="1"/>
    <col min="2588" max="2588" width="19.54296875" style="940" customWidth="1"/>
    <col min="2589" max="2589" width="21.1796875" style="940" bestFit="1" customWidth="1"/>
    <col min="2590" max="2590" width="22.54296875" style="940" customWidth="1"/>
    <col min="2591" max="2591" width="22" style="940" customWidth="1"/>
    <col min="2592" max="2592" width="23.453125" style="940" bestFit="1" customWidth="1"/>
    <col min="2593" max="2595" width="9.1796875" style="940"/>
    <col min="2596" max="2596" width="11.453125" style="940" customWidth="1"/>
    <col min="2597" max="2597" width="10.453125" style="940" customWidth="1"/>
    <col min="2598" max="2805" width="9.1796875" style="940"/>
    <col min="2806" max="2806" width="2.81640625" style="940" customWidth="1"/>
    <col min="2807" max="2807" width="13.1796875" style="940" customWidth="1"/>
    <col min="2808" max="2808" width="60.453125" style="940" customWidth="1"/>
    <col min="2809" max="2813" width="10.81640625" style="940" bestFit="1" customWidth="1"/>
    <col min="2814" max="2814" width="11.81640625" style="940" bestFit="1" customWidth="1"/>
    <col min="2815" max="2815" width="14.453125" style="940" bestFit="1" customWidth="1"/>
    <col min="2816" max="2816" width="17.453125" style="940" bestFit="1" customWidth="1"/>
    <col min="2817" max="2819" width="17.54296875" style="940" bestFit="1" customWidth="1"/>
    <col min="2820" max="2826" width="21" style="940" bestFit="1" customWidth="1"/>
    <col min="2827" max="2834" width="21.1796875" style="940" bestFit="1" customWidth="1"/>
    <col min="2835" max="2835" width="22.54296875" style="940" customWidth="1"/>
    <col min="2836" max="2836" width="22" style="940" customWidth="1"/>
    <col min="2837" max="2837" width="22.54296875" style="940" customWidth="1"/>
    <col min="2838" max="2843" width="21.1796875" style="940" bestFit="1" customWidth="1"/>
    <col min="2844" max="2844" width="19.54296875" style="940" customWidth="1"/>
    <col min="2845" max="2845" width="21.1796875" style="940" bestFit="1" customWidth="1"/>
    <col min="2846" max="2846" width="22.54296875" style="940" customWidth="1"/>
    <col min="2847" max="2847" width="22" style="940" customWidth="1"/>
    <col min="2848" max="2848" width="23.453125" style="940" bestFit="1" customWidth="1"/>
    <col min="2849" max="2851" width="9.1796875" style="940"/>
    <col min="2852" max="2852" width="11.453125" style="940" customWidth="1"/>
    <col min="2853" max="2853" width="10.453125" style="940" customWidth="1"/>
    <col min="2854" max="3061" width="9.1796875" style="940"/>
    <col min="3062" max="3062" width="2.81640625" style="940" customWidth="1"/>
    <col min="3063" max="3063" width="13.1796875" style="940" customWidth="1"/>
    <col min="3064" max="3064" width="60.453125" style="940" customWidth="1"/>
    <col min="3065" max="3069" width="10.81640625" style="940" bestFit="1" customWidth="1"/>
    <col min="3070" max="3070" width="11.81640625" style="940" bestFit="1" customWidth="1"/>
    <col min="3071" max="3071" width="14.453125" style="940" bestFit="1" customWidth="1"/>
    <col min="3072" max="3072" width="17.453125" style="940" bestFit="1" customWidth="1"/>
    <col min="3073" max="3075" width="17.54296875" style="940" bestFit="1" customWidth="1"/>
    <col min="3076" max="3082" width="21" style="940" bestFit="1" customWidth="1"/>
    <col min="3083" max="3090" width="21.1796875" style="940" bestFit="1" customWidth="1"/>
    <col min="3091" max="3091" width="22.54296875" style="940" customWidth="1"/>
    <col min="3092" max="3092" width="22" style="940" customWidth="1"/>
    <col min="3093" max="3093" width="22.54296875" style="940" customWidth="1"/>
    <col min="3094" max="3099" width="21.1796875" style="940" bestFit="1" customWidth="1"/>
    <col min="3100" max="3100" width="19.54296875" style="940" customWidth="1"/>
    <col min="3101" max="3101" width="21.1796875" style="940" bestFit="1" customWidth="1"/>
    <col min="3102" max="3102" width="22.54296875" style="940" customWidth="1"/>
    <col min="3103" max="3103" width="22" style="940" customWidth="1"/>
    <col min="3104" max="3104" width="23.453125" style="940" bestFit="1" customWidth="1"/>
    <col min="3105" max="3107" width="9.1796875" style="940"/>
    <col min="3108" max="3108" width="11.453125" style="940" customWidth="1"/>
    <col min="3109" max="3109" width="10.453125" style="940" customWidth="1"/>
    <col min="3110" max="3317" width="9.1796875" style="940"/>
    <col min="3318" max="3318" width="2.81640625" style="940" customWidth="1"/>
    <col min="3319" max="3319" width="13.1796875" style="940" customWidth="1"/>
    <col min="3320" max="3320" width="60.453125" style="940" customWidth="1"/>
    <col min="3321" max="3325" width="10.81640625" style="940" bestFit="1" customWidth="1"/>
    <col min="3326" max="3326" width="11.81640625" style="940" bestFit="1" customWidth="1"/>
    <col min="3327" max="3327" width="14.453125" style="940" bestFit="1" customWidth="1"/>
    <col min="3328" max="3328" width="17.453125" style="940" bestFit="1" customWidth="1"/>
    <col min="3329" max="3331" width="17.54296875" style="940" bestFit="1" customWidth="1"/>
    <col min="3332" max="3338" width="21" style="940" bestFit="1" customWidth="1"/>
    <col min="3339" max="3346" width="21.1796875" style="940" bestFit="1" customWidth="1"/>
    <col min="3347" max="3347" width="22.54296875" style="940" customWidth="1"/>
    <col min="3348" max="3348" width="22" style="940" customWidth="1"/>
    <col min="3349" max="3349" width="22.54296875" style="940" customWidth="1"/>
    <col min="3350" max="3355" width="21.1796875" style="940" bestFit="1" customWidth="1"/>
    <col min="3356" max="3356" width="19.54296875" style="940" customWidth="1"/>
    <col min="3357" max="3357" width="21.1796875" style="940" bestFit="1" customWidth="1"/>
    <col min="3358" max="3358" width="22.54296875" style="940" customWidth="1"/>
    <col min="3359" max="3359" width="22" style="940" customWidth="1"/>
    <col min="3360" max="3360" width="23.453125" style="940" bestFit="1" customWidth="1"/>
    <col min="3361" max="3363" width="9.1796875" style="940"/>
    <col min="3364" max="3364" width="11.453125" style="940" customWidth="1"/>
    <col min="3365" max="3365" width="10.453125" style="940" customWidth="1"/>
    <col min="3366" max="3573" width="9.1796875" style="940"/>
    <col min="3574" max="3574" width="2.81640625" style="940" customWidth="1"/>
    <col min="3575" max="3575" width="13.1796875" style="940" customWidth="1"/>
    <col min="3576" max="3576" width="60.453125" style="940" customWidth="1"/>
    <col min="3577" max="3581" width="10.81640625" style="940" bestFit="1" customWidth="1"/>
    <col min="3582" max="3582" width="11.81640625" style="940" bestFit="1" customWidth="1"/>
    <col min="3583" max="3583" width="14.453125" style="940" bestFit="1" customWidth="1"/>
    <col min="3584" max="3584" width="17.453125" style="940" bestFit="1" customWidth="1"/>
    <col min="3585" max="3587" width="17.54296875" style="940" bestFit="1" customWidth="1"/>
    <col min="3588" max="3594" width="21" style="940" bestFit="1" customWidth="1"/>
    <col min="3595" max="3602" width="21.1796875" style="940" bestFit="1" customWidth="1"/>
    <col min="3603" max="3603" width="22.54296875" style="940" customWidth="1"/>
    <col min="3604" max="3604" width="22" style="940" customWidth="1"/>
    <col min="3605" max="3605" width="22.54296875" style="940" customWidth="1"/>
    <col min="3606" max="3611" width="21.1796875" style="940" bestFit="1" customWidth="1"/>
    <col min="3612" max="3612" width="19.54296875" style="940" customWidth="1"/>
    <col min="3613" max="3613" width="21.1796875" style="940" bestFit="1" customWidth="1"/>
    <col min="3614" max="3614" width="22.54296875" style="940" customWidth="1"/>
    <col min="3615" max="3615" width="22" style="940" customWidth="1"/>
    <col min="3616" max="3616" width="23.453125" style="940" bestFit="1" customWidth="1"/>
    <col min="3617" max="3619" width="9.1796875" style="940"/>
    <col min="3620" max="3620" width="11.453125" style="940" customWidth="1"/>
    <col min="3621" max="3621" width="10.453125" style="940" customWidth="1"/>
    <col min="3622" max="3829" width="9.1796875" style="940"/>
    <col min="3830" max="3830" width="2.81640625" style="940" customWidth="1"/>
    <col min="3831" max="3831" width="13.1796875" style="940" customWidth="1"/>
    <col min="3832" max="3832" width="60.453125" style="940" customWidth="1"/>
    <col min="3833" max="3837" width="10.81640625" style="940" bestFit="1" customWidth="1"/>
    <col min="3838" max="3838" width="11.81640625" style="940" bestFit="1" customWidth="1"/>
    <col min="3839" max="3839" width="14.453125" style="940" bestFit="1" customWidth="1"/>
    <col min="3840" max="3840" width="17.453125" style="940" bestFit="1" customWidth="1"/>
    <col min="3841" max="3843" width="17.54296875" style="940" bestFit="1" customWidth="1"/>
    <col min="3844" max="3850" width="21" style="940" bestFit="1" customWidth="1"/>
    <col min="3851" max="3858" width="21.1796875" style="940" bestFit="1" customWidth="1"/>
    <col min="3859" max="3859" width="22.54296875" style="940" customWidth="1"/>
    <col min="3860" max="3860" width="22" style="940" customWidth="1"/>
    <col min="3861" max="3861" width="22.54296875" style="940" customWidth="1"/>
    <col min="3862" max="3867" width="21.1796875" style="940" bestFit="1" customWidth="1"/>
    <col min="3868" max="3868" width="19.54296875" style="940" customWidth="1"/>
    <col min="3869" max="3869" width="21.1796875" style="940" bestFit="1" customWidth="1"/>
    <col min="3870" max="3870" width="22.54296875" style="940" customWidth="1"/>
    <col min="3871" max="3871" width="22" style="940" customWidth="1"/>
    <col min="3872" max="3872" width="23.453125" style="940" bestFit="1" customWidth="1"/>
    <col min="3873" max="3875" width="9.1796875" style="940"/>
    <col min="3876" max="3876" width="11.453125" style="940" customWidth="1"/>
    <col min="3877" max="3877" width="10.453125" style="940" customWidth="1"/>
    <col min="3878" max="4085" width="9.1796875" style="940"/>
    <col min="4086" max="4086" width="2.81640625" style="940" customWidth="1"/>
    <col min="4087" max="4087" width="13.1796875" style="940" customWidth="1"/>
    <col min="4088" max="4088" width="60.453125" style="940" customWidth="1"/>
    <col min="4089" max="4093" width="10.81640625" style="940" bestFit="1" customWidth="1"/>
    <col min="4094" max="4094" width="11.81640625" style="940" bestFit="1" customWidth="1"/>
    <col min="4095" max="4095" width="14.453125" style="940" bestFit="1" customWidth="1"/>
    <col min="4096" max="4096" width="17.453125" style="940" bestFit="1" customWidth="1"/>
    <col min="4097" max="4099" width="17.54296875" style="940" bestFit="1" customWidth="1"/>
    <col min="4100" max="4106" width="21" style="940" bestFit="1" customWidth="1"/>
    <col min="4107" max="4114" width="21.1796875" style="940" bestFit="1" customWidth="1"/>
    <col min="4115" max="4115" width="22.54296875" style="940" customWidth="1"/>
    <col min="4116" max="4116" width="22" style="940" customWidth="1"/>
    <col min="4117" max="4117" width="22.54296875" style="940" customWidth="1"/>
    <col min="4118" max="4123" width="21.1796875" style="940" bestFit="1" customWidth="1"/>
    <col min="4124" max="4124" width="19.54296875" style="940" customWidth="1"/>
    <col min="4125" max="4125" width="21.1796875" style="940" bestFit="1" customWidth="1"/>
    <col min="4126" max="4126" width="22.54296875" style="940" customWidth="1"/>
    <col min="4127" max="4127" width="22" style="940" customWidth="1"/>
    <col min="4128" max="4128" width="23.453125" style="940" bestFit="1" customWidth="1"/>
    <col min="4129" max="4131" width="9.1796875" style="940"/>
    <col min="4132" max="4132" width="11.453125" style="940" customWidth="1"/>
    <col min="4133" max="4133" width="10.453125" style="940" customWidth="1"/>
    <col min="4134" max="4341" width="9.1796875" style="940"/>
    <col min="4342" max="4342" width="2.81640625" style="940" customWidth="1"/>
    <col min="4343" max="4343" width="13.1796875" style="940" customWidth="1"/>
    <col min="4344" max="4344" width="60.453125" style="940" customWidth="1"/>
    <col min="4345" max="4349" width="10.81640625" style="940" bestFit="1" customWidth="1"/>
    <col min="4350" max="4350" width="11.81640625" style="940" bestFit="1" customWidth="1"/>
    <col min="4351" max="4351" width="14.453125" style="940" bestFit="1" customWidth="1"/>
    <col min="4352" max="4352" width="17.453125" style="940" bestFit="1" customWidth="1"/>
    <col min="4353" max="4355" width="17.54296875" style="940" bestFit="1" customWidth="1"/>
    <col min="4356" max="4362" width="21" style="940" bestFit="1" customWidth="1"/>
    <col min="4363" max="4370" width="21.1796875" style="940" bestFit="1" customWidth="1"/>
    <col min="4371" max="4371" width="22.54296875" style="940" customWidth="1"/>
    <col min="4372" max="4372" width="22" style="940" customWidth="1"/>
    <col min="4373" max="4373" width="22.54296875" style="940" customWidth="1"/>
    <col min="4374" max="4379" width="21.1796875" style="940" bestFit="1" customWidth="1"/>
    <col min="4380" max="4380" width="19.54296875" style="940" customWidth="1"/>
    <col min="4381" max="4381" width="21.1796875" style="940" bestFit="1" customWidth="1"/>
    <col min="4382" max="4382" width="22.54296875" style="940" customWidth="1"/>
    <col min="4383" max="4383" width="22" style="940" customWidth="1"/>
    <col min="4384" max="4384" width="23.453125" style="940" bestFit="1" customWidth="1"/>
    <col min="4385" max="4387" width="9.1796875" style="940"/>
    <col min="4388" max="4388" width="11.453125" style="940" customWidth="1"/>
    <col min="4389" max="4389" width="10.453125" style="940" customWidth="1"/>
    <col min="4390" max="4597" width="9.1796875" style="940"/>
    <col min="4598" max="4598" width="2.81640625" style="940" customWidth="1"/>
    <col min="4599" max="4599" width="13.1796875" style="940" customWidth="1"/>
    <col min="4600" max="4600" width="60.453125" style="940" customWidth="1"/>
    <col min="4601" max="4605" width="10.81640625" style="940" bestFit="1" customWidth="1"/>
    <col min="4606" max="4606" width="11.81640625" style="940" bestFit="1" customWidth="1"/>
    <col min="4607" max="4607" width="14.453125" style="940" bestFit="1" customWidth="1"/>
    <col min="4608" max="4608" width="17.453125" style="940" bestFit="1" customWidth="1"/>
    <col min="4609" max="4611" width="17.54296875" style="940" bestFit="1" customWidth="1"/>
    <col min="4612" max="4618" width="21" style="940" bestFit="1" customWidth="1"/>
    <col min="4619" max="4626" width="21.1796875" style="940" bestFit="1" customWidth="1"/>
    <col min="4627" max="4627" width="22.54296875" style="940" customWidth="1"/>
    <col min="4628" max="4628" width="22" style="940" customWidth="1"/>
    <col min="4629" max="4629" width="22.54296875" style="940" customWidth="1"/>
    <col min="4630" max="4635" width="21.1796875" style="940" bestFit="1" customWidth="1"/>
    <col min="4636" max="4636" width="19.54296875" style="940" customWidth="1"/>
    <col min="4637" max="4637" width="21.1796875" style="940" bestFit="1" customWidth="1"/>
    <col min="4638" max="4638" width="22.54296875" style="940" customWidth="1"/>
    <col min="4639" max="4639" width="22" style="940" customWidth="1"/>
    <col min="4640" max="4640" width="23.453125" style="940" bestFit="1" customWidth="1"/>
    <col min="4641" max="4643" width="9.1796875" style="940"/>
    <col min="4644" max="4644" width="11.453125" style="940" customWidth="1"/>
    <col min="4645" max="4645" width="10.453125" style="940" customWidth="1"/>
    <col min="4646" max="4853" width="9.1796875" style="940"/>
    <col min="4854" max="4854" width="2.81640625" style="940" customWidth="1"/>
    <col min="4855" max="4855" width="13.1796875" style="940" customWidth="1"/>
    <col min="4856" max="4856" width="60.453125" style="940" customWidth="1"/>
    <col min="4857" max="4861" width="10.81640625" style="940" bestFit="1" customWidth="1"/>
    <col min="4862" max="4862" width="11.81640625" style="940" bestFit="1" customWidth="1"/>
    <col min="4863" max="4863" width="14.453125" style="940" bestFit="1" customWidth="1"/>
    <col min="4864" max="4864" width="17.453125" style="940" bestFit="1" customWidth="1"/>
    <col min="4865" max="4867" width="17.54296875" style="940" bestFit="1" customWidth="1"/>
    <col min="4868" max="4874" width="21" style="940" bestFit="1" customWidth="1"/>
    <col min="4875" max="4882" width="21.1796875" style="940" bestFit="1" customWidth="1"/>
    <col min="4883" max="4883" width="22.54296875" style="940" customWidth="1"/>
    <col min="4884" max="4884" width="22" style="940" customWidth="1"/>
    <col min="4885" max="4885" width="22.54296875" style="940" customWidth="1"/>
    <col min="4886" max="4891" width="21.1796875" style="940" bestFit="1" customWidth="1"/>
    <col min="4892" max="4892" width="19.54296875" style="940" customWidth="1"/>
    <col min="4893" max="4893" width="21.1796875" style="940" bestFit="1" customWidth="1"/>
    <col min="4894" max="4894" width="22.54296875" style="940" customWidth="1"/>
    <col min="4895" max="4895" width="22" style="940" customWidth="1"/>
    <col min="4896" max="4896" width="23.453125" style="940" bestFit="1" customWidth="1"/>
    <col min="4897" max="4899" width="9.1796875" style="940"/>
    <col min="4900" max="4900" width="11.453125" style="940" customWidth="1"/>
    <col min="4901" max="4901" width="10.453125" style="940" customWidth="1"/>
    <col min="4902" max="5109" width="9.1796875" style="940"/>
    <col min="5110" max="5110" width="2.81640625" style="940" customWidth="1"/>
    <col min="5111" max="5111" width="13.1796875" style="940" customWidth="1"/>
    <col min="5112" max="5112" width="60.453125" style="940" customWidth="1"/>
    <col min="5113" max="5117" width="10.81640625" style="940" bestFit="1" customWidth="1"/>
    <col min="5118" max="5118" width="11.81640625" style="940" bestFit="1" customWidth="1"/>
    <col min="5119" max="5119" width="14.453125" style="940" bestFit="1" customWidth="1"/>
    <col min="5120" max="5120" width="17.453125" style="940" bestFit="1" customWidth="1"/>
    <col min="5121" max="5123" width="17.54296875" style="940" bestFit="1" customWidth="1"/>
    <col min="5124" max="5130" width="21" style="940" bestFit="1" customWidth="1"/>
    <col min="5131" max="5138" width="21.1796875" style="940" bestFit="1" customWidth="1"/>
    <col min="5139" max="5139" width="22.54296875" style="940" customWidth="1"/>
    <col min="5140" max="5140" width="22" style="940" customWidth="1"/>
    <col min="5141" max="5141" width="22.54296875" style="940" customWidth="1"/>
    <col min="5142" max="5147" width="21.1796875" style="940" bestFit="1" customWidth="1"/>
    <col min="5148" max="5148" width="19.54296875" style="940" customWidth="1"/>
    <col min="5149" max="5149" width="21.1796875" style="940" bestFit="1" customWidth="1"/>
    <col min="5150" max="5150" width="22.54296875" style="940" customWidth="1"/>
    <col min="5151" max="5151" width="22" style="940" customWidth="1"/>
    <col min="5152" max="5152" width="23.453125" style="940" bestFit="1" customWidth="1"/>
    <col min="5153" max="5155" width="9.1796875" style="940"/>
    <col min="5156" max="5156" width="11.453125" style="940" customWidth="1"/>
    <col min="5157" max="5157" width="10.453125" style="940" customWidth="1"/>
    <col min="5158" max="5365" width="9.1796875" style="940"/>
    <col min="5366" max="5366" width="2.81640625" style="940" customWidth="1"/>
    <col min="5367" max="5367" width="13.1796875" style="940" customWidth="1"/>
    <col min="5368" max="5368" width="60.453125" style="940" customWidth="1"/>
    <col min="5369" max="5373" width="10.81640625" style="940" bestFit="1" customWidth="1"/>
    <col min="5374" max="5374" width="11.81640625" style="940" bestFit="1" customWidth="1"/>
    <col min="5375" max="5375" width="14.453125" style="940" bestFit="1" customWidth="1"/>
    <col min="5376" max="5376" width="17.453125" style="940" bestFit="1" customWidth="1"/>
    <col min="5377" max="5379" width="17.54296875" style="940" bestFit="1" customWidth="1"/>
    <col min="5380" max="5386" width="21" style="940" bestFit="1" customWidth="1"/>
    <col min="5387" max="5394" width="21.1796875" style="940" bestFit="1" customWidth="1"/>
    <col min="5395" max="5395" width="22.54296875" style="940" customWidth="1"/>
    <col min="5396" max="5396" width="22" style="940" customWidth="1"/>
    <col min="5397" max="5397" width="22.54296875" style="940" customWidth="1"/>
    <col min="5398" max="5403" width="21.1796875" style="940" bestFit="1" customWidth="1"/>
    <col min="5404" max="5404" width="19.54296875" style="940" customWidth="1"/>
    <col min="5405" max="5405" width="21.1796875" style="940" bestFit="1" customWidth="1"/>
    <col min="5406" max="5406" width="22.54296875" style="940" customWidth="1"/>
    <col min="5407" max="5407" width="22" style="940" customWidth="1"/>
    <col min="5408" max="5408" width="23.453125" style="940" bestFit="1" customWidth="1"/>
    <col min="5409" max="5411" width="9.1796875" style="940"/>
    <col min="5412" max="5412" width="11.453125" style="940" customWidth="1"/>
    <col min="5413" max="5413" width="10.453125" style="940" customWidth="1"/>
    <col min="5414" max="5621" width="9.1796875" style="940"/>
    <col min="5622" max="5622" width="2.81640625" style="940" customWidth="1"/>
    <col min="5623" max="5623" width="13.1796875" style="940" customWidth="1"/>
    <col min="5624" max="5624" width="60.453125" style="940" customWidth="1"/>
    <col min="5625" max="5629" width="10.81640625" style="940" bestFit="1" customWidth="1"/>
    <col min="5630" max="5630" width="11.81640625" style="940" bestFit="1" customWidth="1"/>
    <col min="5631" max="5631" width="14.453125" style="940" bestFit="1" customWidth="1"/>
    <col min="5632" max="5632" width="17.453125" style="940" bestFit="1" customWidth="1"/>
    <col min="5633" max="5635" width="17.54296875" style="940" bestFit="1" customWidth="1"/>
    <col min="5636" max="5642" width="21" style="940" bestFit="1" customWidth="1"/>
    <col min="5643" max="5650" width="21.1796875" style="940" bestFit="1" customWidth="1"/>
    <col min="5651" max="5651" width="22.54296875" style="940" customWidth="1"/>
    <col min="5652" max="5652" width="22" style="940" customWidth="1"/>
    <col min="5653" max="5653" width="22.54296875" style="940" customWidth="1"/>
    <col min="5654" max="5659" width="21.1796875" style="940" bestFit="1" customWidth="1"/>
    <col min="5660" max="5660" width="19.54296875" style="940" customWidth="1"/>
    <col min="5661" max="5661" width="21.1796875" style="940" bestFit="1" customWidth="1"/>
    <col min="5662" max="5662" width="22.54296875" style="940" customWidth="1"/>
    <col min="5663" max="5663" width="22" style="940" customWidth="1"/>
    <col min="5664" max="5664" width="23.453125" style="940" bestFit="1" customWidth="1"/>
    <col min="5665" max="5667" width="9.1796875" style="940"/>
    <col min="5668" max="5668" width="11.453125" style="940" customWidth="1"/>
    <col min="5669" max="5669" width="10.453125" style="940" customWidth="1"/>
    <col min="5670" max="5877" width="9.1796875" style="940"/>
    <col min="5878" max="5878" width="2.81640625" style="940" customWidth="1"/>
    <col min="5879" max="5879" width="13.1796875" style="940" customWidth="1"/>
    <col min="5880" max="5880" width="60.453125" style="940" customWidth="1"/>
    <col min="5881" max="5885" width="10.81640625" style="940" bestFit="1" customWidth="1"/>
    <col min="5886" max="5886" width="11.81640625" style="940" bestFit="1" customWidth="1"/>
    <col min="5887" max="5887" width="14.453125" style="940" bestFit="1" customWidth="1"/>
    <col min="5888" max="5888" width="17.453125" style="940" bestFit="1" customWidth="1"/>
    <col min="5889" max="5891" width="17.54296875" style="940" bestFit="1" customWidth="1"/>
    <col min="5892" max="5898" width="21" style="940" bestFit="1" customWidth="1"/>
    <col min="5899" max="5906" width="21.1796875" style="940" bestFit="1" customWidth="1"/>
    <col min="5907" max="5907" width="22.54296875" style="940" customWidth="1"/>
    <col min="5908" max="5908" width="22" style="940" customWidth="1"/>
    <col min="5909" max="5909" width="22.54296875" style="940" customWidth="1"/>
    <col min="5910" max="5915" width="21.1796875" style="940" bestFit="1" customWidth="1"/>
    <col min="5916" max="5916" width="19.54296875" style="940" customWidth="1"/>
    <col min="5917" max="5917" width="21.1796875" style="940" bestFit="1" customWidth="1"/>
    <col min="5918" max="5918" width="22.54296875" style="940" customWidth="1"/>
    <col min="5919" max="5919" width="22" style="940" customWidth="1"/>
    <col min="5920" max="5920" width="23.453125" style="940" bestFit="1" customWidth="1"/>
    <col min="5921" max="5923" width="9.1796875" style="940"/>
    <col min="5924" max="5924" width="11.453125" style="940" customWidth="1"/>
    <col min="5925" max="5925" width="10.453125" style="940" customWidth="1"/>
    <col min="5926" max="6133" width="9.1796875" style="940"/>
    <col min="6134" max="6134" width="2.81640625" style="940" customWidth="1"/>
    <col min="6135" max="6135" width="13.1796875" style="940" customWidth="1"/>
    <col min="6136" max="6136" width="60.453125" style="940" customWidth="1"/>
    <col min="6137" max="6141" width="10.81640625" style="940" bestFit="1" customWidth="1"/>
    <col min="6142" max="6142" width="11.81640625" style="940" bestFit="1" customWidth="1"/>
    <col min="6143" max="6143" width="14.453125" style="940" bestFit="1" customWidth="1"/>
    <col min="6144" max="6144" width="17.453125" style="940" bestFit="1" customWidth="1"/>
    <col min="6145" max="6147" width="17.54296875" style="940" bestFit="1" customWidth="1"/>
    <col min="6148" max="6154" width="21" style="940" bestFit="1" customWidth="1"/>
    <col min="6155" max="6162" width="21.1796875" style="940" bestFit="1" customWidth="1"/>
    <col min="6163" max="6163" width="22.54296875" style="940" customWidth="1"/>
    <col min="6164" max="6164" width="22" style="940" customWidth="1"/>
    <col min="6165" max="6165" width="22.54296875" style="940" customWidth="1"/>
    <col min="6166" max="6171" width="21.1796875" style="940" bestFit="1" customWidth="1"/>
    <col min="6172" max="6172" width="19.54296875" style="940" customWidth="1"/>
    <col min="6173" max="6173" width="21.1796875" style="940" bestFit="1" customWidth="1"/>
    <col min="6174" max="6174" width="22.54296875" style="940" customWidth="1"/>
    <col min="6175" max="6175" width="22" style="940" customWidth="1"/>
    <col min="6176" max="6176" width="23.453125" style="940" bestFit="1" customWidth="1"/>
    <col min="6177" max="6179" width="9.1796875" style="940"/>
    <col min="6180" max="6180" width="11.453125" style="940" customWidth="1"/>
    <col min="6181" max="6181" width="10.453125" style="940" customWidth="1"/>
    <col min="6182" max="6389" width="9.1796875" style="940"/>
    <col min="6390" max="6390" width="2.81640625" style="940" customWidth="1"/>
    <col min="6391" max="6391" width="13.1796875" style="940" customWidth="1"/>
    <col min="6392" max="6392" width="60.453125" style="940" customWidth="1"/>
    <col min="6393" max="6397" width="10.81640625" style="940" bestFit="1" customWidth="1"/>
    <col min="6398" max="6398" width="11.81640625" style="940" bestFit="1" customWidth="1"/>
    <col min="6399" max="6399" width="14.453125" style="940" bestFit="1" customWidth="1"/>
    <col min="6400" max="6400" width="17.453125" style="940" bestFit="1" customWidth="1"/>
    <col min="6401" max="6403" width="17.54296875" style="940" bestFit="1" customWidth="1"/>
    <col min="6404" max="6410" width="21" style="940" bestFit="1" customWidth="1"/>
    <col min="6411" max="6418" width="21.1796875" style="940" bestFit="1" customWidth="1"/>
    <col min="6419" max="6419" width="22.54296875" style="940" customWidth="1"/>
    <col min="6420" max="6420" width="22" style="940" customWidth="1"/>
    <col min="6421" max="6421" width="22.54296875" style="940" customWidth="1"/>
    <col min="6422" max="6427" width="21.1796875" style="940" bestFit="1" customWidth="1"/>
    <col min="6428" max="6428" width="19.54296875" style="940" customWidth="1"/>
    <col min="6429" max="6429" width="21.1796875" style="940" bestFit="1" customWidth="1"/>
    <col min="6430" max="6430" width="22.54296875" style="940" customWidth="1"/>
    <col min="6431" max="6431" width="22" style="940" customWidth="1"/>
    <col min="6432" max="6432" width="23.453125" style="940" bestFit="1" customWidth="1"/>
    <col min="6433" max="6435" width="9.1796875" style="940"/>
    <col min="6436" max="6436" width="11.453125" style="940" customWidth="1"/>
    <col min="6437" max="6437" width="10.453125" style="940" customWidth="1"/>
    <col min="6438" max="6645" width="9.1796875" style="940"/>
    <col min="6646" max="6646" width="2.81640625" style="940" customWidth="1"/>
    <col min="6647" max="6647" width="13.1796875" style="940" customWidth="1"/>
    <col min="6648" max="6648" width="60.453125" style="940" customWidth="1"/>
    <col min="6649" max="6653" width="10.81640625" style="940" bestFit="1" customWidth="1"/>
    <col min="6654" max="6654" width="11.81640625" style="940" bestFit="1" customWidth="1"/>
    <col min="6655" max="6655" width="14.453125" style="940" bestFit="1" customWidth="1"/>
    <col min="6656" max="6656" width="17.453125" style="940" bestFit="1" customWidth="1"/>
    <col min="6657" max="6659" width="17.54296875" style="940" bestFit="1" customWidth="1"/>
    <col min="6660" max="6666" width="21" style="940" bestFit="1" customWidth="1"/>
    <col min="6667" max="6674" width="21.1796875" style="940" bestFit="1" customWidth="1"/>
    <col min="6675" max="6675" width="22.54296875" style="940" customWidth="1"/>
    <col min="6676" max="6676" width="22" style="940" customWidth="1"/>
    <col min="6677" max="6677" width="22.54296875" style="940" customWidth="1"/>
    <col min="6678" max="6683" width="21.1796875" style="940" bestFit="1" customWidth="1"/>
    <col min="6684" max="6684" width="19.54296875" style="940" customWidth="1"/>
    <col min="6685" max="6685" width="21.1796875" style="940" bestFit="1" customWidth="1"/>
    <col min="6686" max="6686" width="22.54296875" style="940" customWidth="1"/>
    <col min="6687" max="6687" width="22" style="940" customWidth="1"/>
    <col min="6688" max="6688" width="23.453125" style="940" bestFit="1" customWidth="1"/>
    <col min="6689" max="6691" width="9.1796875" style="940"/>
    <col min="6692" max="6692" width="11.453125" style="940" customWidth="1"/>
    <col min="6693" max="6693" width="10.453125" style="940" customWidth="1"/>
    <col min="6694" max="6901" width="9.1796875" style="940"/>
    <col min="6902" max="6902" width="2.81640625" style="940" customWidth="1"/>
    <col min="6903" max="6903" width="13.1796875" style="940" customWidth="1"/>
    <col min="6904" max="6904" width="60.453125" style="940" customWidth="1"/>
    <col min="6905" max="6909" width="10.81640625" style="940" bestFit="1" customWidth="1"/>
    <col min="6910" max="6910" width="11.81640625" style="940" bestFit="1" customWidth="1"/>
    <col min="6911" max="6911" width="14.453125" style="940" bestFit="1" customWidth="1"/>
    <col min="6912" max="6912" width="17.453125" style="940" bestFit="1" customWidth="1"/>
    <col min="6913" max="6915" width="17.54296875" style="940" bestFit="1" customWidth="1"/>
    <col min="6916" max="6922" width="21" style="940" bestFit="1" customWidth="1"/>
    <col min="6923" max="6930" width="21.1796875" style="940" bestFit="1" customWidth="1"/>
    <col min="6931" max="6931" width="22.54296875" style="940" customWidth="1"/>
    <col min="6932" max="6932" width="22" style="940" customWidth="1"/>
    <col min="6933" max="6933" width="22.54296875" style="940" customWidth="1"/>
    <col min="6934" max="6939" width="21.1796875" style="940" bestFit="1" customWidth="1"/>
    <col min="6940" max="6940" width="19.54296875" style="940" customWidth="1"/>
    <col min="6941" max="6941" width="21.1796875" style="940" bestFit="1" customWidth="1"/>
    <col min="6942" max="6942" width="22.54296875" style="940" customWidth="1"/>
    <col min="6943" max="6943" width="22" style="940" customWidth="1"/>
    <col min="6944" max="6944" width="23.453125" style="940" bestFit="1" customWidth="1"/>
    <col min="6945" max="6947" width="9.1796875" style="940"/>
    <col min="6948" max="6948" width="11.453125" style="940" customWidth="1"/>
    <col min="6949" max="6949" width="10.453125" style="940" customWidth="1"/>
    <col min="6950" max="7157" width="9.1796875" style="940"/>
    <col min="7158" max="7158" width="2.81640625" style="940" customWidth="1"/>
    <col min="7159" max="7159" width="13.1796875" style="940" customWidth="1"/>
    <col min="7160" max="7160" width="60.453125" style="940" customWidth="1"/>
    <col min="7161" max="7165" width="10.81640625" style="940" bestFit="1" customWidth="1"/>
    <col min="7166" max="7166" width="11.81640625" style="940" bestFit="1" customWidth="1"/>
    <col min="7167" max="7167" width="14.453125" style="940" bestFit="1" customWidth="1"/>
    <col min="7168" max="7168" width="17.453125" style="940" bestFit="1" customWidth="1"/>
    <col min="7169" max="7171" width="17.54296875" style="940" bestFit="1" customWidth="1"/>
    <col min="7172" max="7178" width="21" style="940" bestFit="1" customWidth="1"/>
    <col min="7179" max="7186" width="21.1796875" style="940" bestFit="1" customWidth="1"/>
    <col min="7187" max="7187" width="22.54296875" style="940" customWidth="1"/>
    <col min="7188" max="7188" width="22" style="940" customWidth="1"/>
    <col min="7189" max="7189" width="22.54296875" style="940" customWidth="1"/>
    <col min="7190" max="7195" width="21.1796875" style="940" bestFit="1" customWidth="1"/>
    <col min="7196" max="7196" width="19.54296875" style="940" customWidth="1"/>
    <col min="7197" max="7197" width="21.1796875" style="940" bestFit="1" customWidth="1"/>
    <col min="7198" max="7198" width="22.54296875" style="940" customWidth="1"/>
    <col min="7199" max="7199" width="22" style="940" customWidth="1"/>
    <col min="7200" max="7200" width="23.453125" style="940" bestFit="1" customWidth="1"/>
    <col min="7201" max="7203" width="9.1796875" style="940"/>
    <col min="7204" max="7204" width="11.453125" style="940" customWidth="1"/>
    <col min="7205" max="7205" width="10.453125" style="940" customWidth="1"/>
    <col min="7206" max="7413" width="9.1796875" style="940"/>
    <col min="7414" max="7414" width="2.81640625" style="940" customWidth="1"/>
    <col min="7415" max="7415" width="13.1796875" style="940" customWidth="1"/>
    <col min="7416" max="7416" width="60.453125" style="940" customWidth="1"/>
    <col min="7417" max="7421" width="10.81640625" style="940" bestFit="1" customWidth="1"/>
    <col min="7422" max="7422" width="11.81640625" style="940" bestFit="1" customWidth="1"/>
    <col min="7423" max="7423" width="14.453125" style="940" bestFit="1" customWidth="1"/>
    <col min="7424" max="7424" width="17.453125" style="940" bestFit="1" customWidth="1"/>
    <col min="7425" max="7427" width="17.54296875" style="940" bestFit="1" customWidth="1"/>
    <col min="7428" max="7434" width="21" style="940" bestFit="1" customWidth="1"/>
    <col min="7435" max="7442" width="21.1796875" style="940" bestFit="1" customWidth="1"/>
    <col min="7443" max="7443" width="22.54296875" style="940" customWidth="1"/>
    <col min="7444" max="7444" width="22" style="940" customWidth="1"/>
    <col min="7445" max="7445" width="22.54296875" style="940" customWidth="1"/>
    <col min="7446" max="7451" width="21.1796875" style="940" bestFit="1" customWidth="1"/>
    <col min="7452" max="7452" width="19.54296875" style="940" customWidth="1"/>
    <col min="7453" max="7453" width="21.1796875" style="940" bestFit="1" customWidth="1"/>
    <col min="7454" max="7454" width="22.54296875" style="940" customWidth="1"/>
    <col min="7455" max="7455" width="22" style="940" customWidth="1"/>
    <col min="7456" max="7456" width="23.453125" style="940" bestFit="1" customWidth="1"/>
    <col min="7457" max="7459" width="9.1796875" style="940"/>
    <col min="7460" max="7460" width="11.453125" style="940" customWidth="1"/>
    <col min="7461" max="7461" width="10.453125" style="940" customWidth="1"/>
    <col min="7462" max="7669" width="9.1796875" style="940"/>
    <col min="7670" max="7670" width="2.81640625" style="940" customWidth="1"/>
    <col min="7671" max="7671" width="13.1796875" style="940" customWidth="1"/>
    <col min="7672" max="7672" width="60.453125" style="940" customWidth="1"/>
    <col min="7673" max="7677" width="10.81640625" style="940" bestFit="1" customWidth="1"/>
    <col min="7678" max="7678" width="11.81640625" style="940" bestFit="1" customWidth="1"/>
    <col min="7679" max="7679" width="14.453125" style="940" bestFit="1" customWidth="1"/>
    <col min="7680" max="7680" width="17.453125" style="940" bestFit="1" customWidth="1"/>
    <col min="7681" max="7683" width="17.54296875" style="940" bestFit="1" customWidth="1"/>
    <col min="7684" max="7690" width="21" style="940" bestFit="1" customWidth="1"/>
    <col min="7691" max="7698" width="21.1796875" style="940" bestFit="1" customWidth="1"/>
    <col min="7699" max="7699" width="22.54296875" style="940" customWidth="1"/>
    <col min="7700" max="7700" width="22" style="940" customWidth="1"/>
    <col min="7701" max="7701" width="22.54296875" style="940" customWidth="1"/>
    <col min="7702" max="7707" width="21.1796875" style="940" bestFit="1" customWidth="1"/>
    <col min="7708" max="7708" width="19.54296875" style="940" customWidth="1"/>
    <col min="7709" max="7709" width="21.1796875" style="940" bestFit="1" customWidth="1"/>
    <col min="7710" max="7710" width="22.54296875" style="940" customWidth="1"/>
    <col min="7711" max="7711" width="22" style="940" customWidth="1"/>
    <col min="7712" max="7712" width="23.453125" style="940" bestFit="1" customWidth="1"/>
    <col min="7713" max="7715" width="9.1796875" style="940"/>
    <col min="7716" max="7716" width="11.453125" style="940" customWidth="1"/>
    <col min="7717" max="7717" width="10.453125" style="940" customWidth="1"/>
    <col min="7718" max="7925" width="9.1796875" style="940"/>
    <col min="7926" max="7926" width="2.81640625" style="940" customWidth="1"/>
    <col min="7927" max="7927" width="13.1796875" style="940" customWidth="1"/>
    <col min="7928" max="7928" width="60.453125" style="940" customWidth="1"/>
    <col min="7929" max="7933" width="10.81640625" style="940" bestFit="1" customWidth="1"/>
    <col min="7934" max="7934" width="11.81640625" style="940" bestFit="1" customWidth="1"/>
    <col min="7935" max="7935" width="14.453125" style="940" bestFit="1" customWidth="1"/>
    <col min="7936" max="7936" width="17.453125" style="940" bestFit="1" customWidth="1"/>
    <col min="7937" max="7939" width="17.54296875" style="940" bestFit="1" customWidth="1"/>
    <col min="7940" max="7946" width="21" style="940" bestFit="1" customWidth="1"/>
    <col min="7947" max="7954" width="21.1796875" style="940" bestFit="1" customWidth="1"/>
    <col min="7955" max="7955" width="22.54296875" style="940" customWidth="1"/>
    <col min="7956" max="7956" width="22" style="940" customWidth="1"/>
    <col min="7957" max="7957" width="22.54296875" style="940" customWidth="1"/>
    <col min="7958" max="7963" width="21.1796875" style="940" bestFit="1" customWidth="1"/>
    <col min="7964" max="7964" width="19.54296875" style="940" customWidth="1"/>
    <col min="7965" max="7965" width="21.1796875" style="940" bestFit="1" customWidth="1"/>
    <col min="7966" max="7966" width="22.54296875" style="940" customWidth="1"/>
    <col min="7967" max="7967" width="22" style="940" customWidth="1"/>
    <col min="7968" max="7968" width="23.453125" style="940" bestFit="1" customWidth="1"/>
    <col min="7969" max="7971" width="9.1796875" style="940"/>
    <col min="7972" max="7972" width="11.453125" style="940" customWidth="1"/>
    <col min="7973" max="7973" width="10.453125" style="940" customWidth="1"/>
    <col min="7974" max="8181" width="9.1796875" style="940"/>
    <col min="8182" max="8182" width="2.81640625" style="940" customWidth="1"/>
    <col min="8183" max="8183" width="13.1796875" style="940" customWidth="1"/>
    <col min="8184" max="8184" width="60.453125" style="940" customWidth="1"/>
    <col min="8185" max="8189" width="10.81640625" style="940" bestFit="1" customWidth="1"/>
    <col min="8190" max="8190" width="11.81640625" style="940" bestFit="1" customWidth="1"/>
    <col min="8191" max="8191" width="14.453125" style="940" bestFit="1" customWidth="1"/>
    <col min="8192" max="8192" width="17.453125" style="940" bestFit="1" customWidth="1"/>
    <col min="8193" max="8195" width="17.54296875" style="940" bestFit="1" customWidth="1"/>
    <col min="8196" max="8202" width="21" style="940" bestFit="1" customWidth="1"/>
    <col min="8203" max="8210" width="21.1796875" style="940" bestFit="1" customWidth="1"/>
    <col min="8211" max="8211" width="22.54296875" style="940" customWidth="1"/>
    <col min="8212" max="8212" width="22" style="940" customWidth="1"/>
    <col min="8213" max="8213" width="22.54296875" style="940" customWidth="1"/>
    <col min="8214" max="8219" width="21.1796875" style="940" bestFit="1" customWidth="1"/>
    <col min="8220" max="8220" width="19.54296875" style="940" customWidth="1"/>
    <col min="8221" max="8221" width="21.1796875" style="940" bestFit="1" customWidth="1"/>
    <col min="8222" max="8222" width="22.54296875" style="940" customWidth="1"/>
    <col min="8223" max="8223" width="22" style="940" customWidth="1"/>
    <col min="8224" max="8224" width="23.453125" style="940" bestFit="1" customWidth="1"/>
    <col min="8225" max="8227" width="9.1796875" style="940"/>
    <col min="8228" max="8228" width="11.453125" style="940" customWidth="1"/>
    <col min="8229" max="8229" width="10.453125" style="940" customWidth="1"/>
    <col min="8230" max="8437" width="9.1796875" style="940"/>
    <col min="8438" max="8438" width="2.81640625" style="940" customWidth="1"/>
    <col min="8439" max="8439" width="13.1796875" style="940" customWidth="1"/>
    <col min="8440" max="8440" width="60.453125" style="940" customWidth="1"/>
    <col min="8441" max="8445" width="10.81640625" style="940" bestFit="1" customWidth="1"/>
    <col min="8446" max="8446" width="11.81640625" style="940" bestFit="1" customWidth="1"/>
    <col min="8447" max="8447" width="14.453125" style="940" bestFit="1" customWidth="1"/>
    <col min="8448" max="8448" width="17.453125" style="940" bestFit="1" customWidth="1"/>
    <col min="8449" max="8451" width="17.54296875" style="940" bestFit="1" customWidth="1"/>
    <col min="8452" max="8458" width="21" style="940" bestFit="1" customWidth="1"/>
    <col min="8459" max="8466" width="21.1796875" style="940" bestFit="1" customWidth="1"/>
    <col min="8467" max="8467" width="22.54296875" style="940" customWidth="1"/>
    <col min="8468" max="8468" width="22" style="940" customWidth="1"/>
    <col min="8469" max="8469" width="22.54296875" style="940" customWidth="1"/>
    <col min="8470" max="8475" width="21.1796875" style="940" bestFit="1" customWidth="1"/>
    <col min="8476" max="8476" width="19.54296875" style="940" customWidth="1"/>
    <col min="8477" max="8477" width="21.1796875" style="940" bestFit="1" customWidth="1"/>
    <col min="8478" max="8478" width="22.54296875" style="940" customWidth="1"/>
    <col min="8479" max="8479" width="22" style="940" customWidth="1"/>
    <col min="8480" max="8480" width="23.453125" style="940" bestFit="1" customWidth="1"/>
    <col min="8481" max="8483" width="9.1796875" style="940"/>
    <col min="8484" max="8484" width="11.453125" style="940" customWidth="1"/>
    <col min="8485" max="8485" width="10.453125" style="940" customWidth="1"/>
    <col min="8486" max="8693" width="9.1796875" style="940"/>
    <col min="8694" max="8694" width="2.81640625" style="940" customWidth="1"/>
    <col min="8695" max="8695" width="13.1796875" style="940" customWidth="1"/>
    <col min="8696" max="8696" width="60.453125" style="940" customWidth="1"/>
    <col min="8697" max="8701" width="10.81640625" style="940" bestFit="1" customWidth="1"/>
    <col min="8702" max="8702" width="11.81640625" style="940" bestFit="1" customWidth="1"/>
    <col min="8703" max="8703" width="14.453125" style="940" bestFit="1" customWidth="1"/>
    <col min="8704" max="8704" width="17.453125" style="940" bestFit="1" customWidth="1"/>
    <col min="8705" max="8707" width="17.54296875" style="940" bestFit="1" customWidth="1"/>
    <col min="8708" max="8714" width="21" style="940" bestFit="1" customWidth="1"/>
    <col min="8715" max="8722" width="21.1796875" style="940" bestFit="1" customWidth="1"/>
    <col min="8723" max="8723" width="22.54296875" style="940" customWidth="1"/>
    <col min="8724" max="8724" width="22" style="940" customWidth="1"/>
    <col min="8725" max="8725" width="22.54296875" style="940" customWidth="1"/>
    <col min="8726" max="8731" width="21.1796875" style="940" bestFit="1" customWidth="1"/>
    <col min="8732" max="8732" width="19.54296875" style="940" customWidth="1"/>
    <col min="8733" max="8733" width="21.1796875" style="940" bestFit="1" customWidth="1"/>
    <col min="8734" max="8734" width="22.54296875" style="940" customWidth="1"/>
    <col min="8735" max="8735" width="22" style="940" customWidth="1"/>
    <col min="8736" max="8736" width="23.453125" style="940" bestFit="1" customWidth="1"/>
    <col min="8737" max="8739" width="9.1796875" style="940"/>
    <col min="8740" max="8740" width="11.453125" style="940" customWidth="1"/>
    <col min="8741" max="8741" width="10.453125" style="940" customWidth="1"/>
    <col min="8742" max="8949" width="9.1796875" style="940"/>
    <col min="8950" max="8950" width="2.81640625" style="940" customWidth="1"/>
    <col min="8951" max="8951" width="13.1796875" style="940" customWidth="1"/>
    <col min="8952" max="8952" width="60.453125" style="940" customWidth="1"/>
    <col min="8953" max="8957" width="10.81640625" style="940" bestFit="1" customWidth="1"/>
    <col min="8958" max="8958" width="11.81640625" style="940" bestFit="1" customWidth="1"/>
    <col min="8959" max="8959" width="14.453125" style="940" bestFit="1" customWidth="1"/>
    <col min="8960" max="8960" width="17.453125" style="940" bestFit="1" customWidth="1"/>
    <col min="8961" max="8963" width="17.54296875" style="940" bestFit="1" customWidth="1"/>
    <col min="8964" max="8970" width="21" style="940" bestFit="1" customWidth="1"/>
    <col min="8971" max="8978" width="21.1796875" style="940" bestFit="1" customWidth="1"/>
    <col min="8979" max="8979" width="22.54296875" style="940" customWidth="1"/>
    <col min="8980" max="8980" width="22" style="940" customWidth="1"/>
    <col min="8981" max="8981" width="22.54296875" style="940" customWidth="1"/>
    <col min="8982" max="8987" width="21.1796875" style="940" bestFit="1" customWidth="1"/>
    <col min="8988" max="8988" width="19.54296875" style="940" customWidth="1"/>
    <col min="8989" max="8989" width="21.1796875" style="940" bestFit="1" customWidth="1"/>
    <col min="8990" max="8990" width="22.54296875" style="940" customWidth="1"/>
    <col min="8991" max="8991" width="22" style="940" customWidth="1"/>
    <col min="8992" max="8992" width="23.453125" style="940" bestFit="1" customWidth="1"/>
    <col min="8993" max="8995" width="9.1796875" style="940"/>
    <col min="8996" max="8996" width="11.453125" style="940" customWidth="1"/>
    <col min="8997" max="8997" width="10.453125" style="940" customWidth="1"/>
    <col min="8998" max="9205" width="9.1796875" style="940"/>
    <col min="9206" max="9206" width="2.81640625" style="940" customWidth="1"/>
    <col min="9207" max="9207" width="13.1796875" style="940" customWidth="1"/>
    <col min="9208" max="9208" width="60.453125" style="940" customWidth="1"/>
    <col min="9209" max="9213" width="10.81640625" style="940" bestFit="1" customWidth="1"/>
    <col min="9214" max="9214" width="11.81640625" style="940" bestFit="1" customWidth="1"/>
    <col min="9215" max="9215" width="14.453125" style="940" bestFit="1" customWidth="1"/>
    <col min="9216" max="9216" width="17.453125" style="940" bestFit="1" customWidth="1"/>
    <col min="9217" max="9219" width="17.54296875" style="940" bestFit="1" customWidth="1"/>
    <col min="9220" max="9226" width="21" style="940" bestFit="1" customWidth="1"/>
    <col min="9227" max="9234" width="21.1796875" style="940" bestFit="1" customWidth="1"/>
    <col min="9235" max="9235" width="22.54296875" style="940" customWidth="1"/>
    <col min="9236" max="9236" width="22" style="940" customWidth="1"/>
    <col min="9237" max="9237" width="22.54296875" style="940" customWidth="1"/>
    <col min="9238" max="9243" width="21.1796875" style="940" bestFit="1" customWidth="1"/>
    <col min="9244" max="9244" width="19.54296875" style="940" customWidth="1"/>
    <col min="9245" max="9245" width="21.1796875" style="940" bestFit="1" customWidth="1"/>
    <col min="9246" max="9246" width="22.54296875" style="940" customWidth="1"/>
    <col min="9247" max="9247" width="22" style="940" customWidth="1"/>
    <col min="9248" max="9248" width="23.453125" style="940" bestFit="1" customWidth="1"/>
    <col min="9249" max="9251" width="9.1796875" style="940"/>
    <col min="9252" max="9252" width="11.453125" style="940" customWidth="1"/>
    <col min="9253" max="9253" width="10.453125" style="940" customWidth="1"/>
    <col min="9254" max="9461" width="9.1796875" style="940"/>
    <col min="9462" max="9462" width="2.81640625" style="940" customWidth="1"/>
    <col min="9463" max="9463" width="13.1796875" style="940" customWidth="1"/>
    <col min="9464" max="9464" width="60.453125" style="940" customWidth="1"/>
    <col min="9465" max="9469" width="10.81640625" style="940" bestFit="1" customWidth="1"/>
    <col min="9470" max="9470" width="11.81640625" style="940" bestFit="1" customWidth="1"/>
    <col min="9471" max="9471" width="14.453125" style="940" bestFit="1" customWidth="1"/>
    <col min="9472" max="9472" width="17.453125" style="940" bestFit="1" customWidth="1"/>
    <col min="9473" max="9475" width="17.54296875" style="940" bestFit="1" customWidth="1"/>
    <col min="9476" max="9482" width="21" style="940" bestFit="1" customWidth="1"/>
    <col min="9483" max="9490" width="21.1796875" style="940" bestFit="1" customWidth="1"/>
    <col min="9491" max="9491" width="22.54296875" style="940" customWidth="1"/>
    <col min="9492" max="9492" width="22" style="940" customWidth="1"/>
    <col min="9493" max="9493" width="22.54296875" style="940" customWidth="1"/>
    <col min="9494" max="9499" width="21.1796875" style="940" bestFit="1" customWidth="1"/>
    <col min="9500" max="9500" width="19.54296875" style="940" customWidth="1"/>
    <col min="9501" max="9501" width="21.1796875" style="940" bestFit="1" customWidth="1"/>
    <col min="9502" max="9502" width="22.54296875" style="940" customWidth="1"/>
    <col min="9503" max="9503" width="22" style="940" customWidth="1"/>
    <col min="9504" max="9504" width="23.453125" style="940" bestFit="1" customWidth="1"/>
    <col min="9505" max="9507" width="9.1796875" style="940"/>
    <col min="9508" max="9508" width="11.453125" style="940" customWidth="1"/>
    <col min="9509" max="9509" width="10.453125" style="940" customWidth="1"/>
    <col min="9510" max="9717" width="9.1796875" style="940"/>
    <col min="9718" max="9718" width="2.81640625" style="940" customWidth="1"/>
    <col min="9719" max="9719" width="13.1796875" style="940" customWidth="1"/>
    <col min="9720" max="9720" width="60.453125" style="940" customWidth="1"/>
    <col min="9721" max="9725" width="10.81640625" style="940" bestFit="1" customWidth="1"/>
    <col min="9726" max="9726" width="11.81640625" style="940" bestFit="1" customWidth="1"/>
    <col min="9727" max="9727" width="14.453125" style="940" bestFit="1" customWidth="1"/>
    <col min="9728" max="9728" width="17.453125" style="940" bestFit="1" customWidth="1"/>
    <col min="9729" max="9731" width="17.54296875" style="940" bestFit="1" customWidth="1"/>
    <col min="9732" max="9738" width="21" style="940" bestFit="1" customWidth="1"/>
    <col min="9739" max="9746" width="21.1796875" style="940" bestFit="1" customWidth="1"/>
    <col min="9747" max="9747" width="22.54296875" style="940" customWidth="1"/>
    <col min="9748" max="9748" width="22" style="940" customWidth="1"/>
    <col min="9749" max="9749" width="22.54296875" style="940" customWidth="1"/>
    <col min="9750" max="9755" width="21.1796875" style="940" bestFit="1" customWidth="1"/>
    <col min="9756" max="9756" width="19.54296875" style="940" customWidth="1"/>
    <col min="9757" max="9757" width="21.1796875" style="940" bestFit="1" customWidth="1"/>
    <col min="9758" max="9758" width="22.54296875" style="940" customWidth="1"/>
    <col min="9759" max="9759" width="22" style="940" customWidth="1"/>
    <col min="9760" max="9760" width="23.453125" style="940" bestFit="1" customWidth="1"/>
    <col min="9761" max="9763" width="9.1796875" style="940"/>
    <col min="9764" max="9764" width="11.453125" style="940" customWidth="1"/>
    <col min="9765" max="9765" width="10.453125" style="940" customWidth="1"/>
    <col min="9766" max="9973" width="9.1796875" style="940"/>
    <col min="9974" max="9974" width="2.81640625" style="940" customWidth="1"/>
    <col min="9975" max="9975" width="13.1796875" style="940" customWidth="1"/>
    <col min="9976" max="9976" width="60.453125" style="940" customWidth="1"/>
    <col min="9977" max="9981" width="10.81640625" style="940" bestFit="1" customWidth="1"/>
    <col min="9982" max="9982" width="11.81640625" style="940" bestFit="1" customWidth="1"/>
    <col min="9983" max="9983" width="14.453125" style="940" bestFit="1" customWidth="1"/>
    <col min="9984" max="9984" width="17.453125" style="940" bestFit="1" customWidth="1"/>
    <col min="9985" max="9987" width="17.54296875" style="940" bestFit="1" customWidth="1"/>
    <col min="9988" max="9994" width="21" style="940" bestFit="1" customWidth="1"/>
    <col min="9995" max="10002" width="21.1796875" style="940" bestFit="1" customWidth="1"/>
    <col min="10003" max="10003" width="22.54296875" style="940" customWidth="1"/>
    <col min="10004" max="10004" width="22" style="940" customWidth="1"/>
    <col min="10005" max="10005" width="22.54296875" style="940" customWidth="1"/>
    <col min="10006" max="10011" width="21.1796875" style="940" bestFit="1" customWidth="1"/>
    <col min="10012" max="10012" width="19.54296875" style="940" customWidth="1"/>
    <col min="10013" max="10013" width="21.1796875" style="940" bestFit="1" customWidth="1"/>
    <col min="10014" max="10014" width="22.54296875" style="940" customWidth="1"/>
    <col min="10015" max="10015" width="22" style="940" customWidth="1"/>
    <col min="10016" max="10016" width="23.453125" style="940" bestFit="1" customWidth="1"/>
    <col min="10017" max="10019" width="9.1796875" style="940"/>
    <col min="10020" max="10020" width="11.453125" style="940" customWidth="1"/>
    <col min="10021" max="10021" width="10.453125" style="940" customWidth="1"/>
    <col min="10022" max="10229" width="9.1796875" style="940"/>
    <col min="10230" max="10230" width="2.81640625" style="940" customWidth="1"/>
    <col min="10231" max="10231" width="13.1796875" style="940" customWidth="1"/>
    <col min="10232" max="10232" width="60.453125" style="940" customWidth="1"/>
    <col min="10233" max="10237" width="10.81640625" style="940" bestFit="1" customWidth="1"/>
    <col min="10238" max="10238" width="11.81640625" style="940" bestFit="1" customWidth="1"/>
    <col min="10239" max="10239" width="14.453125" style="940" bestFit="1" customWidth="1"/>
    <col min="10240" max="10240" width="17.453125" style="940" bestFit="1" customWidth="1"/>
    <col min="10241" max="10243" width="17.54296875" style="940" bestFit="1" customWidth="1"/>
    <col min="10244" max="10250" width="21" style="940" bestFit="1" customWidth="1"/>
    <col min="10251" max="10258" width="21.1796875" style="940" bestFit="1" customWidth="1"/>
    <col min="10259" max="10259" width="22.54296875" style="940" customWidth="1"/>
    <col min="10260" max="10260" width="22" style="940" customWidth="1"/>
    <col min="10261" max="10261" width="22.54296875" style="940" customWidth="1"/>
    <col min="10262" max="10267" width="21.1796875" style="940" bestFit="1" customWidth="1"/>
    <col min="10268" max="10268" width="19.54296875" style="940" customWidth="1"/>
    <col min="10269" max="10269" width="21.1796875" style="940" bestFit="1" customWidth="1"/>
    <col min="10270" max="10270" width="22.54296875" style="940" customWidth="1"/>
    <col min="10271" max="10271" width="22" style="940" customWidth="1"/>
    <col min="10272" max="10272" width="23.453125" style="940" bestFit="1" customWidth="1"/>
    <col min="10273" max="10275" width="9.1796875" style="940"/>
    <col min="10276" max="10276" width="11.453125" style="940" customWidth="1"/>
    <col min="10277" max="10277" width="10.453125" style="940" customWidth="1"/>
    <col min="10278" max="10485" width="9.1796875" style="940"/>
    <col min="10486" max="10486" width="2.81640625" style="940" customWidth="1"/>
    <col min="10487" max="10487" width="13.1796875" style="940" customWidth="1"/>
    <col min="10488" max="10488" width="60.453125" style="940" customWidth="1"/>
    <col min="10489" max="10493" width="10.81640625" style="940" bestFit="1" customWidth="1"/>
    <col min="10494" max="10494" width="11.81640625" style="940" bestFit="1" customWidth="1"/>
    <col min="10495" max="10495" width="14.453125" style="940" bestFit="1" customWidth="1"/>
    <col min="10496" max="10496" width="17.453125" style="940" bestFit="1" customWidth="1"/>
    <col min="10497" max="10499" width="17.54296875" style="940" bestFit="1" customWidth="1"/>
    <col min="10500" max="10506" width="21" style="940" bestFit="1" customWidth="1"/>
    <col min="10507" max="10514" width="21.1796875" style="940" bestFit="1" customWidth="1"/>
    <col min="10515" max="10515" width="22.54296875" style="940" customWidth="1"/>
    <col min="10516" max="10516" width="22" style="940" customWidth="1"/>
    <col min="10517" max="10517" width="22.54296875" style="940" customWidth="1"/>
    <col min="10518" max="10523" width="21.1796875" style="940" bestFit="1" customWidth="1"/>
    <col min="10524" max="10524" width="19.54296875" style="940" customWidth="1"/>
    <col min="10525" max="10525" width="21.1796875" style="940" bestFit="1" customWidth="1"/>
    <col min="10526" max="10526" width="22.54296875" style="940" customWidth="1"/>
    <col min="10527" max="10527" width="22" style="940" customWidth="1"/>
    <col min="10528" max="10528" width="23.453125" style="940" bestFit="1" customWidth="1"/>
    <col min="10529" max="10531" width="9.1796875" style="940"/>
    <col min="10532" max="10532" width="11.453125" style="940" customWidth="1"/>
    <col min="10533" max="10533" width="10.453125" style="940" customWidth="1"/>
    <col min="10534" max="10741" width="9.1796875" style="940"/>
    <col min="10742" max="10742" width="2.81640625" style="940" customWidth="1"/>
    <col min="10743" max="10743" width="13.1796875" style="940" customWidth="1"/>
    <col min="10744" max="10744" width="60.453125" style="940" customWidth="1"/>
    <col min="10745" max="10749" width="10.81640625" style="940" bestFit="1" customWidth="1"/>
    <col min="10750" max="10750" width="11.81640625" style="940" bestFit="1" customWidth="1"/>
    <col min="10751" max="10751" width="14.453125" style="940" bestFit="1" customWidth="1"/>
    <col min="10752" max="10752" width="17.453125" style="940" bestFit="1" customWidth="1"/>
    <col min="10753" max="10755" width="17.54296875" style="940" bestFit="1" customWidth="1"/>
    <col min="10756" max="10762" width="21" style="940" bestFit="1" customWidth="1"/>
    <col min="10763" max="10770" width="21.1796875" style="940" bestFit="1" customWidth="1"/>
    <col min="10771" max="10771" width="22.54296875" style="940" customWidth="1"/>
    <col min="10772" max="10772" width="22" style="940" customWidth="1"/>
    <col min="10773" max="10773" width="22.54296875" style="940" customWidth="1"/>
    <col min="10774" max="10779" width="21.1796875" style="940" bestFit="1" customWidth="1"/>
    <col min="10780" max="10780" width="19.54296875" style="940" customWidth="1"/>
    <col min="10781" max="10781" width="21.1796875" style="940" bestFit="1" customWidth="1"/>
    <col min="10782" max="10782" width="22.54296875" style="940" customWidth="1"/>
    <col min="10783" max="10783" width="22" style="940" customWidth="1"/>
    <col min="10784" max="10784" width="23.453125" style="940" bestFit="1" customWidth="1"/>
    <col min="10785" max="10787" width="9.1796875" style="940"/>
    <col min="10788" max="10788" width="11.453125" style="940" customWidth="1"/>
    <col min="10789" max="10789" width="10.453125" style="940" customWidth="1"/>
    <col min="10790" max="10997" width="9.1796875" style="940"/>
    <col min="10998" max="10998" width="2.81640625" style="940" customWidth="1"/>
    <col min="10999" max="10999" width="13.1796875" style="940" customWidth="1"/>
    <col min="11000" max="11000" width="60.453125" style="940" customWidth="1"/>
    <col min="11001" max="11005" width="10.81640625" style="940" bestFit="1" customWidth="1"/>
    <col min="11006" max="11006" width="11.81640625" style="940" bestFit="1" customWidth="1"/>
    <col min="11007" max="11007" width="14.453125" style="940" bestFit="1" customWidth="1"/>
    <col min="11008" max="11008" width="17.453125" style="940" bestFit="1" customWidth="1"/>
    <col min="11009" max="11011" width="17.54296875" style="940" bestFit="1" customWidth="1"/>
    <col min="11012" max="11018" width="21" style="940" bestFit="1" customWidth="1"/>
    <col min="11019" max="11026" width="21.1796875" style="940" bestFit="1" customWidth="1"/>
    <col min="11027" max="11027" width="22.54296875" style="940" customWidth="1"/>
    <col min="11028" max="11028" width="22" style="940" customWidth="1"/>
    <col min="11029" max="11029" width="22.54296875" style="940" customWidth="1"/>
    <col min="11030" max="11035" width="21.1796875" style="940" bestFit="1" customWidth="1"/>
    <col min="11036" max="11036" width="19.54296875" style="940" customWidth="1"/>
    <col min="11037" max="11037" width="21.1796875" style="940" bestFit="1" customWidth="1"/>
    <col min="11038" max="11038" width="22.54296875" style="940" customWidth="1"/>
    <col min="11039" max="11039" width="22" style="940" customWidth="1"/>
    <col min="11040" max="11040" width="23.453125" style="940" bestFit="1" customWidth="1"/>
    <col min="11041" max="11043" width="9.1796875" style="940"/>
    <col min="11044" max="11044" width="11.453125" style="940" customWidth="1"/>
    <col min="11045" max="11045" width="10.453125" style="940" customWidth="1"/>
    <col min="11046" max="11253" width="9.1796875" style="940"/>
    <col min="11254" max="11254" width="2.81640625" style="940" customWidth="1"/>
    <col min="11255" max="11255" width="13.1796875" style="940" customWidth="1"/>
    <col min="11256" max="11256" width="60.453125" style="940" customWidth="1"/>
    <col min="11257" max="11261" width="10.81640625" style="940" bestFit="1" customWidth="1"/>
    <col min="11262" max="11262" width="11.81640625" style="940" bestFit="1" customWidth="1"/>
    <col min="11263" max="11263" width="14.453125" style="940" bestFit="1" customWidth="1"/>
    <col min="11264" max="11264" width="17.453125" style="940" bestFit="1" customWidth="1"/>
    <col min="11265" max="11267" width="17.54296875" style="940" bestFit="1" customWidth="1"/>
    <col min="11268" max="11274" width="21" style="940" bestFit="1" customWidth="1"/>
    <col min="11275" max="11282" width="21.1796875" style="940" bestFit="1" customWidth="1"/>
    <col min="11283" max="11283" width="22.54296875" style="940" customWidth="1"/>
    <col min="11284" max="11284" width="22" style="940" customWidth="1"/>
    <col min="11285" max="11285" width="22.54296875" style="940" customWidth="1"/>
    <col min="11286" max="11291" width="21.1796875" style="940" bestFit="1" customWidth="1"/>
    <col min="11292" max="11292" width="19.54296875" style="940" customWidth="1"/>
    <col min="11293" max="11293" width="21.1796875" style="940" bestFit="1" customWidth="1"/>
    <col min="11294" max="11294" width="22.54296875" style="940" customWidth="1"/>
    <col min="11295" max="11295" width="22" style="940" customWidth="1"/>
    <col min="11296" max="11296" width="23.453125" style="940" bestFit="1" customWidth="1"/>
    <col min="11297" max="11299" width="9.1796875" style="940"/>
    <col min="11300" max="11300" width="11.453125" style="940" customWidth="1"/>
    <col min="11301" max="11301" width="10.453125" style="940" customWidth="1"/>
    <col min="11302" max="11509" width="9.1796875" style="940"/>
    <col min="11510" max="11510" width="2.81640625" style="940" customWidth="1"/>
    <col min="11511" max="11511" width="13.1796875" style="940" customWidth="1"/>
    <col min="11512" max="11512" width="60.453125" style="940" customWidth="1"/>
    <col min="11513" max="11517" width="10.81640625" style="940" bestFit="1" customWidth="1"/>
    <col min="11518" max="11518" width="11.81640625" style="940" bestFit="1" customWidth="1"/>
    <col min="11519" max="11519" width="14.453125" style="940" bestFit="1" customWidth="1"/>
    <col min="11520" max="11520" width="17.453125" style="940" bestFit="1" customWidth="1"/>
    <col min="11521" max="11523" width="17.54296875" style="940" bestFit="1" customWidth="1"/>
    <col min="11524" max="11530" width="21" style="940" bestFit="1" customWidth="1"/>
    <col min="11531" max="11538" width="21.1796875" style="940" bestFit="1" customWidth="1"/>
    <col min="11539" max="11539" width="22.54296875" style="940" customWidth="1"/>
    <col min="11540" max="11540" width="22" style="940" customWidth="1"/>
    <col min="11541" max="11541" width="22.54296875" style="940" customWidth="1"/>
    <col min="11542" max="11547" width="21.1796875" style="940" bestFit="1" customWidth="1"/>
    <col min="11548" max="11548" width="19.54296875" style="940" customWidth="1"/>
    <col min="11549" max="11549" width="21.1796875" style="940" bestFit="1" customWidth="1"/>
    <col min="11550" max="11550" width="22.54296875" style="940" customWidth="1"/>
    <col min="11551" max="11551" width="22" style="940" customWidth="1"/>
    <col min="11552" max="11552" width="23.453125" style="940" bestFit="1" customWidth="1"/>
    <col min="11553" max="11555" width="9.1796875" style="940"/>
    <col min="11556" max="11556" width="11.453125" style="940" customWidth="1"/>
    <col min="11557" max="11557" width="10.453125" style="940" customWidth="1"/>
    <col min="11558" max="11765" width="9.1796875" style="940"/>
    <col min="11766" max="11766" width="2.81640625" style="940" customWidth="1"/>
    <col min="11767" max="11767" width="13.1796875" style="940" customWidth="1"/>
    <col min="11768" max="11768" width="60.453125" style="940" customWidth="1"/>
    <col min="11769" max="11773" width="10.81640625" style="940" bestFit="1" customWidth="1"/>
    <col min="11774" max="11774" width="11.81640625" style="940" bestFit="1" customWidth="1"/>
    <col min="11775" max="11775" width="14.453125" style="940" bestFit="1" customWidth="1"/>
    <col min="11776" max="11776" width="17.453125" style="940" bestFit="1" customWidth="1"/>
    <col min="11777" max="11779" width="17.54296875" style="940" bestFit="1" customWidth="1"/>
    <col min="11780" max="11786" width="21" style="940" bestFit="1" customWidth="1"/>
    <col min="11787" max="11794" width="21.1796875" style="940" bestFit="1" customWidth="1"/>
    <col min="11795" max="11795" width="22.54296875" style="940" customWidth="1"/>
    <col min="11796" max="11796" width="22" style="940" customWidth="1"/>
    <col min="11797" max="11797" width="22.54296875" style="940" customWidth="1"/>
    <col min="11798" max="11803" width="21.1796875" style="940" bestFit="1" customWidth="1"/>
    <col min="11804" max="11804" width="19.54296875" style="940" customWidth="1"/>
    <col min="11805" max="11805" width="21.1796875" style="940" bestFit="1" customWidth="1"/>
    <col min="11806" max="11806" width="22.54296875" style="940" customWidth="1"/>
    <col min="11807" max="11807" width="22" style="940" customWidth="1"/>
    <col min="11808" max="11808" width="23.453125" style="940" bestFit="1" customWidth="1"/>
    <col min="11809" max="11811" width="9.1796875" style="940"/>
    <col min="11812" max="11812" width="11.453125" style="940" customWidth="1"/>
    <col min="11813" max="11813" width="10.453125" style="940" customWidth="1"/>
    <col min="11814" max="12021" width="9.1796875" style="940"/>
    <col min="12022" max="12022" width="2.81640625" style="940" customWidth="1"/>
    <col min="12023" max="12023" width="13.1796875" style="940" customWidth="1"/>
    <col min="12024" max="12024" width="60.453125" style="940" customWidth="1"/>
    <col min="12025" max="12029" width="10.81640625" style="940" bestFit="1" customWidth="1"/>
    <col min="12030" max="12030" width="11.81640625" style="940" bestFit="1" customWidth="1"/>
    <col min="12031" max="12031" width="14.453125" style="940" bestFit="1" customWidth="1"/>
    <col min="12032" max="12032" width="17.453125" style="940" bestFit="1" customWidth="1"/>
    <col min="12033" max="12035" width="17.54296875" style="940" bestFit="1" customWidth="1"/>
    <col min="12036" max="12042" width="21" style="940" bestFit="1" customWidth="1"/>
    <col min="12043" max="12050" width="21.1796875" style="940" bestFit="1" customWidth="1"/>
    <col min="12051" max="12051" width="22.54296875" style="940" customWidth="1"/>
    <col min="12052" max="12052" width="22" style="940" customWidth="1"/>
    <col min="12053" max="12053" width="22.54296875" style="940" customWidth="1"/>
    <col min="12054" max="12059" width="21.1796875" style="940" bestFit="1" customWidth="1"/>
    <col min="12060" max="12060" width="19.54296875" style="940" customWidth="1"/>
    <col min="12061" max="12061" width="21.1796875" style="940" bestFit="1" customWidth="1"/>
    <col min="12062" max="12062" width="22.54296875" style="940" customWidth="1"/>
    <col min="12063" max="12063" width="22" style="940" customWidth="1"/>
    <col min="12064" max="12064" width="23.453125" style="940" bestFit="1" customWidth="1"/>
    <col min="12065" max="12067" width="9.1796875" style="940"/>
    <col min="12068" max="12068" width="11.453125" style="940" customWidth="1"/>
    <col min="12069" max="12069" width="10.453125" style="940" customWidth="1"/>
    <col min="12070" max="12277" width="9.1796875" style="940"/>
    <col min="12278" max="12278" width="2.81640625" style="940" customWidth="1"/>
    <col min="12279" max="12279" width="13.1796875" style="940" customWidth="1"/>
    <col min="12280" max="12280" width="60.453125" style="940" customWidth="1"/>
    <col min="12281" max="12285" width="10.81640625" style="940" bestFit="1" customWidth="1"/>
    <col min="12286" max="12286" width="11.81640625" style="940" bestFit="1" customWidth="1"/>
    <col min="12287" max="12287" width="14.453125" style="940" bestFit="1" customWidth="1"/>
    <col min="12288" max="12288" width="17.453125" style="940" bestFit="1" customWidth="1"/>
    <col min="12289" max="12291" width="17.54296875" style="940" bestFit="1" customWidth="1"/>
    <col min="12292" max="12298" width="21" style="940" bestFit="1" customWidth="1"/>
    <col min="12299" max="12306" width="21.1796875" style="940" bestFit="1" customWidth="1"/>
    <col min="12307" max="12307" width="22.54296875" style="940" customWidth="1"/>
    <col min="12308" max="12308" width="22" style="940" customWidth="1"/>
    <col min="12309" max="12309" width="22.54296875" style="940" customWidth="1"/>
    <col min="12310" max="12315" width="21.1796875" style="940" bestFit="1" customWidth="1"/>
    <col min="12316" max="12316" width="19.54296875" style="940" customWidth="1"/>
    <col min="12317" max="12317" width="21.1796875" style="940" bestFit="1" customWidth="1"/>
    <col min="12318" max="12318" width="22.54296875" style="940" customWidth="1"/>
    <col min="12319" max="12319" width="22" style="940" customWidth="1"/>
    <col min="12320" max="12320" width="23.453125" style="940" bestFit="1" customWidth="1"/>
    <col min="12321" max="12323" width="9.1796875" style="940"/>
    <col min="12324" max="12324" width="11.453125" style="940" customWidth="1"/>
    <col min="12325" max="12325" width="10.453125" style="940" customWidth="1"/>
    <col min="12326" max="12533" width="9.1796875" style="940"/>
    <col min="12534" max="12534" width="2.81640625" style="940" customWidth="1"/>
    <col min="12535" max="12535" width="13.1796875" style="940" customWidth="1"/>
    <col min="12536" max="12536" width="60.453125" style="940" customWidth="1"/>
    <col min="12537" max="12541" width="10.81640625" style="940" bestFit="1" customWidth="1"/>
    <col min="12542" max="12542" width="11.81640625" style="940" bestFit="1" customWidth="1"/>
    <col min="12543" max="12543" width="14.453125" style="940" bestFit="1" customWidth="1"/>
    <col min="12544" max="12544" width="17.453125" style="940" bestFit="1" customWidth="1"/>
    <col min="12545" max="12547" width="17.54296875" style="940" bestFit="1" customWidth="1"/>
    <col min="12548" max="12554" width="21" style="940" bestFit="1" customWidth="1"/>
    <col min="12555" max="12562" width="21.1796875" style="940" bestFit="1" customWidth="1"/>
    <col min="12563" max="12563" width="22.54296875" style="940" customWidth="1"/>
    <col min="12564" max="12564" width="22" style="940" customWidth="1"/>
    <col min="12565" max="12565" width="22.54296875" style="940" customWidth="1"/>
    <col min="12566" max="12571" width="21.1796875" style="940" bestFit="1" customWidth="1"/>
    <col min="12572" max="12572" width="19.54296875" style="940" customWidth="1"/>
    <col min="12573" max="12573" width="21.1796875" style="940" bestFit="1" customWidth="1"/>
    <col min="12574" max="12574" width="22.54296875" style="940" customWidth="1"/>
    <col min="12575" max="12575" width="22" style="940" customWidth="1"/>
    <col min="12576" max="12576" width="23.453125" style="940" bestFit="1" customWidth="1"/>
    <col min="12577" max="12579" width="9.1796875" style="940"/>
    <col min="12580" max="12580" width="11.453125" style="940" customWidth="1"/>
    <col min="12581" max="12581" width="10.453125" style="940" customWidth="1"/>
    <col min="12582" max="12789" width="9.1796875" style="940"/>
    <col min="12790" max="12790" width="2.81640625" style="940" customWidth="1"/>
    <col min="12791" max="12791" width="13.1796875" style="940" customWidth="1"/>
    <col min="12792" max="12792" width="60.453125" style="940" customWidth="1"/>
    <col min="12793" max="12797" width="10.81640625" style="940" bestFit="1" customWidth="1"/>
    <col min="12798" max="12798" width="11.81640625" style="940" bestFit="1" customWidth="1"/>
    <col min="12799" max="12799" width="14.453125" style="940" bestFit="1" customWidth="1"/>
    <col min="12800" max="12800" width="17.453125" style="940" bestFit="1" customWidth="1"/>
    <col min="12801" max="12803" width="17.54296875" style="940" bestFit="1" customWidth="1"/>
    <col min="12804" max="12810" width="21" style="940" bestFit="1" customWidth="1"/>
    <col min="12811" max="12818" width="21.1796875" style="940" bestFit="1" customWidth="1"/>
    <col min="12819" max="12819" width="22.54296875" style="940" customWidth="1"/>
    <col min="12820" max="12820" width="22" style="940" customWidth="1"/>
    <col min="12821" max="12821" width="22.54296875" style="940" customWidth="1"/>
    <col min="12822" max="12827" width="21.1796875" style="940" bestFit="1" customWidth="1"/>
    <col min="12828" max="12828" width="19.54296875" style="940" customWidth="1"/>
    <col min="12829" max="12829" width="21.1796875" style="940" bestFit="1" customWidth="1"/>
    <col min="12830" max="12830" width="22.54296875" style="940" customWidth="1"/>
    <col min="12831" max="12831" width="22" style="940" customWidth="1"/>
    <col min="12832" max="12832" width="23.453125" style="940" bestFit="1" customWidth="1"/>
    <col min="12833" max="12835" width="9.1796875" style="940"/>
    <col min="12836" max="12836" width="11.453125" style="940" customWidth="1"/>
    <col min="12837" max="12837" width="10.453125" style="940" customWidth="1"/>
    <col min="12838" max="13045" width="9.1796875" style="940"/>
    <col min="13046" max="13046" width="2.81640625" style="940" customWidth="1"/>
    <col min="13047" max="13047" width="13.1796875" style="940" customWidth="1"/>
    <col min="13048" max="13048" width="60.453125" style="940" customWidth="1"/>
    <col min="13049" max="13053" width="10.81640625" style="940" bestFit="1" customWidth="1"/>
    <col min="13054" max="13054" width="11.81640625" style="940" bestFit="1" customWidth="1"/>
    <col min="13055" max="13055" width="14.453125" style="940" bestFit="1" customWidth="1"/>
    <col min="13056" max="13056" width="17.453125" style="940" bestFit="1" customWidth="1"/>
    <col min="13057" max="13059" width="17.54296875" style="940" bestFit="1" customWidth="1"/>
    <col min="13060" max="13066" width="21" style="940" bestFit="1" customWidth="1"/>
    <col min="13067" max="13074" width="21.1796875" style="940" bestFit="1" customWidth="1"/>
    <col min="13075" max="13075" width="22.54296875" style="940" customWidth="1"/>
    <col min="13076" max="13076" width="22" style="940" customWidth="1"/>
    <col min="13077" max="13077" width="22.54296875" style="940" customWidth="1"/>
    <col min="13078" max="13083" width="21.1796875" style="940" bestFit="1" customWidth="1"/>
    <col min="13084" max="13084" width="19.54296875" style="940" customWidth="1"/>
    <col min="13085" max="13085" width="21.1796875" style="940" bestFit="1" customWidth="1"/>
    <col min="13086" max="13086" width="22.54296875" style="940" customWidth="1"/>
    <col min="13087" max="13087" width="22" style="940" customWidth="1"/>
    <col min="13088" max="13088" width="23.453125" style="940" bestFit="1" customWidth="1"/>
    <col min="13089" max="13091" width="9.1796875" style="940"/>
    <col min="13092" max="13092" width="11.453125" style="940" customWidth="1"/>
    <col min="13093" max="13093" width="10.453125" style="940" customWidth="1"/>
    <col min="13094" max="13301" width="9.1796875" style="940"/>
    <col min="13302" max="13302" width="2.81640625" style="940" customWidth="1"/>
    <col min="13303" max="13303" width="13.1796875" style="940" customWidth="1"/>
    <col min="13304" max="13304" width="60.453125" style="940" customWidth="1"/>
    <col min="13305" max="13309" width="10.81640625" style="940" bestFit="1" customWidth="1"/>
    <col min="13310" max="13310" width="11.81640625" style="940" bestFit="1" customWidth="1"/>
    <col min="13311" max="13311" width="14.453125" style="940" bestFit="1" customWidth="1"/>
    <col min="13312" max="13312" width="17.453125" style="940" bestFit="1" customWidth="1"/>
    <col min="13313" max="13315" width="17.54296875" style="940" bestFit="1" customWidth="1"/>
    <col min="13316" max="13322" width="21" style="940" bestFit="1" customWidth="1"/>
    <col min="13323" max="13330" width="21.1796875" style="940" bestFit="1" customWidth="1"/>
    <col min="13331" max="13331" width="22.54296875" style="940" customWidth="1"/>
    <col min="13332" max="13332" width="22" style="940" customWidth="1"/>
    <col min="13333" max="13333" width="22.54296875" style="940" customWidth="1"/>
    <col min="13334" max="13339" width="21.1796875" style="940" bestFit="1" customWidth="1"/>
    <col min="13340" max="13340" width="19.54296875" style="940" customWidth="1"/>
    <col min="13341" max="13341" width="21.1796875" style="940" bestFit="1" customWidth="1"/>
    <col min="13342" max="13342" width="22.54296875" style="940" customWidth="1"/>
    <col min="13343" max="13343" width="22" style="940" customWidth="1"/>
    <col min="13344" max="13344" width="23.453125" style="940" bestFit="1" customWidth="1"/>
    <col min="13345" max="13347" width="9.1796875" style="940"/>
    <col min="13348" max="13348" width="11.453125" style="940" customWidth="1"/>
    <col min="13349" max="13349" width="10.453125" style="940" customWidth="1"/>
    <col min="13350" max="13557" width="9.1796875" style="940"/>
    <col min="13558" max="13558" width="2.81640625" style="940" customWidth="1"/>
    <col min="13559" max="13559" width="13.1796875" style="940" customWidth="1"/>
    <col min="13560" max="13560" width="60.453125" style="940" customWidth="1"/>
    <col min="13561" max="13565" width="10.81640625" style="940" bestFit="1" customWidth="1"/>
    <col min="13566" max="13566" width="11.81640625" style="940" bestFit="1" customWidth="1"/>
    <col min="13567" max="13567" width="14.453125" style="940" bestFit="1" customWidth="1"/>
    <col min="13568" max="13568" width="17.453125" style="940" bestFit="1" customWidth="1"/>
    <col min="13569" max="13571" width="17.54296875" style="940" bestFit="1" customWidth="1"/>
    <col min="13572" max="13578" width="21" style="940" bestFit="1" customWidth="1"/>
    <col min="13579" max="13586" width="21.1796875" style="940" bestFit="1" customWidth="1"/>
    <col min="13587" max="13587" width="22.54296875" style="940" customWidth="1"/>
    <col min="13588" max="13588" width="22" style="940" customWidth="1"/>
    <col min="13589" max="13589" width="22.54296875" style="940" customWidth="1"/>
    <col min="13590" max="13595" width="21.1796875" style="940" bestFit="1" customWidth="1"/>
    <col min="13596" max="13596" width="19.54296875" style="940" customWidth="1"/>
    <col min="13597" max="13597" width="21.1796875" style="940" bestFit="1" customWidth="1"/>
    <col min="13598" max="13598" width="22.54296875" style="940" customWidth="1"/>
    <col min="13599" max="13599" width="22" style="940" customWidth="1"/>
    <col min="13600" max="13600" width="23.453125" style="940" bestFit="1" customWidth="1"/>
    <col min="13601" max="13603" width="9.1796875" style="940"/>
    <col min="13604" max="13604" width="11.453125" style="940" customWidth="1"/>
    <col min="13605" max="13605" width="10.453125" style="940" customWidth="1"/>
    <col min="13606" max="13813" width="9.1796875" style="940"/>
    <col min="13814" max="13814" width="2.81640625" style="940" customWidth="1"/>
    <col min="13815" max="13815" width="13.1796875" style="940" customWidth="1"/>
    <col min="13816" max="13816" width="60.453125" style="940" customWidth="1"/>
    <col min="13817" max="13821" width="10.81640625" style="940" bestFit="1" customWidth="1"/>
    <col min="13822" max="13822" width="11.81640625" style="940" bestFit="1" customWidth="1"/>
    <col min="13823" max="13823" width="14.453125" style="940" bestFit="1" customWidth="1"/>
    <col min="13824" max="13824" width="17.453125" style="940" bestFit="1" customWidth="1"/>
    <col min="13825" max="13827" width="17.54296875" style="940" bestFit="1" customWidth="1"/>
    <col min="13828" max="13834" width="21" style="940" bestFit="1" customWidth="1"/>
    <col min="13835" max="13842" width="21.1796875" style="940" bestFit="1" customWidth="1"/>
    <col min="13843" max="13843" width="22.54296875" style="940" customWidth="1"/>
    <col min="13844" max="13844" width="22" style="940" customWidth="1"/>
    <col min="13845" max="13845" width="22.54296875" style="940" customWidth="1"/>
    <col min="13846" max="13851" width="21.1796875" style="940" bestFit="1" customWidth="1"/>
    <col min="13852" max="13852" width="19.54296875" style="940" customWidth="1"/>
    <col min="13853" max="13853" width="21.1796875" style="940" bestFit="1" customWidth="1"/>
    <col min="13854" max="13854" width="22.54296875" style="940" customWidth="1"/>
    <col min="13855" max="13855" width="22" style="940" customWidth="1"/>
    <col min="13856" max="13856" width="23.453125" style="940" bestFit="1" customWidth="1"/>
    <col min="13857" max="13859" width="9.1796875" style="940"/>
    <col min="13860" max="13860" width="11.453125" style="940" customWidth="1"/>
    <col min="13861" max="13861" width="10.453125" style="940" customWidth="1"/>
    <col min="13862" max="14069" width="9.1796875" style="940"/>
    <col min="14070" max="14070" width="2.81640625" style="940" customWidth="1"/>
    <col min="14071" max="14071" width="13.1796875" style="940" customWidth="1"/>
    <col min="14072" max="14072" width="60.453125" style="940" customWidth="1"/>
    <col min="14073" max="14077" width="10.81640625" style="940" bestFit="1" customWidth="1"/>
    <col min="14078" max="14078" width="11.81640625" style="940" bestFit="1" customWidth="1"/>
    <col min="14079" max="14079" width="14.453125" style="940" bestFit="1" customWidth="1"/>
    <col min="14080" max="14080" width="17.453125" style="940" bestFit="1" customWidth="1"/>
    <col min="14081" max="14083" width="17.54296875" style="940" bestFit="1" customWidth="1"/>
    <col min="14084" max="14090" width="21" style="940" bestFit="1" customWidth="1"/>
    <col min="14091" max="14098" width="21.1796875" style="940" bestFit="1" customWidth="1"/>
    <col min="14099" max="14099" width="22.54296875" style="940" customWidth="1"/>
    <col min="14100" max="14100" width="22" style="940" customWidth="1"/>
    <col min="14101" max="14101" width="22.54296875" style="940" customWidth="1"/>
    <col min="14102" max="14107" width="21.1796875" style="940" bestFit="1" customWidth="1"/>
    <col min="14108" max="14108" width="19.54296875" style="940" customWidth="1"/>
    <col min="14109" max="14109" width="21.1796875" style="940" bestFit="1" customWidth="1"/>
    <col min="14110" max="14110" width="22.54296875" style="940" customWidth="1"/>
    <col min="14111" max="14111" width="22" style="940" customWidth="1"/>
    <col min="14112" max="14112" width="23.453125" style="940" bestFit="1" customWidth="1"/>
    <col min="14113" max="14115" width="9.1796875" style="940"/>
    <col min="14116" max="14116" width="11.453125" style="940" customWidth="1"/>
    <col min="14117" max="14117" width="10.453125" style="940" customWidth="1"/>
    <col min="14118" max="14325" width="9.1796875" style="940"/>
    <col min="14326" max="14326" width="2.81640625" style="940" customWidth="1"/>
    <col min="14327" max="14327" width="13.1796875" style="940" customWidth="1"/>
    <col min="14328" max="14328" width="60.453125" style="940" customWidth="1"/>
    <col min="14329" max="14333" width="10.81640625" style="940" bestFit="1" customWidth="1"/>
    <col min="14334" max="14334" width="11.81640625" style="940" bestFit="1" customWidth="1"/>
    <col min="14335" max="14335" width="14.453125" style="940" bestFit="1" customWidth="1"/>
    <col min="14336" max="14336" width="17.453125" style="940" bestFit="1" customWidth="1"/>
    <col min="14337" max="14339" width="17.54296875" style="940" bestFit="1" customWidth="1"/>
    <col min="14340" max="14346" width="21" style="940" bestFit="1" customWidth="1"/>
    <col min="14347" max="14354" width="21.1796875" style="940" bestFit="1" customWidth="1"/>
    <col min="14355" max="14355" width="22.54296875" style="940" customWidth="1"/>
    <col min="14356" max="14356" width="22" style="940" customWidth="1"/>
    <col min="14357" max="14357" width="22.54296875" style="940" customWidth="1"/>
    <col min="14358" max="14363" width="21.1796875" style="940" bestFit="1" customWidth="1"/>
    <col min="14364" max="14364" width="19.54296875" style="940" customWidth="1"/>
    <col min="14365" max="14365" width="21.1796875" style="940" bestFit="1" customWidth="1"/>
    <col min="14366" max="14366" width="22.54296875" style="940" customWidth="1"/>
    <col min="14367" max="14367" width="22" style="940" customWidth="1"/>
    <col min="14368" max="14368" width="23.453125" style="940" bestFit="1" customWidth="1"/>
    <col min="14369" max="14371" width="9.1796875" style="940"/>
    <col min="14372" max="14372" width="11.453125" style="940" customWidth="1"/>
    <col min="14373" max="14373" width="10.453125" style="940" customWidth="1"/>
    <col min="14374" max="14581" width="9.1796875" style="940"/>
    <col min="14582" max="14582" width="2.81640625" style="940" customWidth="1"/>
    <col min="14583" max="14583" width="13.1796875" style="940" customWidth="1"/>
    <col min="14584" max="14584" width="60.453125" style="940" customWidth="1"/>
    <col min="14585" max="14589" width="10.81640625" style="940" bestFit="1" customWidth="1"/>
    <col min="14590" max="14590" width="11.81640625" style="940" bestFit="1" customWidth="1"/>
    <col min="14591" max="14591" width="14.453125" style="940" bestFit="1" customWidth="1"/>
    <col min="14592" max="14592" width="17.453125" style="940" bestFit="1" customWidth="1"/>
    <col min="14593" max="14595" width="17.54296875" style="940" bestFit="1" customWidth="1"/>
    <col min="14596" max="14602" width="21" style="940" bestFit="1" customWidth="1"/>
    <col min="14603" max="14610" width="21.1796875" style="940" bestFit="1" customWidth="1"/>
    <col min="14611" max="14611" width="22.54296875" style="940" customWidth="1"/>
    <col min="14612" max="14612" width="22" style="940" customWidth="1"/>
    <col min="14613" max="14613" width="22.54296875" style="940" customWidth="1"/>
    <col min="14614" max="14619" width="21.1796875" style="940" bestFit="1" customWidth="1"/>
    <col min="14620" max="14620" width="19.54296875" style="940" customWidth="1"/>
    <col min="14621" max="14621" width="21.1796875" style="940" bestFit="1" customWidth="1"/>
    <col min="14622" max="14622" width="22.54296875" style="940" customWidth="1"/>
    <col min="14623" max="14623" width="22" style="940" customWidth="1"/>
    <col min="14624" max="14624" width="23.453125" style="940" bestFit="1" customWidth="1"/>
    <col min="14625" max="14627" width="9.1796875" style="940"/>
    <col min="14628" max="14628" width="11.453125" style="940" customWidth="1"/>
    <col min="14629" max="14629" width="10.453125" style="940" customWidth="1"/>
    <col min="14630" max="14837" width="9.1796875" style="940"/>
    <col min="14838" max="14838" width="2.81640625" style="940" customWidth="1"/>
    <col min="14839" max="14839" width="13.1796875" style="940" customWidth="1"/>
    <col min="14840" max="14840" width="60.453125" style="940" customWidth="1"/>
    <col min="14841" max="14845" width="10.81640625" style="940" bestFit="1" customWidth="1"/>
    <col min="14846" max="14846" width="11.81640625" style="940" bestFit="1" customWidth="1"/>
    <col min="14847" max="14847" width="14.453125" style="940" bestFit="1" customWidth="1"/>
    <col min="14848" max="14848" width="17.453125" style="940" bestFit="1" customWidth="1"/>
    <col min="14849" max="14851" width="17.54296875" style="940" bestFit="1" customWidth="1"/>
    <col min="14852" max="14858" width="21" style="940" bestFit="1" customWidth="1"/>
    <col min="14859" max="14866" width="21.1796875" style="940" bestFit="1" customWidth="1"/>
    <col min="14867" max="14867" width="22.54296875" style="940" customWidth="1"/>
    <col min="14868" max="14868" width="22" style="940" customWidth="1"/>
    <col min="14869" max="14869" width="22.54296875" style="940" customWidth="1"/>
    <col min="14870" max="14875" width="21.1796875" style="940" bestFit="1" customWidth="1"/>
    <col min="14876" max="14876" width="19.54296875" style="940" customWidth="1"/>
    <col min="14877" max="14877" width="21.1796875" style="940" bestFit="1" customWidth="1"/>
    <col min="14878" max="14878" width="22.54296875" style="940" customWidth="1"/>
    <col min="14879" max="14879" width="22" style="940" customWidth="1"/>
    <col min="14880" max="14880" width="23.453125" style="940" bestFit="1" customWidth="1"/>
    <col min="14881" max="14883" width="9.1796875" style="940"/>
    <col min="14884" max="14884" width="11.453125" style="940" customWidth="1"/>
    <col min="14885" max="14885" width="10.453125" style="940" customWidth="1"/>
    <col min="14886" max="15093" width="9.1796875" style="940"/>
    <col min="15094" max="15094" width="2.81640625" style="940" customWidth="1"/>
    <col min="15095" max="15095" width="13.1796875" style="940" customWidth="1"/>
    <col min="15096" max="15096" width="60.453125" style="940" customWidth="1"/>
    <col min="15097" max="15101" width="10.81640625" style="940" bestFit="1" customWidth="1"/>
    <col min="15102" max="15102" width="11.81640625" style="940" bestFit="1" customWidth="1"/>
    <col min="15103" max="15103" width="14.453125" style="940" bestFit="1" customWidth="1"/>
    <col min="15104" max="15104" width="17.453125" style="940" bestFit="1" customWidth="1"/>
    <col min="15105" max="15107" width="17.54296875" style="940" bestFit="1" customWidth="1"/>
    <col min="15108" max="15114" width="21" style="940" bestFit="1" customWidth="1"/>
    <col min="15115" max="15122" width="21.1796875" style="940" bestFit="1" customWidth="1"/>
    <col min="15123" max="15123" width="22.54296875" style="940" customWidth="1"/>
    <col min="15124" max="15124" width="22" style="940" customWidth="1"/>
    <col min="15125" max="15125" width="22.54296875" style="940" customWidth="1"/>
    <col min="15126" max="15131" width="21.1796875" style="940" bestFit="1" customWidth="1"/>
    <col min="15132" max="15132" width="19.54296875" style="940" customWidth="1"/>
    <col min="15133" max="15133" width="21.1796875" style="940" bestFit="1" customWidth="1"/>
    <col min="15134" max="15134" width="22.54296875" style="940" customWidth="1"/>
    <col min="15135" max="15135" width="22" style="940" customWidth="1"/>
    <col min="15136" max="15136" width="23.453125" style="940" bestFit="1" customWidth="1"/>
    <col min="15137" max="15139" width="9.1796875" style="940"/>
    <col min="15140" max="15140" width="11.453125" style="940" customWidth="1"/>
    <col min="15141" max="15141" width="10.453125" style="940" customWidth="1"/>
    <col min="15142" max="15349" width="9.1796875" style="940"/>
    <col min="15350" max="15350" width="2.81640625" style="940" customWidth="1"/>
    <col min="15351" max="15351" width="13.1796875" style="940" customWidth="1"/>
    <col min="15352" max="15352" width="60.453125" style="940" customWidth="1"/>
    <col min="15353" max="15357" width="10.81640625" style="940" bestFit="1" customWidth="1"/>
    <col min="15358" max="15358" width="11.81640625" style="940" bestFit="1" customWidth="1"/>
    <col min="15359" max="15359" width="14.453125" style="940" bestFit="1" customWidth="1"/>
    <col min="15360" max="15360" width="17.453125" style="940" bestFit="1" customWidth="1"/>
    <col min="15361" max="15363" width="17.54296875" style="940" bestFit="1" customWidth="1"/>
    <col min="15364" max="15370" width="21" style="940" bestFit="1" customWidth="1"/>
    <col min="15371" max="15378" width="21.1796875" style="940" bestFit="1" customWidth="1"/>
    <col min="15379" max="15379" width="22.54296875" style="940" customWidth="1"/>
    <col min="15380" max="15380" width="22" style="940" customWidth="1"/>
    <col min="15381" max="15381" width="22.54296875" style="940" customWidth="1"/>
    <col min="15382" max="15387" width="21.1796875" style="940" bestFit="1" customWidth="1"/>
    <col min="15388" max="15388" width="19.54296875" style="940" customWidth="1"/>
    <col min="15389" max="15389" width="21.1796875" style="940" bestFit="1" customWidth="1"/>
    <col min="15390" max="15390" width="22.54296875" style="940" customWidth="1"/>
    <col min="15391" max="15391" width="22" style="940" customWidth="1"/>
    <col min="15392" max="15392" width="23.453125" style="940" bestFit="1" customWidth="1"/>
    <col min="15393" max="15395" width="9.1796875" style="940"/>
    <col min="15396" max="15396" width="11.453125" style="940" customWidth="1"/>
    <col min="15397" max="15397" width="10.453125" style="940" customWidth="1"/>
    <col min="15398" max="15605" width="9.1796875" style="940"/>
    <col min="15606" max="15606" width="2.81640625" style="940" customWidth="1"/>
    <col min="15607" max="15607" width="13.1796875" style="940" customWidth="1"/>
    <col min="15608" max="15608" width="60.453125" style="940" customWidth="1"/>
    <col min="15609" max="15613" width="10.81640625" style="940" bestFit="1" customWidth="1"/>
    <col min="15614" max="15614" width="11.81640625" style="940" bestFit="1" customWidth="1"/>
    <col min="15615" max="15615" width="14.453125" style="940" bestFit="1" customWidth="1"/>
    <col min="15616" max="15616" width="17.453125" style="940" bestFit="1" customWidth="1"/>
    <col min="15617" max="15619" width="17.54296875" style="940" bestFit="1" customWidth="1"/>
    <col min="15620" max="15626" width="21" style="940" bestFit="1" customWidth="1"/>
    <col min="15627" max="15634" width="21.1796875" style="940" bestFit="1" customWidth="1"/>
    <col min="15635" max="15635" width="22.54296875" style="940" customWidth="1"/>
    <col min="15636" max="15636" width="22" style="940" customWidth="1"/>
    <col min="15637" max="15637" width="22.54296875" style="940" customWidth="1"/>
    <col min="15638" max="15643" width="21.1796875" style="940" bestFit="1" customWidth="1"/>
    <col min="15644" max="15644" width="19.54296875" style="940" customWidth="1"/>
    <col min="15645" max="15645" width="21.1796875" style="940" bestFit="1" customWidth="1"/>
    <col min="15646" max="15646" width="22.54296875" style="940" customWidth="1"/>
    <col min="15647" max="15647" width="22" style="940" customWidth="1"/>
    <col min="15648" max="15648" width="23.453125" style="940" bestFit="1" customWidth="1"/>
    <col min="15649" max="15651" width="9.1796875" style="940"/>
    <col min="15652" max="15652" width="11.453125" style="940" customWidth="1"/>
    <col min="15653" max="15653" width="10.453125" style="940" customWidth="1"/>
    <col min="15654" max="15861" width="9.1796875" style="940"/>
    <col min="15862" max="15862" width="2.81640625" style="940" customWidth="1"/>
    <col min="15863" max="15863" width="13.1796875" style="940" customWidth="1"/>
    <col min="15864" max="15864" width="60.453125" style="940" customWidth="1"/>
    <col min="15865" max="15869" width="10.81640625" style="940" bestFit="1" customWidth="1"/>
    <col min="15870" max="15870" width="11.81640625" style="940" bestFit="1" customWidth="1"/>
    <col min="15871" max="15871" width="14.453125" style="940" bestFit="1" customWidth="1"/>
    <col min="15872" max="15872" width="17.453125" style="940" bestFit="1" customWidth="1"/>
    <col min="15873" max="15875" width="17.54296875" style="940" bestFit="1" customWidth="1"/>
    <col min="15876" max="15882" width="21" style="940" bestFit="1" customWidth="1"/>
    <col min="15883" max="15890" width="21.1796875" style="940" bestFit="1" customWidth="1"/>
    <col min="15891" max="15891" width="22.54296875" style="940" customWidth="1"/>
    <col min="15892" max="15892" width="22" style="940" customWidth="1"/>
    <col min="15893" max="15893" width="22.54296875" style="940" customWidth="1"/>
    <col min="15894" max="15899" width="21.1796875" style="940" bestFit="1" customWidth="1"/>
    <col min="15900" max="15900" width="19.54296875" style="940" customWidth="1"/>
    <col min="15901" max="15901" width="21.1796875" style="940" bestFit="1" customWidth="1"/>
    <col min="15902" max="15902" width="22.54296875" style="940" customWidth="1"/>
    <col min="15903" max="15903" width="22" style="940" customWidth="1"/>
    <col min="15904" max="15904" width="23.453125" style="940" bestFit="1" customWidth="1"/>
    <col min="15905" max="15907" width="9.1796875" style="940"/>
    <col min="15908" max="15908" width="11.453125" style="940" customWidth="1"/>
    <col min="15909" max="15909" width="10.453125" style="940" customWidth="1"/>
    <col min="15910" max="16117" width="9.1796875" style="940"/>
    <col min="16118" max="16118" width="2.81640625" style="940" customWidth="1"/>
    <col min="16119" max="16119" width="13.1796875" style="940" customWidth="1"/>
    <col min="16120" max="16120" width="60.453125" style="940" customWidth="1"/>
    <col min="16121" max="16125" width="10.81640625" style="940" bestFit="1" customWidth="1"/>
    <col min="16126" max="16126" width="11.81640625" style="940" bestFit="1" customWidth="1"/>
    <col min="16127" max="16127" width="14.453125" style="940" bestFit="1" customWidth="1"/>
    <col min="16128" max="16128" width="17.453125" style="940" bestFit="1" customWidth="1"/>
    <col min="16129" max="16131" width="17.54296875" style="940" bestFit="1" customWidth="1"/>
    <col min="16132" max="16138" width="21" style="940" bestFit="1" customWidth="1"/>
    <col min="16139" max="16146" width="21.1796875" style="940" bestFit="1" customWidth="1"/>
    <col min="16147" max="16147" width="22.54296875" style="940" customWidth="1"/>
    <col min="16148" max="16148" width="22" style="940" customWidth="1"/>
    <col min="16149" max="16149" width="22.54296875" style="940" customWidth="1"/>
    <col min="16150" max="16155" width="21.1796875" style="940" bestFit="1" customWidth="1"/>
    <col min="16156" max="16156" width="19.54296875" style="940" customWidth="1"/>
    <col min="16157" max="16157" width="21.1796875" style="940" bestFit="1" customWidth="1"/>
    <col min="16158" max="16158" width="22.54296875" style="940" customWidth="1"/>
    <col min="16159" max="16159" width="22" style="940" customWidth="1"/>
    <col min="16160" max="16160" width="23.453125" style="940" bestFit="1" customWidth="1"/>
    <col min="16161" max="16163" width="9.1796875" style="940"/>
    <col min="16164" max="16164" width="11.453125" style="940" customWidth="1"/>
    <col min="16165" max="16165" width="10.453125" style="940" customWidth="1"/>
    <col min="16166" max="16384" width="9.1796875" style="940"/>
  </cols>
  <sheetData>
    <row r="1" spans="2:38" x14ac:dyDescent="0.3">
      <c r="B1" s="939"/>
    </row>
    <row r="2" spans="2:38" x14ac:dyDescent="0.3">
      <c r="B2" s="941"/>
      <c r="C2" s="941"/>
      <c r="D2" s="941"/>
      <c r="E2" s="942"/>
      <c r="F2" s="942"/>
      <c r="G2" s="942"/>
      <c r="H2" s="942"/>
      <c r="I2" s="942"/>
      <c r="J2" s="942"/>
      <c r="K2" s="942"/>
      <c r="L2" s="943" t="s">
        <v>1433</v>
      </c>
      <c r="M2" s="942"/>
      <c r="N2" s="942"/>
      <c r="O2" s="942"/>
      <c r="R2" s="942"/>
      <c r="S2" s="942"/>
      <c r="T2" s="942"/>
      <c r="U2" s="942"/>
      <c r="V2" s="942"/>
      <c r="W2" s="942"/>
      <c r="X2" s="942"/>
      <c r="Y2" s="942"/>
      <c r="Z2" s="942"/>
      <c r="AA2" s="942"/>
      <c r="AB2" s="942"/>
      <c r="AC2" s="944"/>
      <c r="AD2" s="942"/>
      <c r="AE2" s="942"/>
      <c r="AF2" s="942"/>
      <c r="AG2" s="942"/>
      <c r="AH2" s="942"/>
      <c r="AI2" s="942"/>
      <c r="AJ2" s="942"/>
      <c r="AK2" s="942"/>
      <c r="AL2" s="942"/>
    </row>
    <row r="3" spans="2:38" x14ac:dyDescent="0.3">
      <c r="B3" s="945"/>
      <c r="C3" s="946"/>
      <c r="E3" s="945"/>
      <c r="F3" s="945"/>
      <c r="G3" s="945"/>
      <c r="H3" s="945"/>
      <c r="I3" s="945"/>
      <c r="J3" s="945"/>
      <c r="K3" s="945"/>
      <c r="L3" s="947" t="s">
        <v>952</v>
      </c>
      <c r="M3" s="945"/>
      <c r="N3" s="945"/>
      <c r="O3" s="945"/>
      <c r="R3" s="945"/>
      <c r="S3" s="945"/>
      <c r="T3" s="945"/>
      <c r="U3" s="945"/>
      <c r="V3" s="945"/>
      <c r="W3" s="945"/>
      <c r="X3" s="945"/>
      <c r="Y3" s="945"/>
      <c r="Z3" s="945"/>
      <c r="AA3" s="945"/>
      <c r="AB3" s="945"/>
      <c r="AC3" s="948"/>
      <c r="AD3" s="949"/>
      <c r="AE3" s="945"/>
      <c r="AF3" s="945"/>
      <c r="AG3" s="945"/>
      <c r="AH3" s="945"/>
      <c r="AI3" s="945"/>
      <c r="AJ3" s="946"/>
      <c r="AK3" s="946"/>
      <c r="AL3" s="946"/>
    </row>
    <row r="4" spans="2:38" x14ac:dyDescent="0.3">
      <c r="B4" s="941"/>
      <c r="C4" s="941"/>
      <c r="D4" s="941"/>
      <c r="L4" s="950" t="s">
        <v>1070</v>
      </c>
      <c r="P4" s="941"/>
    </row>
    <row r="5" spans="2:38" x14ac:dyDescent="0.3">
      <c r="B5" s="643"/>
      <c r="C5" s="643"/>
      <c r="D5" s="643"/>
    </row>
    <row r="6" spans="2:38" x14ac:dyDescent="0.3">
      <c r="B6" s="1616" t="s">
        <v>1071</v>
      </c>
      <c r="C6" s="951" t="s">
        <v>1072</v>
      </c>
      <c r="D6" s="1615" t="s">
        <v>1434</v>
      </c>
      <c r="E6" s="1615"/>
      <c r="F6" s="1615"/>
      <c r="G6" s="1615"/>
      <c r="H6" s="1615" t="s">
        <v>1435</v>
      </c>
      <c r="I6" s="1615"/>
      <c r="J6" s="1615"/>
      <c r="K6" s="1615"/>
      <c r="L6" s="1615" t="s">
        <v>1436</v>
      </c>
      <c r="M6" s="1615"/>
      <c r="N6" s="1615"/>
      <c r="O6" s="1615"/>
      <c r="P6" s="1615" t="s">
        <v>1437</v>
      </c>
      <c r="Q6" s="1615"/>
      <c r="R6" s="1615"/>
      <c r="S6" s="1615"/>
      <c r="T6" s="1615" t="s">
        <v>1438</v>
      </c>
      <c r="U6" s="1615"/>
      <c r="V6" s="1615"/>
      <c r="W6" s="1615"/>
      <c r="X6" s="1615" t="s">
        <v>1439</v>
      </c>
      <c r="Y6" s="1615"/>
      <c r="Z6" s="1615"/>
      <c r="AA6" s="1615"/>
      <c r="AB6" s="1615" t="s">
        <v>1440</v>
      </c>
      <c r="AC6" s="1615"/>
      <c r="AD6" s="1615"/>
      <c r="AE6" s="1615"/>
      <c r="AF6" s="952"/>
    </row>
    <row r="7" spans="2:38" x14ac:dyDescent="0.3">
      <c r="B7" s="1617"/>
      <c r="C7" s="953" t="s">
        <v>1073</v>
      </c>
      <c r="D7" s="954" t="s">
        <v>1074</v>
      </c>
      <c r="E7" s="954" t="s">
        <v>1075</v>
      </c>
      <c r="F7" s="954" t="s">
        <v>1076</v>
      </c>
      <c r="G7" s="954" t="s">
        <v>1077</v>
      </c>
      <c r="H7" s="954" t="s">
        <v>1074</v>
      </c>
      <c r="I7" s="954" t="s">
        <v>1075</v>
      </c>
      <c r="J7" s="954" t="s">
        <v>1076</v>
      </c>
      <c r="K7" s="954" t="s">
        <v>1077</v>
      </c>
      <c r="L7" s="954" t="s">
        <v>1074</v>
      </c>
      <c r="M7" s="954" t="s">
        <v>1075</v>
      </c>
      <c r="N7" s="954" t="s">
        <v>1076</v>
      </c>
      <c r="O7" s="954" t="s">
        <v>1077</v>
      </c>
      <c r="P7" s="954" t="s">
        <v>1074</v>
      </c>
      <c r="Q7" s="954" t="s">
        <v>1075</v>
      </c>
      <c r="R7" s="954" t="s">
        <v>1076</v>
      </c>
      <c r="S7" s="954" t="s">
        <v>1077</v>
      </c>
      <c r="T7" s="954" t="s">
        <v>1074</v>
      </c>
      <c r="U7" s="954" t="s">
        <v>1075</v>
      </c>
      <c r="V7" s="954" t="s">
        <v>1076</v>
      </c>
      <c r="W7" s="954" t="s">
        <v>1077</v>
      </c>
      <c r="X7" s="954" t="s">
        <v>1074</v>
      </c>
      <c r="Y7" s="954" t="s">
        <v>1075</v>
      </c>
      <c r="Z7" s="954" t="s">
        <v>1076</v>
      </c>
      <c r="AA7" s="954" t="s">
        <v>1077</v>
      </c>
      <c r="AB7" s="954" t="s">
        <v>1074</v>
      </c>
      <c r="AC7" s="954" t="s">
        <v>1075</v>
      </c>
      <c r="AD7" s="954" t="s">
        <v>1076</v>
      </c>
      <c r="AE7" s="954" t="s">
        <v>1077</v>
      </c>
      <c r="AF7" s="954" t="s">
        <v>267</v>
      </c>
    </row>
    <row r="8" spans="2:38" x14ac:dyDescent="0.3">
      <c r="B8" s="1618"/>
      <c r="C8" s="951" t="s">
        <v>1078</v>
      </c>
      <c r="D8" s="952"/>
      <c r="E8" s="952"/>
      <c r="F8" s="952"/>
      <c r="G8" s="952"/>
      <c r="H8" s="952"/>
      <c r="I8" s="952"/>
      <c r="J8" s="952"/>
      <c r="K8" s="952"/>
      <c r="L8" s="952"/>
      <c r="M8" s="952"/>
      <c r="N8" s="952"/>
      <c r="O8" s="952"/>
      <c r="P8" s="952"/>
      <c r="Q8" s="952"/>
      <c r="R8" s="952"/>
      <c r="S8" s="952"/>
      <c r="T8" s="952"/>
      <c r="U8" s="952"/>
      <c r="V8" s="952"/>
      <c r="W8" s="952"/>
      <c r="X8" s="952"/>
      <c r="Y8" s="952"/>
      <c r="Z8" s="952"/>
      <c r="AA8" s="952"/>
      <c r="AB8" s="952"/>
      <c r="AC8" s="952"/>
      <c r="AD8" s="952"/>
      <c r="AE8" s="952"/>
      <c r="AF8" s="952"/>
    </row>
    <row r="9" spans="2:38" x14ac:dyDescent="0.3">
      <c r="B9" s="955"/>
      <c r="C9" s="955"/>
      <c r="D9" s="955"/>
      <c r="E9" s="955"/>
      <c r="F9" s="955"/>
      <c r="G9" s="955"/>
      <c r="H9" s="955"/>
      <c r="I9" s="955"/>
      <c r="J9" s="955"/>
      <c r="K9" s="955"/>
      <c r="L9" s="955"/>
      <c r="M9" s="955"/>
      <c r="N9" s="955"/>
      <c r="O9" s="955"/>
      <c r="P9" s="955"/>
      <c r="Q9" s="955"/>
      <c r="R9" s="955"/>
      <c r="S9" s="955"/>
      <c r="T9" s="955"/>
      <c r="U9" s="955"/>
      <c r="V9" s="955"/>
      <c r="W9" s="955"/>
      <c r="X9" s="955"/>
      <c r="Y9" s="955"/>
      <c r="Z9" s="955"/>
      <c r="AA9" s="955"/>
      <c r="AB9" s="955"/>
      <c r="AC9" s="955"/>
      <c r="AD9" s="955"/>
      <c r="AE9" s="955"/>
      <c r="AF9" s="955"/>
    </row>
    <row r="10" spans="2:38" x14ac:dyDescent="0.3">
      <c r="B10" s="956">
        <v>1.1000000000000001</v>
      </c>
      <c r="C10" s="957" t="s">
        <v>1441</v>
      </c>
      <c r="D10" s="955"/>
      <c r="E10" s="955"/>
      <c r="F10" s="955"/>
      <c r="G10" s="955"/>
      <c r="H10" s="955"/>
      <c r="I10" s="955"/>
      <c r="J10" s="955"/>
      <c r="K10" s="955"/>
      <c r="L10" s="955"/>
      <c r="M10" s="955"/>
      <c r="N10" s="955"/>
      <c r="O10" s="955"/>
      <c r="P10" s="955"/>
      <c r="Q10" s="955"/>
      <c r="R10" s="955"/>
      <c r="S10" s="955"/>
      <c r="T10" s="955"/>
      <c r="U10" s="955"/>
      <c r="V10" s="955"/>
      <c r="W10" s="955"/>
      <c r="X10" s="955"/>
      <c r="Y10" s="955"/>
      <c r="Z10" s="955"/>
      <c r="AA10" s="955"/>
      <c r="AB10" s="955"/>
      <c r="AC10" s="955"/>
      <c r="AD10" s="955"/>
      <c r="AE10" s="955"/>
      <c r="AF10" s="955"/>
    </row>
    <row r="11" spans="2:38" x14ac:dyDescent="0.3">
      <c r="B11" s="955"/>
      <c r="C11" s="1308" t="s">
        <v>1079</v>
      </c>
      <c r="D11" s="1309"/>
      <c r="E11" s="1309"/>
      <c r="F11" s="1309">
        <v>118.4230268</v>
      </c>
      <c r="G11" s="1309">
        <v>115.4166499</v>
      </c>
      <c r="H11" s="1309">
        <v>30.35</v>
      </c>
      <c r="I11" s="1309">
        <v>73.989999999999995</v>
      </c>
      <c r="J11" s="1309">
        <v>128.61000000000001</v>
      </c>
      <c r="K11" s="1309">
        <v>165.13</v>
      </c>
      <c r="L11" s="1309">
        <v>139.21</v>
      </c>
      <c r="M11" s="1309">
        <v>153.41999999999999</v>
      </c>
      <c r="N11" s="1309">
        <v>224.89</v>
      </c>
      <c r="O11" s="1309">
        <v>292.22000000000003</v>
      </c>
      <c r="P11" s="1309">
        <v>105.79</v>
      </c>
      <c r="Q11" s="1309">
        <v>184.43</v>
      </c>
      <c r="R11" s="1309">
        <v>409.03</v>
      </c>
      <c r="S11" s="1309">
        <v>267.33</v>
      </c>
      <c r="T11" s="1309">
        <v>109.77</v>
      </c>
      <c r="U11" s="1309">
        <v>428.16</v>
      </c>
      <c r="V11" s="1309">
        <v>125.6</v>
      </c>
      <c r="W11" s="1309">
        <v>162.12</v>
      </c>
      <c r="X11" s="1309">
        <v>72.72</v>
      </c>
      <c r="Y11" s="1309">
        <v>85.97</v>
      </c>
      <c r="Z11" s="1309">
        <v>35.57</v>
      </c>
      <c r="AA11" s="1309">
        <v>2.99</v>
      </c>
      <c r="AB11" s="1309">
        <v>0.61</v>
      </c>
      <c r="AC11" s="1309">
        <v>0.25</v>
      </c>
      <c r="AD11" s="1309"/>
      <c r="AE11" s="1309"/>
      <c r="AF11" s="645"/>
    </row>
    <row r="12" spans="2:38" x14ac:dyDescent="0.3">
      <c r="B12" s="955"/>
      <c r="C12" s="1308" t="s">
        <v>1080</v>
      </c>
      <c r="D12" s="1306">
        <f>D11</f>
        <v>0</v>
      </c>
      <c r="E12" s="1306">
        <f>D12+E11</f>
        <v>0</v>
      </c>
      <c r="F12" s="1306">
        <f>E12+F11</f>
        <v>118.4230268</v>
      </c>
      <c r="G12" s="1306">
        <f>F12+G11</f>
        <v>233.83967669999998</v>
      </c>
      <c r="H12" s="1306">
        <f t="shared" ref="H12:AE12" si="0">G12+H11</f>
        <v>264.18967670000001</v>
      </c>
      <c r="I12" s="1306">
        <f t="shared" si="0"/>
        <v>338.17967670000002</v>
      </c>
      <c r="J12" s="1306">
        <f t="shared" si="0"/>
        <v>466.78967670000003</v>
      </c>
      <c r="K12" s="1306">
        <f t="shared" si="0"/>
        <v>631.91967670000008</v>
      </c>
      <c r="L12" s="1306">
        <f t="shared" si="0"/>
        <v>771.12967670000012</v>
      </c>
      <c r="M12" s="1306">
        <f t="shared" si="0"/>
        <v>924.54967670000008</v>
      </c>
      <c r="N12" s="1306">
        <f t="shared" si="0"/>
        <v>1149.4396767000001</v>
      </c>
      <c r="O12" s="1306">
        <f t="shared" si="0"/>
        <v>1441.6596767000001</v>
      </c>
      <c r="P12" s="1306">
        <f t="shared" si="0"/>
        <v>1547.4496767000001</v>
      </c>
      <c r="Q12" s="1306">
        <f t="shared" si="0"/>
        <v>1731.8796767000001</v>
      </c>
      <c r="R12" s="1306">
        <f t="shared" si="0"/>
        <v>2140.9096767000001</v>
      </c>
      <c r="S12" s="1306">
        <f t="shared" si="0"/>
        <v>2408.2396767</v>
      </c>
      <c r="T12" s="1306">
        <f t="shared" si="0"/>
        <v>2518.0096767</v>
      </c>
      <c r="U12" s="1306">
        <f t="shared" si="0"/>
        <v>2946.1696766999999</v>
      </c>
      <c r="V12" s="1306">
        <f t="shared" si="0"/>
        <v>3071.7696766999998</v>
      </c>
      <c r="W12" s="1306">
        <f t="shared" si="0"/>
        <v>3233.8896766999997</v>
      </c>
      <c r="X12" s="1306">
        <f t="shared" si="0"/>
        <v>3306.6096766999995</v>
      </c>
      <c r="Y12" s="1306">
        <f t="shared" si="0"/>
        <v>3392.5796766999993</v>
      </c>
      <c r="Z12" s="1306">
        <f t="shared" si="0"/>
        <v>3428.1496766999994</v>
      </c>
      <c r="AA12" s="1306">
        <f t="shared" si="0"/>
        <v>3431.1396766999992</v>
      </c>
      <c r="AB12" s="1306">
        <f t="shared" si="0"/>
        <v>3431.7496766999993</v>
      </c>
      <c r="AC12" s="1306">
        <f t="shared" si="0"/>
        <v>3431.9996766999993</v>
      </c>
      <c r="AD12" s="1306">
        <f t="shared" si="0"/>
        <v>3431.9996766999993</v>
      </c>
      <c r="AE12" s="1306">
        <f t="shared" si="0"/>
        <v>3431.9996766999993</v>
      </c>
      <c r="AF12" s="1306">
        <f>AE12+AF11</f>
        <v>3431.9996766999993</v>
      </c>
      <c r="AG12" s="958"/>
    </row>
    <row r="13" spans="2:38" x14ac:dyDescent="0.3">
      <c r="B13" s="955"/>
      <c r="C13" s="1308" t="s">
        <v>399</v>
      </c>
      <c r="D13" s="1309"/>
      <c r="E13" s="1309"/>
      <c r="F13" s="1309">
        <f>10018913/10000000</f>
        <v>1.0018913</v>
      </c>
      <c r="G13" s="1309">
        <f>29140502/10000000</f>
        <v>2.9140502000000001</v>
      </c>
      <c r="H13" s="1309">
        <f>61844774/10000000</f>
        <v>6.1844773999999996</v>
      </c>
      <c r="I13" s="1309">
        <f>69407028/10000000</f>
        <v>6.9407028000000004</v>
      </c>
      <c r="J13" s="1309">
        <f>97950745/10000000</f>
        <v>9.7950745000000001</v>
      </c>
      <c r="K13" s="1309">
        <f>127347593/10000000</f>
        <v>12.7347593</v>
      </c>
      <c r="L13" s="1309">
        <v>17.420000000000002</v>
      </c>
      <c r="M13" s="1309">
        <v>20.74</v>
      </c>
      <c r="N13" s="1309">
        <v>25.6</v>
      </c>
      <c r="O13" s="1309">
        <v>30.47</v>
      </c>
      <c r="P13" s="1309">
        <v>35.6</v>
      </c>
      <c r="Q13" s="1309">
        <v>39.409999999999997</v>
      </c>
      <c r="R13" s="1309">
        <v>47.3</v>
      </c>
      <c r="S13" s="1309">
        <v>52.39</v>
      </c>
      <c r="T13" s="1309">
        <f>564321632.54/10000000</f>
        <v>56.432163253999995</v>
      </c>
      <c r="U13" s="1309">
        <f>646694822.02/10000000</f>
        <v>64.669482201999998</v>
      </c>
      <c r="V13" s="1309">
        <f>696852092/10000000</f>
        <v>69.685209200000003</v>
      </c>
      <c r="W13" s="1309">
        <f>717981566/10000000</f>
        <v>71.798156599999999</v>
      </c>
      <c r="X13" s="1309">
        <v>73.67</v>
      </c>
      <c r="Y13" s="1309">
        <v>77.06</v>
      </c>
      <c r="Z13" s="1309">
        <v>79.12</v>
      </c>
      <c r="AA13" s="1309">
        <v>78.63</v>
      </c>
      <c r="AB13" s="1309">
        <f>756560448/10000000</f>
        <v>75.656044800000004</v>
      </c>
      <c r="AC13" s="1309">
        <f>768268688/10000000</f>
        <v>76.8268688</v>
      </c>
      <c r="AD13" s="1309">
        <f>738553021/10000000</f>
        <v>73.855302100000003</v>
      </c>
      <c r="AE13" s="1309">
        <f>416925766/10000000</f>
        <v>41.692576600000002</v>
      </c>
      <c r="AF13" s="645">
        <f>SUM(D13:AE13)</f>
        <v>1147.5967590559999</v>
      </c>
      <c r="AG13" s="958"/>
    </row>
    <row r="14" spans="2:38" x14ac:dyDescent="0.3">
      <c r="B14" s="955"/>
      <c r="C14" s="1308" t="s">
        <v>1442</v>
      </c>
      <c r="D14" s="1309"/>
      <c r="E14" s="1309"/>
      <c r="F14" s="1309"/>
      <c r="G14" s="1309">
        <v>2.3103845999999999</v>
      </c>
      <c r="H14" s="1309"/>
      <c r="I14" s="1309"/>
      <c r="J14" s="1309"/>
      <c r="K14" s="1309"/>
      <c r="L14" s="1309"/>
      <c r="M14" s="1309"/>
      <c r="N14" s="1309"/>
      <c r="O14" s="1309"/>
      <c r="P14" s="1309"/>
      <c r="Q14" s="1309"/>
      <c r="R14" s="1309"/>
      <c r="S14" s="1309"/>
      <c r="T14" s="1309"/>
      <c r="U14" s="1309"/>
      <c r="V14" s="1309"/>
      <c r="W14" s="1309"/>
      <c r="X14" s="1309"/>
      <c r="Y14" s="1309"/>
      <c r="Z14" s="1309"/>
      <c r="AA14" s="1309">
        <v>0.8</v>
      </c>
      <c r="AB14" s="1309"/>
      <c r="AC14" s="1309"/>
      <c r="AD14" s="1309"/>
      <c r="AE14" s="1309">
        <f>78988272.5165516/10000000</f>
        <v>7.8988272516551596</v>
      </c>
      <c r="AF14" s="645">
        <f>SUM(D14:AE14)</f>
        <v>11.009211851655159</v>
      </c>
      <c r="AG14" s="958"/>
    </row>
    <row r="15" spans="2:38" x14ac:dyDescent="0.3">
      <c r="B15" s="955"/>
      <c r="C15" s="1308" t="s">
        <v>1081</v>
      </c>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645"/>
      <c r="AG15" s="959"/>
    </row>
    <row r="16" spans="2:38" x14ac:dyDescent="0.3">
      <c r="B16" s="955"/>
      <c r="C16" s="1308" t="s">
        <v>1082</v>
      </c>
      <c r="D16" s="1309"/>
      <c r="E16" s="1309"/>
      <c r="F16" s="1309"/>
      <c r="G16" s="1309"/>
      <c r="H16" s="1309"/>
      <c r="I16" s="1309"/>
      <c r="J16" s="1309"/>
      <c r="K16" s="1309"/>
      <c r="L16" s="1309"/>
      <c r="M16" s="1309"/>
      <c r="N16" s="1309"/>
      <c r="O16" s="1309"/>
      <c r="P16" s="1309"/>
      <c r="Q16" s="1309"/>
      <c r="R16" s="1309"/>
      <c r="S16" s="1309"/>
      <c r="T16" s="1309"/>
      <c r="U16" s="1309"/>
      <c r="V16" s="1309"/>
      <c r="W16" s="1309"/>
      <c r="X16" s="1309"/>
      <c r="Y16" s="1309"/>
      <c r="Z16" s="1309"/>
      <c r="AA16" s="1309"/>
      <c r="AB16" s="1309"/>
      <c r="AC16" s="1309"/>
      <c r="AD16" s="1309"/>
      <c r="AE16" s="1309"/>
      <c r="AF16" s="645"/>
    </row>
    <row r="17" spans="2:33" x14ac:dyDescent="0.3">
      <c r="B17" s="955"/>
      <c r="C17" s="1308"/>
      <c r="D17" s="1309"/>
      <c r="E17" s="1309"/>
      <c r="F17" s="1309"/>
      <c r="G17" s="1309"/>
      <c r="H17" s="1309"/>
      <c r="I17" s="1309"/>
      <c r="J17" s="1309"/>
      <c r="K17" s="1309"/>
      <c r="L17" s="1309"/>
      <c r="M17" s="1309"/>
      <c r="N17" s="1309"/>
      <c r="O17" s="1309"/>
      <c r="P17" s="1309"/>
      <c r="Q17" s="1309"/>
      <c r="R17" s="1309"/>
      <c r="S17" s="1309"/>
      <c r="T17" s="1309"/>
      <c r="U17" s="1309"/>
      <c r="V17" s="1309"/>
      <c r="W17" s="1309"/>
      <c r="X17" s="1309"/>
      <c r="Y17" s="1309"/>
      <c r="Z17" s="1309"/>
      <c r="AA17" s="1309"/>
      <c r="AB17" s="1309"/>
      <c r="AC17" s="1309"/>
      <c r="AD17" s="1309"/>
      <c r="AE17" s="1309"/>
      <c r="AF17" s="645"/>
    </row>
    <row r="18" spans="2:33" s="960" customFormat="1" x14ac:dyDescent="0.3">
      <c r="B18" s="957">
        <v>1.2</v>
      </c>
      <c r="C18" s="1310" t="s">
        <v>1443</v>
      </c>
      <c r="D18" s="1311"/>
      <c r="E18" s="1311"/>
      <c r="F18" s="1311"/>
      <c r="G18" s="1311"/>
      <c r="H18" s="1311"/>
      <c r="I18" s="1311"/>
      <c r="J18" s="1311"/>
      <c r="K18" s="1311"/>
      <c r="L18" s="1311"/>
      <c r="M18" s="1311"/>
      <c r="N18" s="1311"/>
      <c r="O18" s="1311"/>
      <c r="P18" s="1311"/>
      <c r="Q18" s="1311"/>
      <c r="R18" s="1311"/>
      <c r="S18" s="1311"/>
      <c r="T18" s="1311"/>
      <c r="U18" s="1311"/>
      <c r="V18" s="1311"/>
      <c r="W18" s="1311"/>
      <c r="X18" s="1311"/>
      <c r="Y18" s="1311"/>
      <c r="Z18" s="1311"/>
      <c r="AA18" s="1311"/>
      <c r="AB18" s="1311"/>
      <c r="AC18" s="1311"/>
      <c r="AD18" s="1311"/>
      <c r="AE18" s="1311"/>
      <c r="AF18" s="1312"/>
    </row>
    <row r="19" spans="2:33" x14ac:dyDescent="0.3">
      <c r="B19" s="955"/>
      <c r="C19" s="1308" t="s">
        <v>1079</v>
      </c>
      <c r="D19" s="645"/>
      <c r="E19" s="645"/>
      <c r="F19" s="645"/>
      <c r="G19" s="645"/>
      <c r="H19" s="645"/>
      <c r="I19" s="645"/>
      <c r="J19" s="645"/>
      <c r="K19" s="645"/>
      <c r="L19" s="645"/>
      <c r="M19" s="645"/>
      <c r="N19" s="645"/>
      <c r="O19" s="645"/>
      <c r="P19" s="645"/>
      <c r="Q19" s="645"/>
      <c r="R19" s="645"/>
      <c r="S19" s="645"/>
      <c r="T19" s="645"/>
      <c r="U19" s="645"/>
      <c r="V19" s="645"/>
      <c r="W19" s="645"/>
      <c r="X19" s="645"/>
      <c r="Y19" s="645"/>
      <c r="Z19" s="645"/>
      <c r="AA19" s="645"/>
      <c r="AB19" s="645">
        <v>46.47</v>
      </c>
      <c r="AC19" s="645">
        <v>76.48</v>
      </c>
      <c r="AD19" s="645">
        <v>308.27999999999997</v>
      </c>
      <c r="AE19" s="645">
        <f>359.27-14.54</f>
        <v>344.72999999999996</v>
      </c>
      <c r="AF19" s="645"/>
    </row>
    <row r="20" spans="2:33" x14ac:dyDescent="0.3">
      <c r="B20" s="955"/>
      <c r="C20" s="1308" t="s">
        <v>1080</v>
      </c>
      <c r="D20" s="1306">
        <f>D19</f>
        <v>0</v>
      </c>
      <c r="E20" s="1306">
        <f>D20+E19</f>
        <v>0</v>
      </c>
      <c r="F20" s="1306">
        <f>E20+F19</f>
        <v>0</v>
      </c>
      <c r="G20" s="1306">
        <f>F20+G19</f>
        <v>0</v>
      </c>
      <c r="H20" s="1306">
        <f t="shared" ref="H20:AE20" si="1">G20+H19</f>
        <v>0</v>
      </c>
      <c r="I20" s="1306">
        <f t="shared" si="1"/>
        <v>0</v>
      </c>
      <c r="J20" s="1306">
        <f t="shared" si="1"/>
        <v>0</v>
      </c>
      <c r="K20" s="1306">
        <f t="shared" si="1"/>
        <v>0</v>
      </c>
      <c r="L20" s="1306">
        <f t="shared" si="1"/>
        <v>0</v>
      </c>
      <c r="M20" s="1306">
        <f t="shared" si="1"/>
        <v>0</v>
      </c>
      <c r="N20" s="1306">
        <f t="shared" si="1"/>
        <v>0</v>
      </c>
      <c r="O20" s="1306">
        <f t="shared" si="1"/>
        <v>0</v>
      </c>
      <c r="P20" s="1306">
        <f t="shared" si="1"/>
        <v>0</v>
      </c>
      <c r="Q20" s="1306">
        <f t="shared" si="1"/>
        <v>0</v>
      </c>
      <c r="R20" s="1306">
        <f t="shared" si="1"/>
        <v>0</v>
      </c>
      <c r="S20" s="1306">
        <f t="shared" si="1"/>
        <v>0</v>
      </c>
      <c r="T20" s="1306">
        <f t="shared" si="1"/>
        <v>0</v>
      </c>
      <c r="U20" s="1306">
        <f t="shared" si="1"/>
        <v>0</v>
      </c>
      <c r="V20" s="1306">
        <f t="shared" si="1"/>
        <v>0</v>
      </c>
      <c r="W20" s="1306">
        <f t="shared" si="1"/>
        <v>0</v>
      </c>
      <c r="X20" s="1306">
        <f t="shared" si="1"/>
        <v>0</v>
      </c>
      <c r="Y20" s="1306">
        <f t="shared" si="1"/>
        <v>0</v>
      </c>
      <c r="Z20" s="1306">
        <f t="shared" si="1"/>
        <v>0</v>
      </c>
      <c r="AA20" s="1306">
        <f t="shared" si="1"/>
        <v>0</v>
      </c>
      <c r="AB20" s="1306">
        <f t="shared" si="1"/>
        <v>46.47</v>
      </c>
      <c r="AC20" s="1306">
        <f t="shared" si="1"/>
        <v>122.95</v>
      </c>
      <c r="AD20" s="1306">
        <f t="shared" si="1"/>
        <v>431.22999999999996</v>
      </c>
      <c r="AE20" s="1306">
        <f t="shared" si="1"/>
        <v>775.95999999999992</v>
      </c>
      <c r="AF20" s="1306">
        <f>AE20+AF19</f>
        <v>775.95999999999992</v>
      </c>
      <c r="AG20" s="958"/>
    </row>
    <row r="21" spans="2:33" x14ac:dyDescent="0.3">
      <c r="B21" s="955"/>
      <c r="C21" s="1308" t="s">
        <v>399</v>
      </c>
      <c r="D21" s="645"/>
      <c r="E21" s="645"/>
      <c r="F21" s="645"/>
      <c r="G21" s="645"/>
      <c r="H21" s="645"/>
      <c r="I21" s="645"/>
      <c r="J21" s="645"/>
      <c r="K21" s="645"/>
      <c r="L21" s="645"/>
      <c r="M21" s="645"/>
      <c r="N21" s="645"/>
      <c r="O21" s="645"/>
      <c r="P21" s="645"/>
      <c r="Q21" s="645"/>
      <c r="R21" s="645"/>
      <c r="S21" s="645"/>
      <c r="T21" s="645"/>
      <c r="U21" s="645"/>
      <c r="V21" s="645"/>
      <c r="W21" s="645"/>
      <c r="X21" s="645"/>
      <c r="Y21" s="645"/>
      <c r="Z21" s="645"/>
      <c r="AA21" s="645"/>
      <c r="AB21" s="645">
        <f>1779912/10000000</f>
        <v>0.17799119999999999</v>
      </c>
      <c r="AC21" s="645">
        <f>19261282/10000000</f>
        <v>1.9261282</v>
      </c>
      <c r="AD21" s="645">
        <f>36717869/10000000</f>
        <v>3.6717868999999999</v>
      </c>
      <c r="AE21" s="645">
        <f>76054632.25/10000000</f>
        <v>7.6054632250000003</v>
      </c>
      <c r="AF21" s="645">
        <f>SUM(D21:AE21)</f>
        <v>13.381369525</v>
      </c>
      <c r="AG21" s="958"/>
    </row>
    <row r="22" spans="2:33" x14ac:dyDescent="0.3">
      <c r="B22" s="955"/>
      <c r="C22" s="1308" t="s">
        <v>1081</v>
      </c>
      <c r="D22" s="645"/>
      <c r="E22" s="645"/>
      <c r="F22" s="645"/>
      <c r="G22" s="645"/>
      <c r="H22" s="645"/>
      <c r="I22" s="645"/>
      <c r="J22" s="645"/>
      <c r="K22" s="645"/>
      <c r="L22" s="645"/>
      <c r="M22" s="645"/>
      <c r="N22" s="645"/>
      <c r="O22" s="645"/>
      <c r="P22" s="645"/>
      <c r="Q22" s="645"/>
      <c r="R22" s="645"/>
      <c r="S22" s="645"/>
      <c r="T22" s="645"/>
      <c r="U22" s="645"/>
      <c r="V22" s="645"/>
      <c r="W22" s="645"/>
      <c r="X22" s="645"/>
      <c r="Y22" s="645"/>
      <c r="Z22" s="645"/>
      <c r="AA22" s="645"/>
      <c r="AB22" s="645"/>
      <c r="AC22" s="645"/>
      <c r="AD22" s="645"/>
      <c r="AE22" s="645"/>
      <c r="AF22" s="645"/>
    </row>
    <row r="23" spans="2:33" x14ac:dyDescent="0.3">
      <c r="B23" s="955"/>
      <c r="C23" s="1308" t="s">
        <v>1082</v>
      </c>
      <c r="D23" s="645"/>
      <c r="E23" s="645"/>
      <c r="F23" s="645"/>
      <c r="G23" s="645"/>
      <c r="H23" s="645"/>
      <c r="I23" s="645"/>
      <c r="J23" s="645"/>
      <c r="K23" s="645"/>
      <c r="L23" s="645"/>
      <c r="M23" s="645"/>
      <c r="N23" s="645"/>
      <c r="O23" s="645"/>
      <c r="P23" s="645"/>
      <c r="Q23" s="645"/>
      <c r="R23" s="645"/>
      <c r="S23" s="645"/>
      <c r="T23" s="645"/>
      <c r="U23" s="645"/>
      <c r="V23" s="645"/>
      <c r="W23" s="645"/>
      <c r="X23" s="645"/>
      <c r="Y23" s="645"/>
      <c r="Z23" s="645"/>
      <c r="AA23" s="645"/>
      <c r="AB23" s="645"/>
      <c r="AC23" s="645"/>
      <c r="AD23" s="645"/>
      <c r="AE23" s="645"/>
      <c r="AF23" s="645"/>
    </row>
    <row r="24" spans="2:33" x14ac:dyDescent="0.3">
      <c r="B24" s="955"/>
      <c r="C24" s="1308"/>
      <c r="D24" s="645"/>
      <c r="E24" s="645"/>
      <c r="F24" s="645"/>
      <c r="G24" s="645"/>
      <c r="H24" s="645"/>
      <c r="I24" s="645"/>
      <c r="J24" s="645"/>
      <c r="K24" s="645"/>
      <c r="L24" s="645"/>
      <c r="M24" s="645"/>
      <c r="N24" s="645"/>
      <c r="O24" s="645"/>
      <c r="P24" s="645"/>
      <c r="Q24" s="645"/>
      <c r="R24" s="645"/>
      <c r="S24" s="645"/>
      <c r="T24" s="645"/>
      <c r="U24" s="645"/>
      <c r="V24" s="645"/>
      <c r="W24" s="645"/>
      <c r="X24" s="645"/>
      <c r="Y24" s="645"/>
      <c r="Z24" s="645"/>
      <c r="AA24" s="645"/>
      <c r="AB24" s="645"/>
      <c r="AC24" s="645"/>
      <c r="AD24" s="645"/>
      <c r="AE24" s="645"/>
      <c r="AF24" s="645"/>
    </row>
    <row r="25" spans="2:33" x14ac:dyDescent="0.3">
      <c r="B25" s="957">
        <v>1.3</v>
      </c>
      <c r="C25" s="1310" t="s">
        <v>1444</v>
      </c>
      <c r="D25" s="645"/>
      <c r="E25" s="645"/>
      <c r="F25" s="645"/>
      <c r="G25" s="645"/>
      <c r="H25" s="645"/>
      <c r="I25" s="645"/>
      <c r="J25" s="645"/>
      <c r="K25" s="645"/>
      <c r="L25" s="645"/>
      <c r="M25" s="645"/>
      <c r="N25" s="645"/>
      <c r="O25" s="645"/>
      <c r="P25" s="645"/>
      <c r="Q25" s="645"/>
      <c r="R25" s="645"/>
      <c r="S25" s="645"/>
      <c r="T25" s="645"/>
      <c r="U25" s="645"/>
      <c r="V25" s="645"/>
      <c r="W25" s="645"/>
      <c r="X25" s="645"/>
      <c r="Y25" s="645"/>
      <c r="Z25" s="645"/>
      <c r="AA25" s="645"/>
      <c r="AB25" s="645"/>
      <c r="AC25" s="645"/>
      <c r="AD25" s="645"/>
      <c r="AE25" s="645"/>
      <c r="AF25" s="645"/>
    </row>
    <row r="26" spans="2:33" x14ac:dyDescent="0.3">
      <c r="B26" s="955"/>
      <c r="C26" s="1308" t="s">
        <v>1079</v>
      </c>
      <c r="D26" s="645"/>
      <c r="E26" s="645"/>
      <c r="F26" s="645"/>
      <c r="G26" s="645"/>
      <c r="H26" s="645"/>
      <c r="I26" s="645"/>
      <c r="J26" s="645"/>
      <c r="K26" s="645"/>
      <c r="L26" s="645"/>
      <c r="M26" s="645"/>
      <c r="N26" s="645"/>
      <c r="O26" s="645"/>
      <c r="P26" s="645"/>
      <c r="Q26" s="645"/>
      <c r="R26" s="645"/>
      <c r="S26" s="645">
        <v>4.6900000000000004</v>
      </c>
      <c r="T26" s="645">
        <v>5.42</v>
      </c>
      <c r="U26" s="645">
        <v>30.49</v>
      </c>
      <c r="V26" s="645">
        <v>10.210000000000001</v>
      </c>
      <c r="W26" s="645">
        <v>6.33</v>
      </c>
      <c r="X26" s="645">
        <v>0.8</v>
      </c>
      <c r="Y26" s="645">
        <v>2.56</v>
      </c>
      <c r="Z26" s="645">
        <v>61.74</v>
      </c>
      <c r="AA26" s="645">
        <v>90.02</v>
      </c>
      <c r="AB26" s="645">
        <v>40.54</v>
      </c>
      <c r="AC26" s="645"/>
      <c r="AD26" s="645"/>
      <c r="AE26" s="645"/>
      <c r="AF26" s="645"/>
    </row>
    <row r="27" spans="2:33" x14ac:dyDescent="0.3">
      <c r="B27" s="955"/>
      <c r="C27" s="1308" t="s">
        <v>1080</v>
      </c>
      <c r="D27" s="1306">
        <f>D26</f>
        <v>0</v>
      </c>
      <c r="E27" s="1306">
        <f>D27+E26</f>
        <v>0</v>
      </c>
      <c r="F27" s="1306">
        <f>E27+F26</f>
        <v>0</v>
      </c>
      <c r="G27" s="1306">
        <f>F27+G26</f>
        <v>0</v>
      </c>
      <c r="H27" s="1306">
        <f t="shared" ref="H27:AE27" si="2">G27+H26</f>
        <v>0</v>
      </c>
      <c r="I27" s="1306">
        <f t="shared" si="2"/>
        <v>0</v>
      </c>
      <c r="J27" s="1306">
        <f t="shared" si="2"/>
        <v>0</v>
      </c>
      <c r="K27" s="1306">
        <f t="shared" si="2"/>
        <v>0</v>
      </c>
      <c r="L27" s="1306">
        <f t="shared" si="2"/>
        <v>0</v>
      </c>
      <c r="M27" s="1306">
        <f t="shared" si="2"/>
        <v>0</v>
      </c>
      <c r="N27" s="1306">
        <f t="shared" si="2"/>
        <v>0</v>
      </c>
      <c r="O27" s="1306">
        <f t="shared" si="2"/>
        <v>0</v>
      </c>
      <c r="P27" s="1306">
        <f t="shared" si="2"/>
        <v>0</v>
      </c>
      <c r="Q27" s="1306">
        <f t="shared" si="2"/>
        <v>0</v>
      </c>
      <c r="R27" s="1306">
        <f t="shared" si="2"/>
        <v>0</v>
      </c>
      <c r="S27" s="1306">
        <f t="shared" si="2"/>
        <v>4.6900000000000004</v>
      </c>
      <c r="T27" s="1306">
        <f t="shared" si="2"/>
        <v>10.11</v>
      </c>
      <c r="U27" s="1306">
        <f t="shared" si="2"/>
        <v>40.599999999999994</v>
      </c>
      <c r="V27" s="1306">
        <f t="shared" si="2"/>
        <v>50.809999999999995</v>
      </c>
      <c r="W27" s="1306">
        <f t="shared" si="2"/>
        <v>57.139999999999993</v>
      </c>
      <c r="X27" s="1306">
        <f t="shared" si="2"/>
        <v>57.939999999999991</v>
      </c>
      <c r="Y27" s="1306">
        <f t="shared" si="2"/>
        <v>60.499999999999993</v>
      </c>
      <c r="Z27" s="1306">
        <f t="shared" si="2"/>
        <v>122.24</v>
      </c>
      <c r="AA27" s="1306">
        <f t="shared" si="2"/>
        <v>212.26</v>
      </c>
      <c r="AB27" s="1306">
        <f t="shared" si="2"/>
        <v>252.79999999999998</v>
      </c>
      <c r="AC27" s="1306">
        <f t="shared" si="2"/>
        <v>252.79999999999998</v>
      </c>
      <c r="AD27" s="1306">
        <f t="shared" si="2"/>
        <v>252.79999999999998</v>
      </c>
      <c r="AE27" s="1306">
        <f t="shared" si="2"/>
        <v>252.79999999999998</v>
      </c>
      <c r="AF27" s="1306">
        <f>AE27+AF26</f>
        <v>252.79999999999998</v>
      </c>
      <c r="AG27" s="958"/>
    </row>
    <row r="28" spans="2:33" x14ac:dyDescent="0.3">
      <c r="B28" s="955"/>
      <c r="C28" s="1308" t="s">
        <v>399</v>
      </c>
      <c r="D28" s="645"/>
      <c r="E28" s="645"/>
      <c r="F28" s="645"/>
      <c r="G28" s="645"/>
      <c r="H28" s="645"/>
      <c r="I28" s="645"/>
      <c r="J28" s="645"/>
      <c r="K28" s="645"/>
      <c r="L28" s="645"/>
      <c r="M28" s="645"/>
      <c r="N28" s="645"/>
      <c r="O28" s="645"/>
      <c r="P28" s="645"/>
      <c r="Q28" s="645"/>
      <c r="R28" s="645"/>
      <c r="S28" s="645"/>
      <c r="T28" s="1312">
        <v>0.22</v>
      </c>
      <c r="U28" s="1312">
        <v>0.42</v>
      </c>
      <c r="V28" s="1312">
        <v>1.21</v>
      </c>
      <c r="W28" s="1312">
        <v>1.3</v>
      </c>
      <c r="X28" s="645">
        <v>1.48</v>
      </c>
      <c r="Y28" s="645">
        <v>1.55</v>
      </c>
      <c r="Z28" s="645">
        <v>2.04</v>
      </c>
      <c r="AA28" s="645">
        <v>4.3099999999999996</v>
      </c>
      <c r="AB28" s="645">
        <f>61393956.3383151/10000000</f>
        <v>6.1393956338315103</v>
      </c>
      <c r="AC28" s="645">
        <f>64411862.6076712/10000000</f>
        <v>6.44118626076712</v>
      </c>
      <c r="AD28" s="645">
        <f>63357570/10000000</f>
        <v>6.3357570000000001</v>
      </c>
      <c r="AE28" s="645"/>
      <c r="AF28" s="645">
        <f>SUM(D28:AE28)</f>
        <v>31.446338894598632</v>
      </c>
      <c r="AG28" s="958"/>
    </row>
    <row r="29" spans="2:33" x14ac:dyDescent="0.3">
      <c r="B29" s="955"/>
      <c r="C29" s="1308" t="s">
        <v>1081</v>
      </c>
      <c r="D29" s="645"/>
      <c r="E29" s="645"/>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row>
    <row r="30" spans="2:33" x14ac:dyDescent="0.3">
      <c r="B30" s="955"/>
      <c r="C30" s="1308" t="s">
        <v>1082</v>
      </c>
      <c r="D30" s="645"/>
      <c r="E30" s="645"/>
      <c r="F30" s="645"/>
      <c r="G30" s="645"/>
      <c r="H30" s="645"/>
      <c r="I30" s="645"/>
      <c r="J30" s="645"/>
      <c r="K30" s="645"/>
      <c r="L30" s="645"/>
      <c r="M30" s="645"/>
      <c r="N30" s="645"/>
      <c r="O30" s="645"/>
      <c r="P30" s="645"/>
      <c r="Q30" s="645"/>
      <c r="R30" s="645"/>
      <c r="S30" s="645"/>
      <c r="T30" s="645"/>
      <c r="U30" s="645"/>
      <c r="V30" s="645"/>
      <c r="W30" s="645"/>
      <c r="X30" s="645"/>
      <c r="Y30" s="645"/>
      <c r="Z30" s="645"/>
      <c r="AA30" s="645"/>
      <c r="AB30" s="645"/>
      <c r="AC30" s="645"/>
      <c r="AD30" s="645"/>
      <c r="AE30" s="645"/>
      <c r="AF30" s="645"/>
    </row>
    <row r="31" spans="2:33" x14ac:dyDescent="0.3">
      <c r="B31" s="955"/>
      <c r="C31" s="1308"/>
      <c r="D31" s="645"/>
      <c r="E31" s="645"/>
      <c r="F31" s="645"/>
      <c r="G31" s="645"/>
      <c r="H31" s="645"/>
      <c r="I31" s="645"/>
      <c r="J31" s="645"/>
      <c r="K31" s="645"/>
      <c r="L31" s="645"/>
      <c r="M31" s="645"/>
      <c r="N31" s="645"/>
      <c r="O31" s="645"/>
      <c r="P31" s="645"/>
      <c r="Q31" s="645"/>
      <c r="R31" s="645"/>
      <c r="S31" s="645"/>
      <c r="T31" s="645"/>
      <c r="U31" s="645"/>
      <c r="V31" s="645"/>
      <c r="W31" s="645"/>
      <c r="X31" s="645"/>
      <c r="Y31" s="645"/>
      <c r="Z31" s="645"/>
      <c r="AA31" s="645"/>
      <c r="AB31" s="645"/>
      <c r="AC31" s="645"/>
      <c r="AD31" s="645"/>
      <c r="AE31" s="645"/>
      <c r="AF31" s="645"/>
    </row>
    <row r="32" spans="2:33" x14ac:dyDescent="0.3">
      <c r="B32" s="955"/>
      <c r="C32" s="1308"/>
      <c r="D32" s="645"/>
      <c r="E32" s="645"/>
      <c r="F32" s="645"/>
      <c r="G32" s="645"/>
      <c r="H32" s="645"/>
      <c r="I32" s="645"/>
      <c r="J32" s="645"/>
      <c r="K32" s="645"/>
      <c r="L32" s="645"/>
      <c r="M32" s="645"/>
      <c r="N32" s="645"/>
      <c r="O32" s="645"/>
      <c r="P32" s="645"/>
      <c r="Q32" s="645"/>
      <c r="R32" s="645"/>
      <c r="S32" s="645"/>
      <c r="T32" s="645"/>
      <c r="U32" s="645"/>
      <c r="V32" s="645"/>
      <c r="W32" s="645"/>
      <c r="X32" s="645"/>
      <c r="Y32" s="645"/>
      <c r="Z32" s="645"/>
      <c r="AA32" s="645"/>
      <c r="AB32" s="645"/>
      <c r="AC32" s="645"/>
      <c r="AD32" s="645"/>
      <c r="AE32" s="645"/>
      <c r="AF32" s="645"/>
    </row>
    <row r="33" spans="2:33" x14ac:dyDescent="0.3">
      <c r="B33" s="956">
        <v>1.4</v>
      </c>
      <c r="C33" s="1310" t="s">
        <v>1083</v>
      </c>
      <c r="D33" s="645"/>
      <c r="E33" s="645"/>
      <c r="F33" s="645"/>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5"/>
      <c r="AE33" s="645"/>
      <c r="AF33" s="645"/>
    </row>
    <row r="34" spans="2:33" x14ac:dyDescent="0.3">
      <c r="B34" s="955"/>
      <c r="C34" s="1308" t="s">
        <v>1079</v>
      </c>
      <c r="D34" s="645">
        <f>D11+D19+D26</f>
        <v>0</v>
      </c>
      <c r="E34" s="645">
        <f t="shared" ref="E34:AE34" si="3">E11+E19+E26</f>
        <v>0</v>
      </c>
      <c r="F34" s="645">
        <f t="shared" si="3"/>
        <v>118.4230268</v>
      </c>
      <c r="G34" s="645">
        <f t="shared" si="3"/>
        <v>115.4166499</v>
      </c>
      <c r="H34" s="645">
        <f t="shared" si="3"/>
        <v>30.35</v>
      </c>
      <c r="I34" s="645">
        <f t="shared" si="3"/>
        <v>73.989999999999995</v>
      </c>
      <c r="J34" s="645">
        <f t="shared" si="3"/>
        <v>128.61000000000001</v>
      </c>
      <c r="K34" s="645">
        <f t="shared" si="3"/>
        <v>165.13</v>
      </c>
      <c r="L34" s="645">
        <f t="shared" si="3"/>
        <v>139.21</v>
      </c>
      <c r="M34" s="645">
        <f t="shared" si="3"/>
        <v>153.41999999999999</v>
      </c>
      <c r="N34" s="645">
        <f t="shared" si="3"/>
        <v>224.89</v>
      </c>
      <c r="O34" s="645">
        <f t="shared" si="3"/>
        <v>292.22000000000003</v>
      </c>
      <c r="P34" s="645">
        <f t="shared" si="3"/>
        <v>105.79</v>
      </c>
      <c r="Q34" s="645">
        <f t="shared" si="3"/>
        <v>184.43</v>
      </c>
      <c r="R34" s="645">
        <f t="shared" si="3"/>
        <v>409.03</v>
      </c>
      <c r="S34" s="645">
        <f t="shared" si="3"/>
        <v>272.02</v>
      </c>
      <c r="T34" s="645">
        <f t="shared" si="3"/>
        <v>115.19</v>
      </c>
      <c r="U34" s="645">
        <f t="shared" si="3"/>
        <v>458.65000000000003</v>
      </c>
      <c r="V34" s="645">
        <f t="shared" si="3"/>
        <v>135.81</v>
      </c>
      <c r="W34" s="645">
        <f t="shared" si="3"/>
        <v>168.45000000000002</v>
      </c>
      <c r="X34" s="645">
        <f t="shared" si="3"/>
        <v>73.52</v>
      </c>
      <c r="Y34" s="645">
        <f t="shared" si="3"/>
        <v>88.53</v>
      </c>
      <c r="Z34" s="645">
        <f t="shared" si="3"/>
        <v>97.31</v>
      </c>
      <c r="AA34" s="645">
        <f t="shared" si="3"/>
        <v>93.009999999999991</v>
      </c>
      <c r="AB34" s="645">
        <f t="shared" si="3"/>
        <v>87.62</v>
      </c>
      <c r="AC34" s="645">
        <f t="shared" si="3"/>
        <v>76.73</v>
      </c>
      <c r="AD34" s="645">
        <f t="shared" si="3"/>
        <v>308.27999999999997</v>
      </c>
      <c r="AE34" s="645">
        <f t="shared" si="3"/>
        <v>344.72999999999996</v>
      </c>
      <c r="AF34" s="645">
        <f t="shared" ref="AF34" si="4">SUM(D34:AE34)</f>
        <v>4460.7596766999995</v>
      </c>
      <c r="AG34" s="958"/>
    </row>
    <row r="35" spans="2:33" x14ac:dyDescent="0.3">
      <c r="B35" s="955"/>
      <c r="C35" s="1308" t="s">
        <v>1080</v>
      </c>
      <c r="D35" s="645">
        <f>D12+D20+D27</f>
        <v>0</v>
      </c>
      <c r="E35" s="1306">
        <f>D35+E34</f>
        <v>0</v>
      </c>
      <c r="F35" s="1306">
        <f>E35+F34</f>
        <v>118.4230268</v>
      </c>
      <c r="G35" s="1306">
        <f>F35+G34</f>
        <v>233.83967669999998</v>
      </c>
      <c r="H35" s="1306">
        <f t="shared" ref="H35:AE35" si="5">G35+H34</f>
        <v>264.18967670000001</v>
      </c>
      <c r="I35" s="1306">
        <f t="shared" si="5"/>
        <v>338.17967670000002</v>
      </c>
      <c r="J35" s="1306">
        <f t="shared" si="5"/>
        <v>466.78967670000003</v>
      </c>
      <c r="K35" s="1306">
        <f t="shared" si="5"/>
        <v>631.91967670000008</v>
      </c>
      <c r="L35" s="1306">
        <f t="shared" si="5"/>
        <v>771.12967670000012</v>
      </c>
      <c r="M35" s="1306">
        <f t="shared" si="5"/>
        <v>924.54967670000008</v>
      </c>
      <c r="N35" s="1306">
        <f t="shared" si="5"/>
        <v>1149.4396767000001</v>
      </c>
      <c r="O35" s="1306">
        <f t="shared" si="5"/>
        <v>1441.6596767000001</v>
      </c>
      <c r="P35" s="1306">
        <f t="shared" si="5"/>
        <v>1547.4496767000001</v>
      </c>
      <c r="Q35" s="1306">
        <f t="shared" si="5"/>
        <v>1731.8796767000001</v>
      </c>
      <c r="R35" s="1306">
        <f t="shared" si="5"/>
        <v>2140.9096767000001</v>
      </c>
      <c r="S35" s="1306">
        <f t="shared" si="5"/>
        <v>2412.9296767000001</v>
      </c>
      <c r="T35" s="1306">
        <f t="shared" si="5"/>
        <v>2528.1196767000001</v>
      </c>
      <c r="U35" s="1306">
        <f t="shared" si="5"/>
        <v>2986.7696767000002</v>
      </c>
      <c r="V35" s="1306">
        <f t="shared" si="5"/>
        <v>3122.5796767000002</v>
      </c>
      <c r="W35" s="1306">
        <f t="shared" si="5"/>
        <v>3291.0296767</v>
      </c>
      <c r="X35" s="1306">
        <f t="shared" si="5"/>
        <v>3364.5496767</v>
      </c>
      <c r="Y35" s="1306">
        <f t="shared" si="5"/>
        <v>3453.0796767000002</v>
      </c>
      <c r="Z35" s="1306">
        <f t="shared" si="5"/>
        <v>3550.3896767000001</v>
      </c>
      <c r="AA35" s="1306">
        <f t="shared" si="5"/>
        <v>3643.3996766999999</v>
      </c>
      <c r="AB35" s="1306">
        <f t="shared" si="5"/>
        <v>3731.0196766999998</v>
      </c>
      <c r="AC35" s="1306">
        <f t="shared" si="5"/>
        <v>3807.7496766999998</v>
      </c>
      <c r="AD35" s="1306">
        <f t="shared" si="5"/>
        <v>4116.0296767</v>
      </c>
      <c r="AE35" s="1306">
        <f t="shared" si="5"/>
        <v>4460.7596766999995</v>
      </c>
      <c r="AF35" s="645"/>
      <c r="AG35" s="958"/>
    </row>
    <row r="36" spans="2:33" x14ac:dyDescent="0.3">
      <c r="B36" s="955"/>
      <c r="C36" s="1308" t="s">
        <v>399</v>
      </c>
      <c r="D36" s="645">
        <f t="shared" ref="D36:AD36" si="6">D13+D21+D28+D14</f>
        <v>0</v>
      </c>
      <c r="E36" s="645">
        <f t="shared" si="6"/>
        <v>0</v>
      </c>
      <c r="F36" s="645">
        <f t="shared" si="6"/>
        <v>1.0018913</v>
      </c>
      <c r="G36" s="645">
        <f t="shared" si="6"/>
        <v>5.2244348</v>
      </c>
      <c r="H36" s="645">
        <f t="shared" si="6"/>
        <v>6.1844773999999996</v>
      </c>
      <c r="I36" s="645">
        <f t="shared" si="6"/>
        <v>6.9407028000000004</v>
      </c>
      <c r="J36" s="645">
        <f t="shared" si="6"/>
        <v>9.7950745000000001</v>
      </c>
      <c r="K36" s="645">
        <f t="shared" si="6"/>
        <v>12.7347593</v>
      </c>
      <c r="L36" s="645">
        <f t="shared" si="6"/>
        <v>17.420000000000002</v>
      </c>
      <c r="M36" s="645">
        <f t="shared" si="6"/>
        <v>20.74</v>
      </c>
      <c r="N36" s="645">
        <f t="shared" si="6"/>
        <v>25.6</v>
      </c>
      <c r="O36" s="645">
        <f t="shared" si="6"/>
        <v>30.47</v>
      </c>
      <c r="P36" s="645">
        <f t="shared" si="6"/>
        <v>35.6</v>
      </c>
      <c r="Q36" s="645">
        <f t="shared" si="6"/>
        <v>39.409999999999997</v>
      </c>
      <c r="R36" s="645">
        <f t="shared" si="6"/>
        <v>47.3</v>
      </c>
      <c r="S36" s="645">
        <f t="shared" si="6"/>
        <v>52.39</v>
      </c>
      <c r="T36" s="645">
        <f t="shared" si="6"/>
        <v>56.652163253999994</v>
      </c>
      <c r="U36" s="645">
        <f t="shared" si="6"/>
        <v>65.089482201999999</v>
      </c>
      <c r="V36" s="645">
        <f t="shared" si="6"/>
        <v>70.895209199999996</v>
      </c>
      <c r="W36" s="645">
        <f t="shared" si="6"/>
        <v>73.098156599999996</v>
      </c>
      <c r="X36" s="645">
        <f t="shared" si="6"/>
        <v>75.150000000000006</v>
      </c>
      <c r="Y36" s="645">
        <f t="shared" si="6"/>
        <v>78.61</v>
      </c>
      <c r="Z36" s="645">
        <f t="shared" si="6"/>
        <v>81.160000000000011</v>
      </c>
      <c r="AA36" s="645">
        <f t="shared" si="6"/>
        <v>83.74</v>
      </c>
      <c r="AB36" s="645">
        <f t="shared" si="6"/>
        <v>81.97343163383151</v>
      </c>
      <c r="AC36" s="645">
        <f t="shared" si="6"/>
        <v>85.194183260767119</v>
      </c>
      <c r="AD36" s="645">
        <f t="shared" si="6"/>
        <v>83.862846000000005</v>
      </c>
      <c r="AE36" s="645">
        <f>AE13+AE21+AE28+AE14</f>
        <v>57.196867076655167</v>
      </c>
      <c r="AF36" s="645">
        <f>SUM(D36:AE36)</f>
        <v>1203.4336793272537</v>
      </c>
      <c r="AG36" s="958"/>
    </row>
    <row r="37" spans="2:33" x14ac:dyDescent="0.3">
      <c r="B37" s="955"/>
      <c r="C37" s="1308" t="s">
        <v>1081</v>
      </c>
      <c r="D37" s="645"/>
      <c r="E37" s="645"/>
      <c r="F37" s="645"/>
      <c r="G37" s="645"/>
      <c r="H37" s="645"/>
      <c r="I37" s="645"/>
      <c r="J37" s="645"/>
      <c r="K37" s="645"/>
      <c r="L37" s="645"/>
      <c r="M37" s="645"/>
      <c r="N37" s="645"/>
      <c r="O37" s="645"/>
      <c r="P37" s="645"/>
      <c r="Q37" s="645"/>
      <c r="R37" s="645"/>
      <c r="S37" s="645"/>
      <c r="T37" s="645"/>
      <c r="U37" s="645"/>
      <c r="V37" s="645"/>
      <c r="W37" s="645"/>
      <c r="X37" s="645"/>
      <c r="Y37" s="645"/>
      <c r="Z37" s="645"/>
      <c r="AA37" s="645"/>
      <c r="AB37" s="645"/>
      <c r="AC37" s="645"/>
      <c r="AD37" s="645"/>
      <c r="AE37" s="645"/>
      <c r="AF37" s="645"/>
    </row>
    <row r="38" spans="2:33" x14ac:dyDescent="0.3">
      <c r="B38" s="955"/>
      <c r="C38" s="1308" t="s">
        <v>1082</v>
      </c>
      <c r="D38" s="645"/>
      <c r="E38" s="645"/>
      <c r="F38" s="645"/>
      <c r="G38" s="645"/>
      <c r="H38" s="645"/>
      <c r="I38" s="645"/>
      <c r="J38" s="645"/>
      <c r="K38" s="645"/>
      <c r="L38" s="645"/>
      <c r="M38" s="645"/>
      <c r="N38" s="645"/>
      <c r="O38" s="645"/>
      <c r="P38" s="645"/>
      <c r="Q38" s="645"/>
      <c r="R38" s="645"/>
      <c r="S38" s="645"/>
      <c r="T38" s="645"/>
      <c r="U38" s="645"/>
      <c r="V38" s="645"/>
      <c r="W38" s="645"/>
      <c r="X38" s="645"/>
      <c r="Y38" s="645"/>
      <c r="Z38" s="645"/>
      <c r="AA38" s="645"/>
      <c r="AB38" s="645"/>
      <c r="AC38" s="645"/>
      <c r="AD38" s="645"/>
      <c r="AE38" s="645"/>
      <c r="AF38" s="645"/>
    </row>
    <row r="39" spans="2:33" x14ac:dyDescent="0.3">
      <c r="B39" s="955"/>
      <c r="C39" s="1308"/>
      <c r="D39" s="645"/>
      <c r="E39" s="645"/>
      <c r="F39" s="645"/>
      <c r="G39" s="645"/>
      <c r="H39" s="645"/>
      <c r="I39" s="645"/>
      <c r="J39" s="645"/>
      <c r="K39" s="645"/>
      <c r="L39" s="645"/>
      <c r="M39" s="645"/>
      <c r="N39" s="645"/>
      <c r="O39" s="645"/>
      <c r="P39" s="645"/>
      <c r="Q39" s="645"/>
      <c r="R39" s="645"/>
      <c r="S39" s="645"/>
      <c r="T39" s="645"/>
      <c r="U39" s="645"/>
      <c r="V39" s="645"/>
      <c r="W39" s="645"/>
      <c r="X39" s="645"/>
      <c r="Y39" s="645"/>
      <c r="Z39" s="645"/>
      <c r="AA39" s="645"/>
      <c r="AB39" s="645"/>
      <c r="AC39" s="645"/>
      <c r="AD39" s="645"/>
      <c r="AE39" s="645"/>
      <c r="AF39" s="645"/>
    </row>
    <row r="40" spans="2:33" x14ac:dyDescent="0.3">
      <c r="B40" s="955">
        <v>2</v>
      </c>
      <c r="C40" s="957" t="s">
        <v>1084</v>
      </c>
      <c r="D40" s="644"/>
      <c r="E40" s="644"/>
      <c r="F40" s="644"/>
      <c r="G40" s="644"/>
      <c r="H40" s="644"/>
      <c r="I40" s="644"/>
      <c r="J40" s="644"/>
      <c r="K40" s="644"/>
      <c r="L40" s="644"/>
      <c r="M40" s="644"/>
      <c r="N40" s="644"/>
      <c r="O40" s="644"/>
      <c r="P40" s="644"/>
      <c r="Q40" s="644"/>
      <c r="R40" s="644"/>
      <c r="S40" s="644"/>
      <c r="T40" s="644"/>
      <c r="U40" s="644"/>
      <c r="V40" s="644"/>
      <c r="W40" s="644"/>
      <c r="X40" s="644"/>
      <c r="Y40" s="644"/>
      <c r="Z40" s="644"/>
      <c r="AA40" s="644"/>
      <c r="AB40" s="644"/>
      <c r="AC40" s="644"/>
      <c r="AD40" s="644"/>
      <c r="AE40" s="644"/>
      <c r="AF40" s="647">
        <f>SUM(D40:S40)</f>
        <v>0</v>
      </c>
    </row>
    <row r="41" spans="2:33" x14ac:dyDescent="0.3">
      <c r="B41" s="955"/>
      <c r="C41" s="648" t="s">
        <v>1085</v>
      </c>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c r="AF41" s="644"/>
    </row>
    <row r="42" spans="2:33" x14ac:dyDescent="0.3">
      <c r="B42" s="955"/>
      <c r="C42" s="648" t="s">
        <v>1086</v>
      </c>
      <c r="D42" s="646"/>
      <c r="E42" s="646"/>
      <c r="F42" s="646"/>
      <c r="G42" s="646"/>
      <c r="H42" s="646"/>
      <c r="I42" s="646"/>
      <c r="J42" s="646"/>
      <c r="K42" s="646"/>
      <c r="L42" s="646"/>
      <c r="M42" s="646"/>
      <c r="N42" s="646"/>
      <c r="O42" s="646"/>
      <c r="P42" s="646"/>
      <c r="Q42" s="646"/>
      <c r="R42" s="646"/>
      <c r="S42" s="646"/>
      <c r="T42" s="646"/>
      <c r="U42" s="646"/>
      <c r="V42" s="646"/>
      <c r="W42" s="646"/>
      <c r="X42" s="646"/>
      <c r="Y42" s="646"/>
      <c r="Z42" s="646"/>
      <c r="AA42" s="646"/>
      <c r="AB42" s="646"/>
      <c r="AC42" s="646"/>
      <c r="AD42" s="646"/>
      <c r="AE42" s="646"/>
      <c r="AF42" s="644"/>
    </row>
    <row r="43" spans="2:33" x14ac:dyDescent="0.3">
      <c r="B43" s="955"/>
      <c r="C43" s="957" t="s">
        <v>1087</v>
      </c>
      <c r="D43" s="646"/>
      <c r="E43" s="646"/>
      <c r="F43" s="646"/>
      <c r="G43" s="646"/>
      <c r="H43" s="646"/>
      <c r="I43" s="646"/>
      <c r="J43" s="646"/>
      <c r="K43" s="646"/>
      <c r="L43" s="646"/>
      <c r="M43" s="646"/>
      <c r="N43" s="646"/>
      <c r="O43" s="646"/>
      <c r="P43" s="646"/>
      <c r="Q43" s="646"/>
      <c r="R43" s="646"/>
      <c r="S43" s="646"/>
      <c r="T43" s="646"/>
      <c r="U43" s="646"/>
      <c r="V43" s="646"/>
      <c r="W43" s="646"/>
      <c r="X43" s="646"/>
      <c r="Y43" s="646"/>
      <c r="Z43" s="646"/>
      <c r="AA43" s="646"/>
      <c r="AB43" s="646"/>
      <c r="AC43" s="646"/>
      <c r="AD43" s="646"/>
      <c r="AE43" s="646"/>
      <c r="AF43" s="644"/>
      <c r="AG43" s="958"/>
    </row>
    <row r="52" spans="9:11" x14ac:dyDescent="0.3">
      <c r="I52" s="958"/>
      <c r="K52" s="958"/>
    </row>
    <row r="53" spans="9:11" x14ac:dyDescent="0.3">
      <c r="I53" s="958"/>
      <c r="K53" s="958"/>
    </row>
    <row r="54" spans="9:11" x14ac:dyDescent="0.3">
      <c r="I54" s="958"/>
      <c r="K54" s="958"/>
    </row>
    <row r="55" spans="9:11" x14ac:dyDescent="0.3">
      <c r="I55" s="958"/>
      <c r="K55" s="958"/>
    </row>
    <row r="56" spans="9:11" x14ac:dyDescent="0.3">
      <c r="K56" s="958"/>
    </row>
  </sheetData>
  <mergeCells count="8">
    <mergeCell ref="X6:AA6"/>
    <mergeCell ref="AB6:AE6"/>
    <mergeCell ref="B6:B8"/>
    <mergeCell ref="D6:G6"/>
    <mergeCell ref="H6:K6"/>
    <mergeCell ref="L6:O6"/>
    <mergeCell ref="P6:S6"/>
    <mergeCell ref="T6:W6"/>
  </mergeCells>
  <printOptions horizontalCentered="1" verticalCentered="1"/>
  <pageMargins left="1.0629921259842521" right="0.39370078740157483" top="0.62992125984251968" bottom="0.39370078740157483" header="0.31496062992125984" footer="0.31496062992125984"/>
  <pageSetup paperSize="9" scale="33"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2:AJ329"/>
  <sheetViews>
    <sheetView topLeftCell="A297" zoomScale="46" zoomScaleNormal="60" workbookViewId="0">
      <selection activeCell="C324" sqref="C324"/>
    </sheetView>
  </sheetViews>
  <sheetFormatPr defaultColWidth="8.54296875" defaultRowHeight="13" x14ac:dyDescent="0.3"/>
  <cols>
    <col min="1" max="1" width="14.54296875" style="1137" customWidth="1"/>
    <col min="2" max="2" width="32.54296875" style="1164" bestFit="1" customWidth="1"/>
    <col min="3" max="3" width="23.1796875" style="1137" customWidth="1"/>
    <col min="4" max="4" width="19.54296875" style="1137" customWidth="1"/>
    <col min="5" max="5" width="19" style="1137" customWidth="1"/>
    <col min="6" max="6" width="12.81640625" style="1137" bestFit="1" customWidth="1"/>
    <col min="7" max="9" width="9.54296875" style="1137" bestFit="1" customWidth="1"/>
    <col min="10" max="10" width="9.1796875" style="1137" bestFit="1" customWidth="1"/>
    <col min="11" max="12" width="8.453125" style="1137" bestFit="1" customWidth="1"/>
    <col min="13" max="19" width="8.81640625" style="1137" bestFit="1" customWidth="1"/>
    <col min="20" max="22" width="12.54296875" style="1137" bestFit="1" customWidth="1"/>
    <col min="23" max="30" width="12.81640625" style="1137" bestFit="1" customWidth="1"/>
    <col min="31" max="33" width="22.453125" style="1137" customWidth="1"/>
    <col min="34" max="34" width="9.453125" style="1137" bestFit="1" customWidth="1"/>
    <col min="35" max="35" width="25.54296875" style="1137" customWidth="1"/>
    <col min="36" max="36" width="22.453125" style="1137" customWidth="1"/>
    <col min="37" max="16384" width="8.54296875" style="1137"/>
  </cols>
  <sheetData>
    <row r="2" spans="1:33" ht="14.15" customHeight="1" x14ac:dyDescent="0.3">
      <c r="B2" s="87"/>
      <c r="C2" s="87"/>
      <c r="D2" s="87"/>
      <c r="E2" s="87"/>
      <c r="F2" s="51" t="s">
        <v>705</v>
      </c>
      <c r="G2" s="87"/>
      <c r="H2" s="87"/>
      <c r="I2" s="87"/>
      <c r="J2" s="87"/>
      <c r="K2" s="87"/>
      <c r="L2" s="87"/>
      <c r="M2" s="87"/>
      <c r="N2" s="87"/>
      <c r="O2" s="87"/>
      <c r="P2" s="87"/>
      <c r="Q2" s="87"/>
      <c r="R2" s="87"/>
      <c r="S2" s="87"/>
      <c r="T2" s="87"/>
    </row>
    <row r="3" spans="1:33" ht="14.15" customHeight="1" x14ac:dyDescent="0.3">
      <c r="A3" s="1407" t="s">
        <v>912</v>
      </c>
      <c r="B3" s="1589"/>
      <c r="C3" s="1589"/>
      <c r="D3" s="1589"/>
      <c r="E3" s="1589"/>
      <c r="F3" s="1589"/>
      <c r="G3" s="1589"/>
      <c r="H3" s="1589"/>
      <c r="I3" s="1589"/>
      <c r="J3" s="1589"/>
      <c r="K3" s="1589"/>
      <c r="L3" s="1589"/>
      <c r="M3" s="1589"/>
      <c r="N3" s="1589"/>
      <c r="O3" s="1589"/>
      <c r="P3" s="1589"/>
      <c r="Q3" s="1589"/>
      <c r="R3" s="1589"/>
      <c r="S3" s="1589"/>
      <c r="T3" s="1589"/>
    </row>
    <row r="4" spans="1:33" ht="14.15" customHeight="1" x14ac:dyDescent="0.3">
      <c r="A4" s="1431" t="s">
        <v>913</v>
      </c>
      <c r="B4" s="1590"/>
      <c r="C4" s="1590"/>
      <c r="D4" s="1590"/>
      <c r="E4" s="1590"/>
      <c r="F4" s="1590"/>
      <c r="G4" s="1590"/>
      <c r="H4" s="1590"/>
      <c r="I4" s="1590"/>
      <c r="J4" s="1590"/>
      <c r="K4" s="1590"/>
      <c r="L4" s="1590"/>
      <c r="M4" s="1590"/>
      <c r="N4" s="1590"/>
      <c r="O4" s="1590"/>
      <c r="P4" s="1590"/>
      <c r="Q4" s="1590"/>
      <c r="R4" s="1590"/>
      <c r="S4" s="1590"/>
      <c r="T4" s="1590"/>
    </row>
    <row r="5" spans="1:33" x14ac:dyDescent="0.3">
      <c r="B5" s="1138" t="s">
        <v>480</v>
      </c>
      <c r="F5" s="1139" t="s">
        <v>10</v>
      </c>
    </row>
    <row r="6" spans="1:33" ht="26.15" customHeight="1" x14ac:dyDescent="0.3">
      <c r="A6" s="1140"/>
      <c r="B6" s="1624" t="s">
        <v>398</v>
      </c>
      <c r="C6" s="1619" t="s">
        <v>673</v>
      </c>
      <c r="D6" s="1619" t="s">
        <v>482</v>
      </c>
      <c r="E6" s="1619" t="s">
        <v>545</v>
      </c>
      <c r="F6" s="1621" t="s">
        <v>546</v>
      </c>
      <c r="G6" s="1622"/>
      <c r="H6" s="1622"/>
      <c r="I6" s="1622"/>
      <c r="J6" s="1622"/>
      <c r="K6" s="1622"/>
      <c r="L6" s="1622"/>
      <c r="M6" s="1622"/>
      <c r="N6" s="1622"/>
      <c r="O6" s="1622"/>
      <c r="P6" s="1622"/>
      <c r="Q6" s="1622"/>
      <c r="R6" s="1622"/>
      <c r="S6" s="1622"/>
      <c r="T6" s="1622"/>
      <c r="U6" s="1622"/>
      <c r="V6" s="1622"/>
      <c r="W6" s="1622"/>
      <c r="X6" s="1622"/>
      <c r="Y6" s="1622"/>
      <c r="Z6" s="1622"/>
      <c r="AA6" s="1622"/>
      <c r="AB6" s="1622"/>
      <c r="AC6" s="1622"/>
      <c r="AD6" s="1623"/>
      <c r="AE6" s="1141" t="s">
        <v>504</v>
      </c>
      <c r="AF6" s="1141" t="s">
        <v>497</v>
      </c>
      <c r="AG6" s="1141" t="s">
        <v>505</v>
      </c>
    </row>
    <row r="7" spans="1:33" ht="13" customHeight="1" x14ac:dyDescent="0.3">
      <c r="A7" s="1140"/>
      <c r="B7" s="1625"/>
      <c r="C7" s="1620"/>
      <c r="D7" s="1620"/>
      <c r="E7" s="1620"/>
      <c r="F7" s="1142" t="s">
        <v>483</v>
      </c>
      <c r="G7" s="1142" t="s">
        <v>484</v>
      </c>
      <c r="H7" s="1142" t="s">
        <v>485</v>
      </c>
      <c r="I7" s="1142" t="s">
        <v>486</v>
      </c>
      <c r="J7" s="1142" t="s">
        <v>487</v>
      </c>
      <c r="K7" s="1142" t="s">
        <v>488</v>
      </c>
      <c r="L7" s="1142" t="s">
        <v>489</v>
      </c>
      <c r="M7" s="1142" t="s">
        <v>490</v>
      </c>
      <c r="N7" s="1142" t="s">
        <v>491</v>
      </c>
      <c r="O7" s="1142" t="s">
        <v>492</v>
      </c>
      <c r="P7" s="1142" t="s">
        <v>493</v>
      </c>
      <c r="Q7" s="1142" t="s">
        <v>494</v>
      </c>
      <c r="R7" s="1142" t="s">
        <v>495</v>
      </c>
      <c r="S7" s="1142" t="s">
        <v>496</v>
      </c>
      <c r="T7" s="1142" t="s">
        <v>314</v>
      </c>
      <c r="U7" s="1142" t="s">
        <v>473</v>
      </c>
      <c r="V7" s="1142" t="s">
        <v>474</v>
      </c>
      <c r="W7" s="1142" t="s">
        <v>475</v>
      </c>
      <c r="X7" s="1142" t="s">
        <v>476</v>
      </c>
      <c r="Y7" s="1142" t="s">
        <v>477</v>
      </c>
      <c r="Z7" s="1142" t="s">
        <v>849</v>
      </c>
      <c r="AA7" s="1142" t="s">
        <v>850</v>
      </c>
      <c r="AB7" s="1142" t="s">
        <v>851</v>
      </c>
      <c r="AC7" s="1142" t="s">
        <v>852</v>
      </c>
      <c r="AD7" s="1142" t="s">
        <v>853</v>
      </c>
      <c r="AE7" s="1141"/>
      <c r="AF7" s="1141"/>
      <c r="AG7" s="1141"/>
    </row>
    <row r="8" spans="1:33" x14ac:dyDescent="0.3">
      <c r="A8" s="1143" t="s">
        <v>498</v>
      </c>
      <c r="B8" s="1144">
        <v>2005</v>
      </c>
      <c r="C8" s="1145"/>
      <c r="D8" s="1146"/>
      <c r="E8" s="1146"/>
      <c r="F8" s="1147"/>
      <c r="G8" s="1147"/>
      <c r="H8" s="1147"/>
      <c r="I8" s="1147"/>
      <c r="J8" s="1147"/>
      <c r="K8" s="1147"/>
      <c r="L8" s="1147"/>
      <c r="M8" s="1147"/>
      <c r="N8" s="1147"/>
      <c r="O8" s="1147"/>
      <c r="P8" s="1147"/>
      <c r="Q8" s="1147"/>
      <c r="R8" s="1147"/>
      <c r="S8" s="1147"/>
      <c r="T8" s="1147"/>
      <c r="U8" s="1147"/>
      <c r="V8" s="1147"/>
      <c r="W8" s="1147"/>
      <c r="X8" s="1147"/>
      <c r="Y8" s="1147"/>
      <c r="Z8" s="1147"/>
      <c r="AA8" s="1147"/>
      <c r="AB8" s="1147"/>
      <c r="AC8" s="1147"/>
      <c r="AD8" s="1147"/>
      <c r="AE8" s="1146"/>
      <c r="AF8" s="1146"/>
      <c r="AG8" s="1146"/>
    </row>
    <row r="9" spans="1:33" x14ac:dyDescent="0.3">
      <c r="A9" s="1143" t="s">
        <v>499</v>
      </c>
      <c r="B9" s="1144" t="s">
        <v>483</v>
      </c>
      <c r="C9" s="1143"/>
      <c r="D9" s="1146"/>
      <c r="E9" s="1146"/>
      <c r="F9" s="1148"/>
      <c r="G9" s="1147"/>
      <c r="H9" s="1147"/>
      <c r="I9" s="1147"/>
      <c r="J9" s="1147"/>
      <c r="K9" s="1147"/>
      <c r="L9" s="1147"/>
      <c r="M9" s="1147"/>
      <c r="N9" s="1147"/>
      <c r="O9" s="1147"/>
      <c r="P9" s="1147"/>
      <c r="Q9" s="1147"/>
      <c r="R9" s="1147"/>
      <c r="S9" s="1147"/>
      <c r="T9" s="1147"/>
      <c r="U9" s="1147"/>
      <c r="V9" s="1147"/>
      <c r="W9" s="1147"/>
      <c r="X9" s="1147"/>
      <c r="Y9" s="1147"/>
      <c r="Z9" s="1147"/>
      <c r="AA9" s="1147"/>
      <c r="AB9" s="1147"/>
      <c r="AC9" s="1147"/>
      <c r="AD9" s="1147"/>
      <c r="AE9" s="1146"/>
      <c r="AF9" s="1146"/>
      <c r="AG9" s="1146"/>
    </row>
    <row r="10" spans="1:33" x14ac:dyDescent="0.3">
      <c r="A10" s="1143" t="s">
        <v>499</v>
      </c>
      <c r="B10" s="1144" t="s">
        <v>484</v>
      </c>
      <c r="C10" s="1143"/>
      <c r="D10" s="1146"/>
      <c r="E10" s="1146"/>
      <c r="F10" s="1149"/>
      <c r="G10" s="1148"/>
      <c r="H10" s="1147"/>
      <c r="I10" s="1147"/>
      <c r="J10" s="1147"/>
      <c r="K10" s="1147"/>
      <c r="L10" s="1147"/>
      <c r="M10" s="1147"/>
      <c r="N10" s="1147"/>
      <c r="O10" s="1147"/>
      <c r="P10" s="1147"/>
      <c r="Q10" s="1147"/>
      <c r="R10" s="1147"/>
      <c r="S10" s="1147"/>
      <c r="T10" s="1147"/>
      <c r="U10" s="1147"/>
      <c r="V10" s="1147"/>
      <c r="W10" s="1147"/>
      <c r="X10" s="1147"/>
      <c r="Y10" s="1147"/>
      <c r="Z10" s="1147"/>
      <c r="AA10" s="1147"/>
      <c r="AB10" s="1147"/>
      <c r="AC10" s="1147"/>
      <c r="AD10" s="1147"/>
      <c r="AE10" s="1146"/>
      <c r="AF10" s="1146"/>
      <c r="AG10" s="1146"/>
    </row>
    <row r="11" spans="1:33" x14ac:dyDescent="0.3">
      <c r="A11" s="1143" t="s">
        <v>499</v>
      </c>
      <c r="B11" s="1144" t="s">
        <v>485</v>
      </c>
      <c r="C11" s="1143"/>
      <c r="D11" s="1146"/>
      <c r="E11" s="1146"/>
      <c r="F11" s="1149"/>
      <c r="G11" s="1149"/>
      <c r="H11" s="1148"/>
      <c r="I11" s="1147"/>
      <c r="J11" s="1147"/>
      <c r="K11" s="1147"/>
      <c r="L11" s="1147"/>
      <c r="M11" s="1147"/>
      <c r="N11" s="1147"/>
      <c r="O11" s="1147"/>
      <c r="P11" s="1147"/>
      <c r="Q11" s="1147"/>
      <c r="R11" s="1147"/>
      <c r="S11" s="1147"/>
      <c r="T11" s="1147"/>
      <c r="U11" s="1147"/>
      <c r="V11" s="1147"/>
      <c r="W11" s="1147"/>
      <c r="X11" s="1147"/>
      <c r="Y11" s="1147"/>
      <c r="Z11" s="1147"/>
      <c r="AA11" s="1147"/>
      <c r="AB11" s="1147"/>
      <c r="AC11" s="1147"/>
      <c r="AD11" s="1147"/>
      <c r="AE11" s="1146"/>
      <c r="AF11" s="1146"/>
      <c r="AG11" s="1146"/>
    </row>
    <row r="12" spans="1:33" x14ac:dyDescent="0.3">
      <c r="A12" s="1143" t="s">
        <v>499</v>
      </c>
      <c r="B12" s="1144" t="s">
        <v>486</v>
      </c>
      <c r="C12" s="1143"/>
      <c r="D12" s="1146"/>
      <c r="E12" s="1146"/>
      <c r="F12" s="1149"/>
      <c r="G12" s="1149"/>
      <c r="H12" s="1149"/>
      <c r="I12" s="1148"/>
      <c r="J12" s="1147"/>
      <c r="K12" s="1147"/>
      <c r="L12" s="1147"/>
      <c r="M12" s="1147"/>
      <c r="N12" s="1147"/>
      <c r="O12" s="1147"/>
      <c r="P12" s="1147"/>
      <c r="Q12" s="1147"/>
      <c r="R12" s="1147"/>
      <c r="S12" s="1147"/>
      <c r="T12" s="1147"/>
      <c r="U12" s="1147"/>
      <c r="V12" s="1147"/>
      <c r="W12" s="1147"/>
      <c r="X12" s="1147"/>
      <c r="Y12" s="1147"/>
      <c r="Z12" s="1147"/>
      <c r="AA12" s="1147"/>
      <c r="AB12" s="1147"/>
      <c r="AC12" s="1147"/>
      <c r="AD12" s="1147"/>
      <c r="AE12" s="1146"/>
      <c r="AF12" s="1146"/>
      <c r="AG12" s="1146"/>
    </row>
    <row r="13" spans="1:33" x14ac:dyDescent="0.3">
      <c r="A13" s="1143" t="s">
        <v>499</v>
      </c>
      <c r="B13" s="1144" t="s">
        <v>487</v>
      </c>
      <c r="C13" s="1143"/>
      <c r="D13" s="1146"/>
      <c r="E13" s="1146"/>
      <c r="F13" s="1149"/>
      <c r="G13" s="1149"/>
      <c r="H13" s="1149"/>
      <c r="I13" s="1149"/>
      <c r="J13" s="1148"/>
      <c r="K13" s="1147"/>
      <c r="L13" s="1147"/>
      <c r="M13" s="1147"/>
      <c r="N13" s="1147"/>
      <c r="O13" s="1147"/>
      <c r="P13" s="1147"/>
      <c r="Q13" s="1147"/>
      <c r="R13" s="1147"/>
      <c r="S13" s="1147"/>
      <c r="T13" s="1147"/>
      <c r="U13" s="1147"/>
      <c r="V13" s="1147"/>
      <c r="W13" s="1147"/>
      <c r="X13" s="1147"/>
      <c r="Y13" s="1147"/>
      <c r="Z13" s="1147"/>
      <c r="AA13" s="1147"/>
      <c r="AB13" s="1147"/>
      <c r="AC13" s="1147"/>
      <c r="AD13" s="1147"/>
      <c r="AE13" s="1146"/>
      <c r="AF13" s="1146"/>
      <c r="AG13" s="1146"/>
    </row>
    <row r="14" spans="1:33" x14ac:dyDescent="0.3">
      <c r="A14" s="1143" t="s">
        <v>499</v>
      </c>
      <c r="B14" s="1144" t="s">
        <v>488</v>
      </c>
      <c r="C14" s="1143"/>
      <c r="D14" s="1146"/>
      <c r="E14" s="1146"/>
      <c r="F14" s="1149"/>
      <c r="G14" s="1149"/>
      <c r="H14" s="1149"/>
      <c r="I14" s="1149"/>
      <c r="J14" s="1149"/>
      <c r="K14" s="1148"/>
      <c r="L14" s="1147"/>
      <c r="M14" s="1147"/>
      <c r="N14" s="1147"/>
      <c r="O14" s="1147"/>
      <c r="P14" s="1147"/>
      <c r="Q14" s="1147"/>
      <c r="R14" s="1147"/>
      <c r="S14" s="1147"/>
      <c r="T14" s="1147"/>
      <c r="U14" s="1147"/>
      <c r="V14" s="1147"/>
      <c r="W14" s="1147"/>
      <c r="X14" s="1147"/>
      <c r="Y14" s="1147"/>
      <c r="Z14" s="1147"/>
      <c r="AA14" s="1147"/>
      <c r="AB14" s="1147"/>
      <c r="AC14" s="1147"/>
      <c r="AD14" s="1147"/>
      <c r="AE14" s="1146"/>
      <c r="AF14" s="1146"/>
      <c r="AG14" s="1146"/>
    </row>
    <row r="15" spans="1:33" x14ac:dyDescent="0.3">
      <c r="A15" s="1143" t="s">
        <v>499</v>
      </c>
      <c r="B15" s="1144" t="s">
        <v>489</v>
      </c>
      <c r="C15" s="1143"/>
      <c r="D15" s="1146"/>
      <c r="E15" s="1146"/>
      <c r="F15" s="1149"/>
      <c r="G15" s="1149"/>
      <c r="H15" s="1149"/>
      <c r="I15" s="1149"/>
      <c r="J15" s="1149"/>
      <c r="K15" s="1149"/>
      <c r="L15" s="1148"/>
      <c r="M15" s="1147"/>
      <c r="N15" s="1147"/>
      <c r="O15" s="1147"/>
      <c r="P15" s="1147"/>
      <c r="Q15" s="1147"/>
      <c r="R15" s="1147"/>
      <c r="S15" s="1147"/>
      <c r="T15" s="1147"/>
      <c r="U15" s="1147"/>
      <c r="V15" s="1147"/>
      <c r="W15" s="1147"/>
      <c r="X15" s="1147"/>
      <c r="Y15" s="1147"/>
      <c r="Z15" s="1147"/>
      <c r="AA15" s="1147"/>
      <c r="AB15" s="1147"/>
      <c r="AC15" s="1147"/>
      <c r="AD15" s="1147"/>
      <c r="AE15" s="1146"/>
      <c r="AF15" s="1146"/>
      <c r="AG15" s="1146"/>
    </row>
    <row r="16" spans="1:33" x14ac:dyDescent="0.3">
      <c r="A16" s="1143" t="s">
        <v>499</v>
      </c>
      <c r="B16" s="1144" t="s">
        <v>490</v>
      </c>
      <c r="C16" s="1143"/>
      <c r="D16" s="1146"/>
      <c r="E16" s="1146"/>
      <c r="F16" s="1149"/>
      <c r="G16" s="1149"/>
      <c r="H16" s="1149"/>
      <c r="I16" s="1149"/>
      <c r="J16" s="1149"/>
      <c r="K16" s="1149"/>
      <c r="L16" s="1149"/>
      <c r="M16" s="1148"/>
      <c r="N16" s="1147"/>
      <c r="O16" s="1147"/>
      <c r="P16" s="1147"/>
      <c r="Q16" s="1147"/>
      <c r="R16" s="1147"/>
      <c r="S16" s="1147"/>
      <c r="T16" s="1147"/>
      <c r="U16" s="1147"/>
      <c r="V16" s="1147"/>
      <c r="W16" s="1147"/>
      <c r="X16" s="1147"/>
      <c r="Y16" s="1147"/>
      <c r="Z16" s="1147"/>
      <c r="AA16" s="1147"/>
      <c r="AB16" s="1147"/>
      <c r="AC16" s="1147"/>
      <c r="AD16" s="1147"/>
      <c r="AE16" s="1146"/>
      <c r="AF16" s="1146"/>
      <c r="AG16" s="1146"/>
    </row>
    <row r="17" spans="1:33" x14ac:dyDescent="0.3">
      <c r="A17" s="1143" t="s">
        <v>499</v>
      </c>
      <c r="B17" s="1144" t="s">
        <v>491</v>
      </c>
      <c r="C17" s="1143"/>
      <c r="D17" s="1146"/>
      <c r="E17" s="1146"/>
      <c r="F17" s="1149"/>
      <c r="G17" s="1149"/>
      <c r="H17" s="1149"/>
      <c r="I17" s="1149"/>
      <c r="J17" s="1149"/>
      <c r="K17" s="1149"/>
      <c r="L17" s="1149"/>
      <c r="M17" s="1149"/>
      <c r="N17" s="1148"/>
      <c r="O17" s="1147"/>
      <c r="P17" s="1147"/>
      <c r="Q17" s="1147"/>
      <c r="R17" s="1147"/>
      <c r="S17" s="1147"/>
      <c r="T17" s="1147"/>
      <c r="U17" s="1147"/>
      <c r="V17" s="1147"/>
      <c r="W17" s="1147"/>
      <c r="X17" s="1147"/>
      <c r="Y17" s="1147"/>
      <c r="Z17" s="1147"/>
      <c r="AA17" s="1147"/>
      <c r="AB17" s="1147"/>
      <c r="AC17" s="1147"/>
      <c r="AD17" s="1147"/>
      <c r="AE17" s="1146"/>
      <c r="AF17" s="1146"/>
      <c r="AG17" s="1146"/>
    </row>
    <row r="18" spans="1:33" x14ac:dyDescent="0.3">
      <c r="A18" s="1143" t="s">
        <v>499</v>
      </c>
      <c r="B18" s="1144" t="s">
        <v>492</v>
      </c>
      <c r="C18" s="1146"/>
      <c r="D18" s="1146"/>
      <c r="E18" s="1146"/>
      <c r="F18" s="1149"/>
      <c r="G18" s="1149"/>
      <c r="H18" s="1149"/>
      <c r="I18" s="1149"/>
      <c r="J18" s="1149"/>
      <c r="K18" s="1149"/>
      <c r="L18" s="1149"/>
      <c r="M18" s="1149"/>
      <c r="N18" s="1149"/>
      <c r="O18" s="1148"/>
      <c r="P18" s="1147"/>
      <c r="Q18" s="1147"/>
      <c r="R18" s="1147"/>
      <c r="S18" s="1147"/>
      <c r="T18" s="1147"/>
      <c r="U18" s="1147"/>
      <c r="V18" s="1147"/>
      <c r="W18" s="1147"/>
      <c r="X18" s="1147"/>
      <c r="Y18" s="1147"/>
      <c r="Z18" s="1147"/>
      <c r="AA18" s="1147"/>
      <c r="AB18" s="1147"/>
      <c r="AC18" s="1147"/>
      <c r="AD18" s="1147"/>
      <c r="AE18" s="1146"/>
      <c r="AF18" s="1146"/>
      <c r="AG18" s="1146"/>
    </row>
    <row r="19" spans="1:33" x14ac:dyDescent="0.3">
      <c r="A19" s="1143" t="s">
        <v>499</v>
      </c>
      <c r="B19" s="1144" t="s">
        <v>493</v>
      </c>
      <c r="C19" s="1146"/>
      <c r="D19" s="1146"/>
      <c r="E19" s="1146"/>
      <c r="F19" s="1149"/>
      <c r="G19" s="1149"/>
      <c r="H19" s="1149"/>
      <c r="I19" s="1149"/>
      <c r="J19" s="1149"/>
      <c r="K19" s="1149"/>
      <c r="L19" s="1149"/>
      <c r="M19" s="1149"/>
      <c r="N19" s="1149"/>
      <c r="O19" s="1149"/>
      <c r="P19" s="1148"/>
      <c r="Q19" s="1147"/>
      <c r="R19" s="1147"/>
      <c r="S19" s="1147"/>
      <c r="T19" s="1147"/>
      <c r="U19" s="1147"/>
      <c r="V19" s="1147"/>
      <c r="W19" s="1147"/>
      <c r="X19" s="1147"/>
      <c r="Y19" s="1147"/>
      <c r="Z19" s="1147"/>
      <c r="AA19" s="1147"/>
      <c r="AB19" s="1147"/>
      <c r="AC19" s="1147"/>
      <c r="AD19" s="1147"/>
      <c r="AE19" s="1146"/>
      <c r="AF19" s="1146"/>
      <c r="AG19" s="1146"/>
    </row>
    <row r="20" spans="1:33" x14ac:dyDescent="0.3">
      <c r="A20" s="1143" t="s">
        <v>499</v>
      </c>
      <c r="B20" s="1144" t="s">
        <v>494</v>
      </c>
      <c r="C20" s="1146"/>
      <c r="D20" s="1146"/>
      <c r="E20" s="1146"/>
      <c r="F20" s="1149"/>
      <c r="G20" s="1149"/>
      <c r="H20" s="1149"/>
      <c r="I20" s="1149"/>
      <c r="J20" s="1149"/>
      <c r="K20" s="1149"/>
      <c r="L20" s="1149"/>
      <c r="M20" s="1149"/>
      <c r="N20" s="1149"/>
      <c r="O20" s="1149"/>
      <c r="P20" s="1149"/>
      <c r="Q20" s="1148"/>
      <c r="R20" s="1147"/>
      <c r="S20" s="1147"/>
      <c r="T20" s="1147"/>
      <c r="U20" s="1147"/>
      <c r="V20" s="1147"/>
      <c r="W20" s="1147"/>
      <c r="X20" s="1147"/>
      <c r="Y20" s="1147"/>
      <c r="Z20" s="1147"/>
      <c r="AA20" s="1147"/>
      <c r="AB20" s="1147"/>
      <c r="AC20" s="1147"/>
      <c r="AD20" s="1147"/>
      <c r="AE20" s="1146"/>
      <c r="AF20" s="1146"/>
      <c r="AG20" s="1146"/>
    </row>
    <row r="21" spans="1:33" x14ac:dyDescent="0.3">
      <c r="A21" s="1143" t="s">
        <v>499</v>
      </c>
      <c r="B21" s="1144" t="s">
        <v>495</v>
      </c>
      <c r="C21" s="1146"/>
      <c r="D21" s="1146"/>
      <c r="E21" s="1146"/>
      <c r="F21" s="1149"/>
      <c r="G21" s="1149"/>
      <c r="H21" s="1149"/>
      <c r="I21" s="1149"/>
      <c r="J21" s="1149"/>
      <c r="K21" s="1149"/>
      <c r="L21" s="1149"/>
      <c r="M21" s="1149"/>
      <c r="N21" s="1149"/>
      <c r="O21" s="1149"/>
      <c r="P21" s="1149"/>
      <c r="Q21" s="1149"/>
      <c r="R21" s="1148"/>
      <c r="S21" s="1147"/>
      <c r="T21" s="1147"/>
      <c r="U21" s="1147"/>
      <c r="V21" s="1147"/>
      <c r="W21" s="1147"/>
      <c r="X21" s="1147"/>
      <c r="Y21" s="1147"/>
      <c r="Z21" s="1147"/>
      <c r="AA21" s="1147"/>
      <c r="AB21" s="1147"/>
      <c r="AC21" s="1147"/>
      <c r="AD21" s="1147"/>
      <c r="AE21" s="1146"/>
      <c r="AF21" s="1146"/>
      <c r="AG21" s="1146"/>
    </row>
    <row r="22" spans="1:33" x14ac:dyDescent="0.3">
      <c r="A22" s="1143" t="s">
        <v>499</v>
      </c>
      <c r="B22" s="1144" t="s">
        <v>496</v>
      </c>
      <c r="C22" s="1146"/>
      <c r="D22" s="1146"/>
      <c r="E22" s="1146"/>
      <c r="F22" s="1149"/>
      <c r="G22" s="1149"/>
      <c r="H22" s="1149"/>
      <c r="I22" s="1149"/>
      <c r="J22" s="1149"/>
      <c r="K22" s="1149"/>
      <c r="L22" s="1149"/>
      <c r="M22" s="1149"/>
      <c r="N22" s="1149"/>
      <c r="O22" s="1149"/>
      <c r="P22" s="1149"/>
      <c r="Q22" s="1149"/>
      <c r="R22" s="1149"/>
      <c r="S22" s="1148"/>
      <c r="T22" s="1147"/>
      <c r="U22" s="1147"/>
      <c r="V22" s="1147"/>
      <c r="W22" s="1147"/>
      <c r="X22" s="1147"/>
      <c r="Y22" s="1147"/>
      <c r="Z22" s="1147"/>
      <c r="AA22" s="1147"/>
      <c r="AB22" s="1147"/>
      <c r="AC22" s="1147"/>
      <c r="AD22" s="1147"/>
      <c r="AE22" s="1146"/>
      <c r="AF22" s="1146"/>
      <c r="AG22" s="1146"/>
    </row>
    <row r="23" spans="1:33" x14ac:dyDescent="0.3">
      <c r="A23" s="1143" t="s">
        <v>499</v>
      </c>
      <c r="B23" s="1144" t="s">
        <v>500</v>
      </c>
      <c r="C23" s="1146"/>
      <c r="D23" s="1146"/>
      <c r="E23" s="1146"/>
      <c r="F23" s="1149"/>
      <c r="G23" s="1149"/>
      <c r="H23" s="1149"/>
      <c r="I23" s="1149"/>
      <c r="J23" s="1149"/>
      <c r="K23" s="1149"/>
      <c r="L23" s="1149"/>
      <c r="M23" s="1149"/>
      <c r="N23" s="1149"/>
      <c r="O23" s="1149"/>
      <c r="P23" s="1149"/>
      <c r="Q23" s="1149"/>
      <c r="R23" s="1149"/>
      <c r="S23" s="1149"/>
      <c r="T23" s="1148"/>
      <c r="U23" s="1147"/>
      <c r="V23" s="1147"/>
      <c r="W23" s="1147"/>
      <c r="X23" s="1147"/>
      <c r="Y23" s="1147"/>
      <c r="Z23" s="1147"/>
      <c r="AA23" s="1147"/>
      <c r="AB23" s="1147"/>
      <c r="AC23" s="1147"/>
      <c r="AD23" s="1147"/>
      <c r="AE23" s="1146"/>
      <c r="AF23" s="1146"/>
      <c r="AG23" s="1146"/>
    </row>
    <row r="24" spans="1:33" x14ac:dyDescent="0.3">
      <c r="A24" s="1143" t="s">
        <v>499</v>
      </c>
      <c r="B24" s="1144" t="s">
        <v>501</v>
      </c>
      <c r="C24" s="1146"/>
      <c r="D24" s="1146"/>
      <c r="E24" s="1146"/>
      <c r="F24" s="1149"/>
      <c r="G24" s="1149"/>
      <c r="H24" s="1149"/>
      <c r="I24" s="1149"/>
      <c r="J24" s="1149"/>
      <c r="K24" s="1149"/>
      <c r="L24" s="1149"/>
      <c r="M24" s="1149"/>
      <c r="N24" s="1149"/>
      <c r="O24" s="1149"/>
      <c r="P24" s="1149"/>
      <c r="Q24" s="1149"/>
      <c r="R24" s="1149"/>
      <c r="S24" s="1149"/>
      <c r="T24" s="1149"/>
      <c r="U24" s="1148"/>
      <c r="V24" s="1147"/>
      <c r="W24" s="1147"/>
      <c r="X24" s="1147"/>
      <c r="Y24" s="1147"/>
      <c r="Z24" s="1147"/>
      <c r="AA24" s="1147"/>
      <c r="AB24" s="1147"/>
      <c r="AC24" s="1147"/>
      <c r="AD24" s="1147"/>
      <c r="AE24" s="1146"/>
      <c r="AF24" s="1146"/>
      <c r="AG24" s="1146"/>
    </row>
    <row r="25" spans="1:33" x14ac:dyDescent="0.3">
      <c r="A25" s="1143" t="s">
        <v>499</v>
      </c>
      <c r="B25" s="1144" t="s">
        <v>502</v>
      </c>
      <c r="C25" s="1146"/>
      <c r="D25" s="1146"/>
      <c r="E25" s="1146"/>
      <c r="F25" s="1149"/>
      <c r="G25" s="1149"/>
      <c r="H25" s="1149"/>
      <c r="I25" s="1149"/>
      <c r="J25" s="1149"/>
      <c r="K25" s="1149"/>
      <c r="L25" s="1149"/>
      <c r="M25" s="1149"/>
      <c r="N25" s="1149"/>
      <c r="O25" s="1149"/>
      <c r="P25" s="1149"/>
      <c r="Q25" s="1149"/>
      <c r="R25" s="1149"/>
      <c r="S25" s="1149"/>
      <c r="T25" s="1149"/>
      <c r="U25" s="1149"/>
      <c r="V25" s="1148"/>
      <c r="W25" s="1147"/>
      <c r="X25" s="1147"/>
      <c r="Y25" s="1147"/>
      <c r="Z25" s="1147"/>
      <c r="AA25" s="1147"/>
      <c r="AB25" s="1147"/>
      <c r="AC25" s="1147"/>
      <c r="AD25" s="1147"/>
      <c r="AE25" s="1146"/>
      <c r="AF25" s="1146"/>
      <c r="AG25" s="1146"/>
    </row>
    <row r="26" spans="1:33" x14ac:dyDescent="0.3">
      <c r="A26" s="1143" t="s">
        <v>499</v>
      </c>
      <c r="B26" s="1144" t="s">
        <v>512</v>
      </c>
      <c r="C26" s="1146"/>
      <c r="D26" s="1146"/>
      <c r="E26" s="1146"/>
      <c r="F26" s="1149"/>
      <c r="G26" s="1149"/>
      <c r="H26" s="1149"/>
      <c r="I26" s="1149"/>
      <c r="J26" s="1149"/>
      <c r="K26" s="1149"/>
      <c r="L26" s="1149"/>
      <c r="M26" s="1149"/>
      <c r="N26" s="1149"/>
      <c r="O26" s="1149"/>
      <c r="P26" s="1149"/>
      <c r="Q26" s="1149"/>
      <c r="R26" s="1149"/>
      <c r="S26" s="1149"/>
      <c r="T26" s="1149"/>
      <c r="U26" s="1149"/>
      <c r="V26" s="1149"/>
      <c r="W26" s="1148"/>
      <c r="X26" s="1147"/>
      <c r="Y26" s="1147"/>
      <c r="Z26" s="1147"/>
      <c r="AA26" s="1147"/>
      <c r="AB26" s="1147"/>
      <c r="AC26" s="1147"/>
      <c r="AD26" s="1147"/>
      <c r="AE26" s="1146"/>
      <c r="AF26" s="1146"/>
      <c r="AG26" s="1146"/>
    </row>
    <row r="27" spans="1:33" x14ac:dyDescent="0.3">
      <c r="A27" s="1143" t="s">
        <v>499</v>
      </c>
      <c r="B27" s="1144" t="s">
        <v>513</v>
      </c>
      <c r="C27" s="1146"/>
      <c r="D27" s="1146"/>
      <c r="E27" s="1146"/>
      <c r="F27" s="1149"/>
      <c r="G27" s="1149"/>
      <c r="H27" s="1149"/>
      <c r="I27" s="1149"/>
      <c r="J27" s="1149"/>
      <c r="K27" s="1149"/>
      <c r="L27" s="1149"/>
      <c r="M27" s="1149"/>
      <c r="N27" s="1149"/>
      <c r="O27" s="1149"/>
      <c r="P27" s="1149"/>
      <c r="Q27" s="1149"/>
      <c r="R27" s="1149"/>
      <c r="S27" s="1149"/>
      <c r="T27" s="1149"/>
      <c r="U27" s="1149"/>
      <c r="V27" s="1149"/>
      <c r="W27" s="1149"/>
      <c r="X27" s="1148"/>
      <c r="Y27" s="1147"/>
      <c r="Z27" s="1147"/>
      <c r="AA27" s="1147"/>
      <c r="AB27" s="1147"/>
      <c r="AC27" s="1147"/>
      <c r="AD27" s="1147"/>
      <c r="AE27" s="1146"/>
      <c r="AF27" s="1146"/>
      <c r="AG27" s="1146"/>
    </row>
    <row r="28" spans="1:33" x14ac:dyDescent="0.3">
      <c r="A28" s="1143" t="s">
        <v>499</v>
      </c>
      <c r="B28" s="1144" t="s">
        <v>514</v>
      </c>
      <c r="C28" s="1185">
        <f>'F5'!$E$16</f>
        <v>31.731225228927713</v>
      </c>
      <c r="D28" s="1146">
        <f>'F5'!D70</f>
        <v>0</v>
      </c>
      <c r="E28" s="1186">
        <f>'F5'!O70+10%</f>
        <v>0.1</v>
      </c>
      <c r="F28" s="1149"/>
      <c r="G28" s="1149"/>
      <c r="H28" s="1149"/>
      <c r="I28" s="1149"/>
      <c r="J28" s="1149"/>
      <c r="K28" s="1149"/>
      <c r="L28" s="1149"/>
      <c r="M28" s="1149"/>
      <c r="N28" s="1149"/>
      <c r="O28" s="1149"/>
      <c r="P28" s="1149"/>
      <c r="Q28" s="1149"/>
      <c r="R28" s="1149"/>
      <c r="S28" s="1149"/>
      <c r="T28" s="1149"/>
      <c r="U28" s="1149"/>
      <c r="V28" s="1149"/>
      <c r="W28" s="1149"/>
      <c r="X28" s="1149"/>
      <c r="Y28" s="1187">
        <f>$C28*$E28</f>
        <v>3.1731225228927715</v>
      </c>
      <c r="Z28" s="1188">
        <f>$C28*$E28</f>
        <v>3.1731225228927715</v>
      </c>
      <c r="AA28" s="1188">
        <f t="shared" ref="AA28:AD32" si="0">$C28*$E28</f>
        <v>3.1731225228927715</v>
      </c>
      <c r="AB28" s="1188">
        <f t="shared" si="0"/>
        <v>3.1731225228927715</v>
      </c>
      <c r="AC28" s="1188">
        <f t="shared" si="0"/>
        <v>3.1731225228927715</v>
      </c>
      <c r="AD28" s="1188">
        <f t="shared" si="0"/>
        <v>3.1731225228927715</v>
      </c>
      <c r="AE28" s="1185">
        <f>SUM(Y28:AD28)</f>
        <v>19.038735137356628</v>
      </c>
      <c r="AF28" s="1185"/>
      <c r="AG28" s="1185">
        <f>C28*0.9-AE28</f>
        <v>9.5193675686783124</v>
      </c>
    </row>
    <row r="29" spans="1:33" ht="29.5" customHeight="1" x14ac:dyDescent="0.3">
      <c r="A29" s="1143" t="s">
        <v>499</v>
      </c>
      <c r="B29" s="1144" t="s">
        <v>914</v>
      </c>
      <c r="C29" s="1150">
        <f>'F5.1 (N)'!$E$16</f>
        <v>0</v>
      </c>
      <c r="D29" s="1146"/>
      <c r="E29" s="1186">
        <f>'F5.1 (N)'!$AC$44</f>
        <v>0</v>
      </c>
      <c r="F29" s="1149"/>
      <c r="G29" s="1149"/>
      <c r="H29" s="1149"/>
      <c r="I29" s="1149"/>
      <c r="J29" s="1149"/>
      <c r="K29" s="1149"/>
      <c r="L29" s="1149"/>
      <c r="M29" s="1149"/>
      <c r="N29" s="1149"/>
      <c r="O29" s="1149"/>
      <c r="P29" s="1149"/>
      <c r="Q29" s="1149"/>
      <c r="R29" s="1149"/>
      <c r="S29" s="1149"/>
      <c r="T29" s="1149"/>
      <c r="U29" s="1149"/>
      <c r="V29" s="1149"/>
      <c r="W29" s="1149"/>
      <c r="X29" s="1149"/>
      <c r="Y29" s="1149"/>
      <c r="Z29" s="1187">
        <f>$C29*$E29</f>
        <v>0</v>
      </c>
      <c r="AA29" s="1188">
        <f>$C29*$E29</f>
        <v>0</v>
      </c>
      <c r="AB29" s="1188">
        <f t="shared" si="0"/>
        <v>0</v>
      </c>
      <c r="AC29" s="1188">
        <f t="shared" si="0"/>
        <v>0</v>
      </c>
      <c r="AD29" s="1188">
        <f t="shared" si="0"/>
        <v>0</v>
      </c>
      <c r="AE29" s="1185">
        <f t="shared" ref="AE29:AE33" si="1">SUM(Y29:AD29)</f>
        <v>0</v>
      </c>
      <c r="AF29" s="1146"/>
      <c r="AG29" s="1185">
        <f t="shared" ref="AG29:AG33" si="2">C29*0.9-AE29</f>
        <v>0</v>
      </c>
    </row>
    <row r="30" spans="1:33" x14ac:dyDescent="0.3">
      <c r="A30" s="1143" t="s">
        <v>499</v>
      </c>
      <c r="B30" s="1144" t="s">
        <v>915</v>
      </c>
      <c r="C30" s="1146">
        <f>'F5.1 (N)'!$J$16</f>
        <v>0</v>
      </c>
      <c r="D30" s="1146"/>
      <c r="E30" s="1186">
        <f>'F5.1 (N)'!$AC$44</f>
        <v>0</v>
      </c>
      <c r="F30" s="1149"/>
      <c r="G30" s="1149"/>
      <c r="H30" s="1149"/>
      <c r="I30" s="1149"/>
      <c r="J30" s="1149"/>
      <c r="K30" s="1149"/>
      <c r="L30" s="1149"/>
      <c r="M30" s="1149"/>
      <c r="N30" s="1149"/>
      <c r="O30" s="1149"/>
      <c r="P30" s="1149"/>
      <c r="Q30" s="1149"/>
      <c r="R30" s="1149"/>
      <c r="S30" s="1149"/>
      <c r="T30" s="1149"/>
      <c r="U30" s="1149"/>
      <c r="V30" s="1149"/>
      <c r="W30" s="1149"/>
      <c r="X30" s="1149"/>
      <c r="Y30" s="1149"/>
      <c r="Z30" s="1149"/>
      <c r="AA30" s="1187">
        <f>$C30*$E30</f>
        <v>0</v>
      </c>
      <c r="AB30" s="1188">
        <f t="shared" si="0"/>
        <v>0</v>
      </c>
      <c r="AC30" s="1188">
        <f t="shared" si="0"/>
        <v>0</v>
      </c>
      <c r="AD30" s="1188">
        <f t="shared" si="0"/>
        <v>0</v>
      </c>
      <c r="AE30" s="1185">
        <f t="shared" si="1"/>
        <v>0</v>
      </c>
      <c r="AF30" s="1146"/>
      <c r="AG30" s="1185">
        <f t="shared" si="2"/>
        <v>0</v>
      </c>
    </row>
    <row r="31" spans="1:33" x14ac:dyDescent="0.3">
      <c r="A31" s="1143" t="s">
        <v>499</v>
      </c>
      <c r="B31" s="1144" t="s">
        <v>916</v>
      </c>
      <c r="C31" s="1146">
        <f>'F5.1 (N)'!$O$16</f>
        <v>0</v>
      </c>
      <c r="D31" s="1146"/>
      <c r="E31" s="1186">
        <f>'F5.1 (N)'!$AC$44</f>
        <v>0</v>
      </c>
      <c r="F31" s="1149"/>
      <c r="G31" s="1149"/>
      <c r="H31" s="1149"/>
      <c r="I31" s="1149"/>
      <c r="J31" s="1149"/>
      <c r="K31" s="1149"/>
      <c r="L31" s="1149"/>
      <c r="M31" s="1149"/>
      <c r="N31" s="1149"/>
      <c r="O31" s="1149"/>
      <c r="P31" s="1149"/>
      <c r="Q31" s="1149"/>
      <c r="R31" s="1149"/>
      <c r="S31" s="1149"/>
      <c r="T31" s="1149"/>
      <c r="U31" s="1149"/>
      <c r="V31" s="1149"/>
      <c r="W31" s="1149"/>
      <c r="X31" s="1149"/>
      <c r="Y31" s="1149"/>
      <c r="Z31" s="1149"/>
      <c r="AA31" s="1149"/>
      <c r="AB31" s="1187">
        <f>$C31*$E31</f>
        <v>0</v>
      </c>
      <c r="AC31" s="1188">
        <f t="shared" si="0"/>
        <v>0</v>
      </c>
      <c r="AD31" s="1188">
        <f t="shared" si="0"/>
        <v>0</v>
      </c>
      <c r="AE31" s="1185">
        <f t="shared" si="1"/>
        <v>0</v>
      </c>
      <c r="AF31" s="1146"/>
      <c r="AG31" s="1185">
        <f t="shared" si="2"/>
        <v>0</v>
      </c>
    </row>
    <row r="32" spans="1:33" x14ac:dyDescent="0.3">
      <c r="A32" s="1143" t="s">
        <v>499</v>
      </c>
      <c r="B32" s="1144" t="s">
        <v>917</v>
      </c>
      <c r="C32" s="1146">
        <f>'F5.1 (N)'!$T$16</f>
        <v>0</v>
      </c>
      <c r="D32" s="1146"/>
      <c r="E32" s="1186">
        <f>'F5.1 (N)'!$AC$44</f>
        <v>0</v>
      </c>
      <c r="F32" s="1149"/>
      <c r="G32" s="1149"/>
      <c r="H32" s="1149"/>
      <c r="I32" s="1149"/>
      <c r="J32" s="1149"/>
      <c r="K32" s="1149"/>
      <c r="L32" s="1149"/>
      <c r="M32" s="1149"/>
      <c r="N32" s="1149"/>
      <c r="O32" s="1149"/>
      <c r="P32" s="1149"/>
      <c r="Q32" s="1149"/>
      <c r="R32" s="1149"/>
      <c r="S32" s="1149"/>
      <c r="T32" s="1149"/>
      <c r="U32" s="1149"/>
      <c r="V32" s="1149"/>
      <c r="W32" s="1149"/>
      <c r="X32" s="1149"/>
      <c r="Y32" s="1149"/>
      <c r="Z32" s="1149"/>
      <c r="AA32" s="1149"/>
      <c r="AB32" s="1149"/>
      <c r="AC32" s="1187">
        <f>$C32*$E32</f>
        <v>0</v>
      </c>
      <c r="AD32" s="1188">
        <f t="shared" si="0"/>
        <v>0</v>
      </c>
      <c r="AE32" s="1185">
        <f t="shared" si="1"/>
        <v>0</v>
      </c>
      <c r="AF32" s="1146"/>
      <c r="AG32" s="1185">
        <f t="shared" si="2"/>
        <v>0</v>
      </c>
    </row>
    <row r="33" spans="1:36" x14ac:dyDescent="0.3">
      <c r="A33" s="1143" t="s">
        <v>499</v>
      </c>
      <c r="B33" s="1144" t="s">
        <v>918</v>
      </c>
      <c r="C33" s="1146">
        <f>'F5.1 (N)'!$Y$16</f>
        <v>0</v>
      </c>
      <c r="D33" s="1146"/>
      <c r="E33" s="1186">
        <f>'F5.1 (N)'!$AC$44</f>
        <v>0</v>
      </c>
      <c r="F33" s="1149"/>
      <c r="G33" s="1149"/>
      <c r="H33" s="1149"/>
      <c r="I33" s="1149"/>
      <c r="J33" s="1149"/>
      <c r="K33" s="1149"/>
      <c r="L33" s="1149"/>
      <c r="M33" s="1149"/>
      <c r="N33" s="1149"/>
      <c r="O33" s="1149"/>
      <c r="P33" s="1149"/>
      <c r="Q33" s="1149"/>
      <c r="R33" s="1149"/>
      <c r="S33" s="1149"/>
      <c r="T33" s="1149"/>
      <c r="U33" s="1149"/>
      <c r="V33" s="1149"/>
      <c r="W33" s="1149"/>
      <c r="X33" s="1149"/>
      <c r="Y33" s="1149"/>
      <c r="Z33" s="1149"/>
      <c r="AA33" s="1149"/>
      <c r="AB33" s="1149"/>
      <c r="AC33" s="1149"/>
      <c r="AD33" s="1187">
        <f>$C33*$E33</f>
        <v>0</v>
      </c>
      <c r="AE33" s="1185">
        <f t="shared" si="1"/>
        <v>0</v>
      </c>
      <c r="AF33" s="1146"/>
      <c r="AG33" s="1185">
        <f t="shared" si="2"/>
        <v>0</v>
      </c>
    </row>
    <row r="34" spans="1:36" x14ac:dyDescent="0.3">
      <c r="A34" s="1151"/>
      <c r="B34" s="1152" t="s">
        <v>267</v>
      </c>
      <c r="C34" s="1153"/>
      <c r="D34" s="1153"/>
      <c r="E34" s="1153"/>
      <c r="F34" s="1153"/>
      <c r="G34" s="1153"/>
      <c r="H34" s="1153"/>
      <c r="I34" s="1153"/>
      <c r="J34" s="1153"/>
      <c r="K34" s="1153"/>
      <c r="L34" s="1153"/>
      <c r="M34" s="1153"/>
      <c r="N34" s="1153"/>
      <c r="O34" s="1153"/>
      <c r="P34" s="1153"/>
      <c r="Q34" s="1153"/>
      <c r="R34" s="1153"/>
      <c r="S34" s="1153"/>
      <c r="T34" s="1153"/>
      <c r="U34" s="1153"/>
      <c r="V34" s="1153"/>
      <c r="W34" s="1153"/>
      <c r="X34" s="1153"/>
      <c r="Y34" s="1163">
        <f>SUM(Y28)</f>
        <v>3.1731225228927715</v>
      </c>
      <c r="Z34" s="1163">
        <f>SUM(Z28:Z29)</f>
        <v>3.1731225228927715</v>
      </c>
      <c r="AA34" s="1163">
        <f>SUM(AA28:AA30)</f>
        <v>3.1731225228927715</v>
      </c>
      <c r="AB34" s="1163">
        <f>SUM(AB28:AB31)</f>
        <v>3.1731225228927715</v>
      </c>
      <c r="AC34" s="1163">
        <f>SUM(AC28:AC32)</f>
        <v>3.1731225228927715</v>
      </c>
      <c r="AD34" s="1163">
        <f>SUM(AD28:AD33)</f>
        <v>3.1731225228927715</v>
      </c>
      <c r="AE34" s="1163">
        <f>SUM(AE28:AE33)</f>
        <v>19.038735137356628</v>
      </c>
      <c r="AF34" s="1163"/>
      <c r="AG34" s="1163">
        <f>SUM(AG28:AG33)</f>
        <v>9.5193675686783124</v>
      </c>
    </row>
    <row r="36" spans="1:36" s="1155" customFormat="1" x14ac:dyDescent="0.3">
      <c r="A36" s="1137"/>
      <c r="B36" s="1138" t="s">
        <v>503</v>
      </c>
      <c r="C36" s="1137"/>
      <c r="D36" s="1137"/>
      <c r="E36" s="1137"/>
      <c r="F36" s="1139" t="s">
        <v>10</v>
      </c>
      <c r="G36" s="1137"/>
      <c r="H36" s="1154"/>
      <c r="I36" s="1137"/>
      <c r="J36" s="1154"/>
      <c r="K36" s="1154"/>
      <c r="L36" s="1137"/>
      <c r="M36" s="1137"/>
      <c r="N36" s="1137"/>
      <c r="O36" s="1137"/>
      <c r="P36" s="1137"/>
      <c r="Q36" s="1137"/>
      <c r="R36" s="1137"/>
      <c r="S36" s="1137"/>
      <c r="T36" s="1137"/>
      <c r="U36" s="1137"/>
      <c r="V36" s="1137"/>
      <c r="W36" s="1137"/>
      <c r="X36" s="1137"/>
      <c r="Y36" s="1137"/>
      <c r="Z36" s="1137"/>
      <c r="AA36" s="1137"/>
      <c r="AB36" s="1137"/>
      <c r="AC36" s="1137"/>
      <c r="AD36" s="1137"/>
      <c r="AE36" s="1137"/>
      <c r="AF36" s="1137"/>
      <c r="AG36" s="1137"/>
      <c r="AI36" s="1156"/>
      <c r="AJ36" s="1156"/>
    </row>
    <row r="37" spans="1:36" ht="26.15" customHeight="1" x14ac:dyDescent="0.3">
      <c r="A37" s="1157"/>
      <c r="B37" s="1158" t="s">
        <v>398</v>
      </c>
      <c r="C37" s="1619" t="s">
        <v>481</v>
      </c>
      <c r="D37" s="1619" t="s">
        <v>482</v>
      </c>
      <c r="E37" s="1619" t="s">
        <v>545</v>
      </c>
      <c r="F37" s="1621" t="s">
        <v>546</v>
      </c>
      <c r="G37" s="1622"/>
      <c r="H37" s="1622"/>
      <c r="I37" s="1622"/>
      <c r="J37" s="1622"/>
      <c r="K37" s="1622"/>
      <c r="L37" s="1622"/>
      <c r="M37" s="1622"/>
      <c r="N37" s="1622"/>
      <c r="O37" s="1622"/>
      <c r="P37" s="1622"/>
      <c r="Q37" s="1622"/>
      <c r="R37" s="1622"/>
      <c r="S37" s="1622"/>
      <c r="T37" s="1622"/>
      <c r="U37" s="1622"/>
      <c r="V37" s="1622"/>
      <c r="W37" s="1622"/>
      <c r="X37" s="1622"/>
      <c r="Y37" s="1622"/>
      <c r="Z37" s="1622"/>
      <c r="AA37" s="1622"/>
      <c r="AB37" s="1622"/>
      <c r="AC37" s="1622"/>
      <c r="AD37" s="1623"/>
      <c r="AE37" s="1141" t="s">
        <v>504</v>
      </c>
      <c r="AF37" s="1141" t="s">
        <v>497</v>
      </c>
      <c r="AG37" s="1141" t="s">
        <v>505</v>
      </c>
    </row>
    <row r="38" spans="1:36" ht="13" customHeight="1" x14ac:dyDescent="0.3">
      <c r="A38" s="1157"/>
      <c r="B38" s="1158"/>
      <c r="C38" s="1620"/>
      <c r="D38" s="1620"/>
      <c r="E38" s="1620"/>
      <c r="F38" s="1142" t="s">
        <v>483</v>
      </c>
      <c r="G38" s="1142" t="s">
        <v>484</v>
      </c>
      <c r="H38" s="1142" t="s">
        <v>485</v>
      </c>
      <c r="I38" s="1142" t="s">
        <v>486</v>
      </c>
      <c r="J38" s="1142" t="s">
        <v>487</v>
      </c>
      <c r="K38" s="1142" t="s">
        <v>488</v>
      </c>
      <c r="L38" s="1142" t="s">
        <v>489</v>
      </c>
      <c r="M38" s="1142" t="s">
        <v>490</v>
      </c>
      <c r="N38" s="1142" t="s">
        <v>491</v>
      </c>
      <c r="O38" s="1142" t="s">
        <v>492</v>
      </c>
      <c r="P38" s="1142" t="s">
        <v>493</v>
      </c>
      <c r="Q38" s="1142" t="s">
        <v>494</v>
      </c>
      <c r="R38" s="1142" t="s">
        <v>495</v>
      </c>
      <c r="S38" s="1142" t="s">
        <v>496</v>
      </c>
      <c r="T38" s="1142" t="s">
        <v>314</v>
      </c>
      <c r="U38" s="1142" t="s">
        <v>473</v>
      </c>
      <c r="V38" s="1142" t="s">
        <v>474</v>
      </c>
      <c r="W38" s="1142" t="s">
        <v>475</v>
      </c>
      <c r="X38" s="1142" t="s">
        <v>476</v>
      </c>
      <c r="Y38" s="1142" t="s">
        <v>477</v>
      </c>
      <c r="Z38" s="1142" t="s">
        <v>849</v>
      </c>
      <c r="AA38" s="1142" t="s">
        <v>850</v>
      </c>
      <c r="AB38" s="1142" t="s">
        <v>851</v>
      </c>
      <c r="AC38" s="1142" t="s">
        <v>852</v>
      </c>
      <c r="AD38" s="1142" t="s">
        <v>853</v>
      </c>
      <c r="AE38" s="1141"/>
      <c r="AF38" s="1141"/>
      <c r="AG38" s="1141"/>
    </row>
    <row r="39" spans="1:36" x14ac:dyDescent="0.3">
      <c r="A39" s="1143" t="s">
        <v>498</v>
      </c>
      <c r="B39" s="1144">
        <v>2005</v>
      </c>
      <c r="C39" s="1143"/>
      <c r="D39" s="1143"/>
      <c r="E39" s="1159"/>
      <c r="F39" s="1147"/>
      <c r="G39" s="1147"/>
      <c r="H39" s="1147"/>
      <c r="I39" s="1147"/>
      <c r="J39" s="1147"/>
      <c r="K39" s="1147"/>
      <c r="L39" s="1147"/>
      <c r="M39" s="1147"/>
      <c r="N39" s="1147"/>
      <c r="O39" s="1147"/>
      <c r="P39" s="1147"/>
      <c r="Q39" s="1147"/>
      <c r="R39" s="1147"/>
      <c r="S39" s="1147"/>
      <c r="T39" s="1147"/>
      <c r="U39" s="1147"/>
      <c r="V39" s="1147"/>
      <c r="W39" s="1147"/>
      <c r="X39" s="1147"/>
      <c r="Y39" s="1147"/>
      <c r="Z39" s="1147"/>
      <c r="AA39" s="1147"/>
      <c r="AB39" s="1147"/>
      <c r="AC39" s="1147"/>
      <c r="AD39" s="1147"/>
      <c r="AE39" s="1146"/>
      <c r="AF39" s="1146"/>
      <c r="AG39" s="1160"/>
      <c r="AI39" s="1154"/>
    </row>
    <row r="40" spans="1:36" x14ac:dyDescent="0.3">
      <c r="A40" s="1143" t="s">
        <v>499</v>
      </c>
      <c r="B40" s="1144" t="s">
        <v>483</v>
      </c>
      <c r="C40" s="1143"/>
      <c r="D40" s="1143"/>
      <c r="E40" s="1159"/>
      <c r="F40" s="1148"/>
      <c r="G40" s="1147"/>
      <c r="H40" s="1147"/>
      <c r="I40" s="1147"/>
      <c r="J40" s="1147"/>
      <c r="K40" s="1147"/>
      <c r="L40" s="1147"/>
      <c r="M40" s="1147"/>
      <c r="N40" s="1147"/>
      <c r="O40" s="1147"/>
      <c r="P40" s="1147"/>
      <c r="Q40" s="1147"/>
      <c r="R40" s="1147"/>
      <c r="S40" s="1147"/>
      <c r="T40" s="1147"/>
      <c r="U40" s="1147"/>
      <c r="V40" s="1147"/>
      <c r="W40" s="1147"/>
      <c r="X40" s="1147"/>
      <c r="Y40" s="1147"/>
      <c r="Z40" s="1147"/>
      <c r="AA40" s="1147"/>
      <c r="AB40" s="1147"/>
      <c r="AC40" s="1147"/>
      <c r="AD40" s="1147"/>
      <c r="AE40" s="1146"/>
      <c r="AF40" s="1146"/>
      <c r="AG40" s="1160"/>
    </row>
    <row r="41" spans="1:36" x14ac:dyDescent="0.3">
      <c r="A41" s="1143" t="s">
        <v>499</v>
      </c>
      <c r="B41" s="1144" t="s">
        <v>484</v>
      </c>
      <c r="C41" s="1143"/>
      <c r="D41" s="1143"/>
      <c r="E41" s="1159"/>
      <c r="F41" s="1149"/>
      <c r="G41" s="1148"/>
      <c r="H41" s="1147"/>
      <c r="I41" s="1147"/>
      <c r="J41" s="1147"/>
      <c r="K41" s="1147"/>
      <c r="L41" s="1147"/>
      <c r="M41" s="1147"/>
      <c r="N41" s="1147"/>
      <c r="O41" s="1147"/>
      <c r="P41" s="1147"/>
      <c r="Q41" s="1147"/>
      <c r="R41" s="1147"/>
      <c r="S41" s="1147"/>
      <c r="T41" s="1147"/>
      <c r="U41" s="1147"/>
      <c r="V41" s="1147"/>
      <c r="W41" s="1147"/>
      <c r="X41" s="1147"/>
      <c r="Y41" s="1147"/>
      <c r="Z41" s="1147"/>
      <c r="AA41" s="1147"/>
      <c r="AB41" s="1147"/>
      <c r="AC41" s="1147"/>
      <c r="AD41" s="1147"/>
      <c r="AE41" s="1146"/>
      <c r="AF41" s="1146"/>
      <c r="AG41" s="1160"/>
    </row>
    <row r="42" spans="1:36" x14ac:dyDescent="0.3">
      <c r="A42" s="1143" t="s">
        <v>499</v>
      </c>
      <c r="B42" s="1144" t="s">
        <v>485</v>
      </c>
      <c r="C42" s="1143"/>
      <c r="D42" s="1143"/>
      <c r="E42" s="1159"/>
      <c r="F42" s="1149"/>
      <c r="G42" s="1149"/>
      <c r="H42" s="1148"/>
      <c r="I42" s="1147"/>
      <c r="J42" s="1147"/>
      <c r="K42" s="1147"/>
      <c r="L42" s="1147"/>
      <c r="M42" s="1147"/>
      <c r="N42" s="1147"/>
      <c r="O42" s="1147"/>
      <c r="P42" s="1147"/>
      <c r="Q42" s="1147"/>
      <c r="R42" s="1147"/>
      <c r="S42" s="1147"/>
      <c r="T42" s="1147"/>
      <c r="U42" s="1147"/>
      <c r="V42" s="1147"/>
      <c r="W42" s="1147"/>
      <c r="X42" s="1147"/>
      <c r="Y42" s="1147"/>
      <c r="Z42" s="1147"/>
      <c r="AA42" s="1147"/>
      <c r="AB42" s="1147"/>
      <c r="AC42" s="1147"/>
      <c r="AD42" s="1147"/>
      <c r="AE42" s="1146"/>
      <c r="AF42" s="1146"/>
      <c r="AG42" s="1160"/>
    </row>
    <row r="43" spans="1:36" x14ac:dyDescent="0.3">
      <c r="A43" s="1143" t="s">
        <v>499</v>
      </c>
      <c r="B43" s="1144" t="s">
        <v>486</v>
      </c>
      <c r="C43" s="1143"/>
      <c r="D43" s="1143"/>
      <c r="E43" s="1159"/>
      <c r="F43" s="1149"/>
      <c r="G43" s="1149"/>
      <c r="H43" s="1149"/>
      <c r="I43" s="1148"/>
      <c r="J43" s="1147"/>
      <c r="K43" s="1147"/>
      <c r="L43" s="1147"/>
      <c r="M43" s="1147"/>
      <c r="N43" s="1147"/>
      <c r="O43" s="1147"/>
      <c r="P43" s="1147"/>
      <c r="Q43" s="1147"/>
      <c r="R43" s="1147"/>
      <c r="S43" s="1147"/>
      <c r="T43" s="1147"/>
      <c r="U43" s="1147"/>
      <c r="V43" s="1147"/>
      <c r="W43" s="1147"/>
      <c r="X43" s="1147"/>
      <c r="Y43" s="1147"/>
      <c r="Z43" s="1147"/>
      <c r="AA43" s="1147"/>
      <c r="AB43" s="1147"/>
      <c r="AC43" s="1147"/>
      <c r="AD43" s="1147"/>
      <c r="AE43" s="1146"/>
      <c r="AF43" s="1146"/>
      <c r="AG43" s="1160"/>
    </row>
    <row r="44" spans="1:36" x14ac:dyDescent="0.3">
      <c r="A44" s="1143" t="s">
        <v>499</v>
      </c>
      <c r="B44" s="1144" t="s">
        <v>487</v>
      </c>
      <c r="C44" s="1143"/>
      <c r="D44" s="1143"/>
      <c r="E44" s="1159"/>
      <c r="F44" s="1149"/>
      <c r="G44" s="1149"/>
      <c r="H44" s="1149"/>
      <c r="I44" s="1149"/>
      <c r="J44" s="1148"/>
      <c r="K44" s="1147"/>
      <c r="L44" s="1147"/>
      <c r="M44" s="1147"/>
      <c r="N44" s="1147"/>
      <c r="O44" s="1147"/>
      <c r="P44" s="1147"/>
      <c r="Q44" s="1147"/>
      <c r="R44" s="1147"/>
      <c r="S44" s="1147"/>
      <c r="T44" s="1147"/>
      <c r="U44" s="1147"/>
      <c r="V44" s="1147"/>
      <c r="W44" s="1147"/>
      <c r="X44" s="1147"/>
      <c r="Y44" s="1147"/>
      <c r="Z44" s="1147"/>
      <c r="AA44" s="1147"/>
      <c r="AB44" s="1147"/>
      <c r="AC44" s="1147"/>
      <c r="AD44" s="1147"/>
      <c r="AE44" s="1146"/>
      <c r="AF44" s="1146"/>
      <c r="AG44" s="1160"/>
    </row>
    <row r="45" spans="1:36" x14ac:dyDescent="0.3">
      <c r="A45" s="1143" t="s">
        <v>499</v>
      </c>
      <c r="B45" s="1144" t="s">
        <v>488</v>
      </c>
      <c r="C45" s="1143"/>
      <c r="D45" s="1143"/>
      <c r="E45" s="1159"/>
      <c r="F45" s="1149"/>
      <c r="G45" s="1149"/>
      <c r="H45" s="1149"/>
      <c r="I45" s="1149"/>
      <c r="J45" s="1149"/>
      <c r="K45" s="1148"/>
      <c r="L45" s="1147"/>
      <c r="M45" s="1147"/>
      <c r="N45" s="1147"/>
      <c r="O45" s="1147"/>
      <c r="P45" s="1147"/>
      <c r="Q45" s="1147"/>
      <c r="R45" s="1147"/>
      <c r="S45" s="1147"/>
      <c r="T45" s="1147"/>
      <c r="U45" s="1147"/>
      <c r="V45" s="1147"/>
      <c r="W45" s="1147"/>
      <c r="X45" s="1147"/>
      <c r="Y45" s="1147"/>
      <c r="Z45" s="1147"/>
      <c r="AA45" s="1147"/>
      <c r="AB45" s="1147"/>
      <c r="AC45" s="1147"/>
      <c r="AD45" s="1147"/>
      <c r="AE45" s="1146"/>
      <c r="AF45" s="1146"/>
      <c r="AG45" s="1160"/>
    </row>
    <row r="46" spans="1:36" x14ac:dyDescent="0.3">
      <c r="A46" s="1143" t="s">
        <v>499</v>
      </c>
      <c r="B46" s="1144" t="s">
        <v>489</v>
      </c>
      <c r="C46" s="1143"/>
      <c r="D46" s="1143"/>
      <c r="E46" s="1159"/>
      <c r="F46" s="1149"/>
      <c r="G46" s="1149"/>
      <c r="H46" s="1149"/>
      <c r="I46" s="1149"/>
      <c r="J46" s="1149"/>
      <c r="K46" s="1149"/>
      <c r="L46" s="1148"/>
      <c r="M46" s="1147"/>
      <c r="N46" s="1147"/>
      <c r="O46" s="1147"/>
      <c r="P46" s="1147"/>
      <c r="Q46" s="1147"/>
      <c r="R46" s="1147"/>
      <c r="S46" s="1147"/>
      <c r="T46" s="1147"/>
      <c r="U46" s="1147"/>
      <c r="V46" s="1147"/>
      <c r="W46" s="1147"/>
      <c r="X46" s="1147"/>
      <c r="Y46" s="1147"/>
      <c r="Z46" s="1147"/>
      <c r="AA46" s="1147"/>
      <c r="AB46" s="1147"/>
      <c r="AC46" s="1147"/>
      <c r="AD46" s="1147"/>
      <c r="AE46" s="1146"/>
      <c r="AF46" s="1146"/>
      <c r="AG46" s="1160"/>
    </row>
    <row r="47" spans="1:36" x14ac:dyDescent="0.3">
      <c r="A47" s="1143" t="s">
        <v>499</v>
      </c>
      <c r="B47" s="1144" t="s">
        <v>490</v>
      </c>
      <c r="C47" s="1143"/>
      <c r="D47" s="1143"/>
      <c r="E47" s="1159"/>
      <c r="F47" s="1149"/>
      <c r="G47" s="1149"/>
      <c r="H47" s="1149"/>
      <c r="I47" s="1149"/>
      <c r="J47" s="1149"/>
      <c r="K47" s="1149"/>
      <c r="L47" s="1149"/>
      <c r="M47" s="1148"/>
      <c r="N47" s="1147"/>
      <c r="O47" s="1147"/>
      <c r="P47" s="1147"/>
      <c r="Q47" s="1147"/>
      <c r="R47" s="1147"/>
      <c r="S47" s="1147"/>
      <c r="T47" s="1147"/>
      <c r="U47" s="1147"/>
      <c r="V47" s="1147"/>
      <c r="W47" s="1147"/>
      <c r="X47" s="1147"/>
      <c r="Y47" s="1147"/>
      <c r="Z47" s="1147"/>
      <c r="AA47" s="1147"/>
      <c r="AB47" s="1147"/>
      <c r="AC47" s="1147"/>
      <c r="AD47" s="1147"/>
      <c r="AE47" s="1146"/>
      <c r="AF47" s="1146"/>
      <c r="AG47" s="1160"/>
    </row>
    <row r="48" spans="1:36" x14ac:dyDescent="0.3">
      <c r="A48" s="1143" t="s">
        <v>499</v>
      </c>
      <c r="B48" s="1144" t="s">
        <v>491</v>
      </c>
      <c r="C48" s="1143"/>
      <c r="D48" s="1143"/>
      <c r="E48" s="1159"/>
      <c r="F48" s="1149"/>
      <c r="G48" s="1149"/>
      <c r="H48" s="1149"/>
      <c r="I48" s="1149"/>
      <c r="J48" s="1149"/>
      <c r="K48" s="1149"/>
      <c r="L48" s="1149"/>
      <c r="M48" s="1149"/>
      <c r="N48" s="1148"/>
      <c r="O48" s="1147"/>
      <c r="P48" s="1147"/>
      <c r="Q48" s="1147"/>
      <c r="R48" s="1147"/>
      <c r="S48" s="1147"/>
      <c r="T48" s="1147"/>
      <c r="U48" s="1147"/>
      <c r="V48" s="1147"/>
      <c r="W48" s="1147"/>
      <c r="X48" s="1147"/>
      <c r="Y48" s="1147"/>
      <c r="Z48" s="1147"/>
      <c r="AA48" s="1147"/>
      <c r="AB48" s="1147"/>
      <c r="AC48" s="1147"/>
      <c r="AD48" s="1147"/>
      <c r="AE48" s="1146"/>
      <c r="AF48" s="1146"/>
      <c r="AG48" s="1160"/>
    </row>
    <row r="49" spans="1:33" x14ac:dyDescent="0.3">
      <c r="A49" s="1143" t="s">
        <v>499</v>
      </c>
      <c r="B49" s="1144" t="s">
        <v>492</v>
      </c>
      <c r="C49" s="1146"/>
      <c r="D49" s="1143"/>
      <c r="E49" s="1159"/>
      <c r="F49" s="1149"/>
      <c r="G49" s="1149"/>
      <c r="H49" s="1149"/>
      <c r="I49" s="1149"/>
      <c r="J49" s="1149"/>
      <c r="K49" s="1149"/>
      <c r="L49" s="1149"/>
      <c r="M49" s="1149"/>
      <c r="N49" s="1149"/>
      <c r="O49" s="1148"/>
      <c r="P49" s="1147"/>
      <c r="Q49" s="1147"/>
      <c r="R49" s="1147"/>
      <c r="S49" s="1147"/>
      <c r="T49" s="1147"/>
      <c r="U49" s="1147"/>
      <c r="V49" s="1147"/>
      <c r="W49" s="1147"/>
      <c r="X49" s="1147"/>
      <c r="Y49" s="1147"/>
      <c r="Z49" s="1147"/>
      <c r="AA49" s="1147"/>
      <c r="AB49" s="1147"/>
      <c r="AC49" s="1147"/>
      <c r="AD49" s="1147"/>
      <c r="AE49" s="1146"/>
      <c r="AF49" s="1146"/>
      <c r="AG49" s="1160"/>
    </row>
    <row r="50" spans="1:33" x14ac:dyDescent="0.3">
      <c r="A50" s="1143" t="s">
        <v>499</v>
      </c>
      <c r="B50" s="1144" t="s">
        <v>493</v>
      </c>
      <c r="C50" s="1146"/>
      <c r="D50" s="1143"/>
      <c r="E50" s="1159"/>
      <c r="F50" s="1149"/>
      <c r="G50" s="1149"/>
      <c r="H50" s="1149"/>
      <c r="I50" s="1149"/>
      <c r="J50" s="1149"/>
      <c r="K50" s="1149"/>
      <c r="L50" s="1149"/>
      <c r="M50" s="1149"/>
      <c r="N50" s="1149"/>
      <c r="O50" s="1149"/>
      <c r="P50" s="1148"/>
      <c r="Q50" s="1147"/>
      <c r="R50" s="1147"/>
      <c r="S50" s="1147"/>
      <c r="T50" s="1147"/>
      <c r="U50" s="1147"/>
      <c r="V50" s="1147"/>
      <c r="W50" s="1147"/>
      <c r="X50" s="1147"/>
      <c r="Y50" s="1147"/>
      <c r="Z50" s="1147"/>
      <c r="AA50" s="1147"/>
      <c r="AB50" s="1147"/>
      <c r="AC50" s="1147"/>
      <c r="AD50" s="1147"/>
      <c r="AE50" s="1146"/>
      <c r="AF50" s="1146"/>
      <c r="AG50" s="1160"/>
    </row>
    <row r="51" spans="1:33" x14ac:dyDescent="0.3">
      <c r="A51" s="1143" t="s">
        <v>499</v>
      </c>
      <c r="B51" s="1144" t="s">
        <v>494</v>
      </c>
      <c r="C51" s="1161"/>
      <c r="D51" s="1146"/>
      <c r="E51" s="1159"/>
      <c r="F51" s="1149"/>
      <c r="G51" s="1149"/>
      <c r="H51" s="1149"/>
      <c r="I51" s="1149"/>
      <c r="J51" s="1149"/>
      <c r="K51" s="1149"/>
      <c r="L51" s="1149"/>
      <c r="M51" s="1149"/>
      <c r="N51" s="1149"/>
      <c r="O51" s="1149"/>
      <c r="P51" s="1149"/>
      <c r="Q51" s="1148"/>
      <c r="R51" s="1147"/>
      <c r="S51" s="1147"/>
      <c r="T51" s="1147"/>
      <c r="U51" s="1147"/>
      <c r="V51" s="1147"/>
      <c r="W51" s="1147"/>
      <c r="X51" s="1147"/>
      <c r="Y51" s="1147"/>
      <c r="Z51" s="1147"/>
      <c r="AA51" s="1147"/>
      <c r="AB51" s="1147"/>
      <c r="AC51" s="1147"/>
      <c r="AD51" s="1147"/>
      <c r="AE51" s="1146"/>
      <c r="AF51" s="1146"/>
      <c r="AG51" s="1160"/>
    </row>
    <row r="52" spans="1:33" x14ac:dyDescent="0.3">
      <c r="A52" s="1143" t="s">
        <v>499</v>
      </c>
      <c r="B52" s="1144" t="s">
        <v>495</v>
      </c>
      <c r="C52" s="1146"/>
      <c r="D52" s="1146"/>
      <c r="E52" s="1159"/>
      <c r="F52" s="1149"/>
      <c r="G52" s="1149"/>
      <c r="H52" s="1149"/>
      <c r="I52" s="1149"/>
      <c r="J52" s="1149"/>
      <c r="K52" s="1149"/>
      <c r="L52" s="1149"/>
      <c r="M52" s="1149"/>
      <c r="N52" s="1149"/>
      <c r="O52" s="1149"/>
      <c r="P52" s="1149"/>
      <c r="Q52" s="1149"/>
      <c r="R52" s="1148"/>
      <c r="S52" s="1147"/>
      <c r="T52" s="1147"/>
      <c r="U52" s="1147"/>
      <c r="V52" s="1147"/>
      <c r="W52" s="1147"/>
      <c r="X52" s="1147"/>
      <c r="Y52" s="1147"/>
      <c r="Z52" s="1147"/>
      <c r="AA52" s="1147"/>
      <c r="AB52" s="1147"/>
      <c r="AC52" s="1147"/>
      <c r="AD52" s="1147"/>
      <c r="AE52" s="1146"/>
      <c r="AF52" s="1146"/>
      <c r="AG52" s="1160"/>
    </row>
    <row r="53" spans="1:33" x14ac:dyDescent="0.3">
      <c r="A53" s="1143" t="s">
        <v>499</v>
      </c>
      <c r="B53" s="1144" t="s">
        <v>496</v>
      </c>
      <c r="C53" s="1146"/>
      <c r="D53" s="1146"/>
      <c r="E53" s="1159"/>
      <c r="F53" s="1149"/>
      <c r="G53" s="1149"/>
      <c r="H53" s="1149"/>
      <c r="I53" s="1149"/>
      <c r="J53" s="1149"/>
      <c r="K53" s="1149"/>
      <c r="L53" s="1149"/>
      <c r="M53" s="1149"/>
      <c r="N53" s="1149"/>
      <c r="O53" s="1149"/>
      <c r="P53" s="1149"/>
      <c r="Q53" s="1149"/>
      <c r="R53" s="1149"/>
      <c r="S53" s="1148"/>
      <c r="T53" s="1147"/>
      <c r="U53" s="1147"/>
      <c r="V53" s="1147"/>
      <c r="W53" s="1147"/>
      <c r="X53" s="1147"/>
      <c r="Y53" s="1147"/>
      <c r="Z53" s="1147"/>
      <c r="AA53" s="1147"/>
      <c r="AB53" s="1147"/>
      <c r="AC53" s="1147"/>
      <c r="AD53" s="1147"/>
      <c r="AE53" s="1146"/>
      <c r="AF53" s="1146"/>
      <c r="AG53" s="1160"/>
    </row>
    <row r="54" spans="1:33" x14ac:dyDescent="0.3">
      <c r="A54" s="1143" t="s">
        <v>499</v>
      </c>
      <c r="B54" s="1144" t="s">
        <v>500</v>
      </c>
      <c r="C54" s="1146"/>
      <c r="D54" s="1146"/>
      <c r="E54" s="1162"/>
      <c r="F54" s="1149"/>
      <c r="G54" s="1149"/>
      <c r="H54" s="1149"/>
      <c r="I54" s="1149"/>
      <c r="J54" s="1149"/>
      <c r="K54" s="1149"/>
      <c r="L54" s="1149"/>
      <c r="M54" s="1149"/>
      <c r="N54" s="1149"/>
      <c r="O54" s="1149"/>
      <c r="P54" s="1149"/>
      <c r="Q54" s="1149"/>
      <c r="R54" s="1149"/>
      <c r="S54" s="1149"/>
      <c r="T54" s="1148"/>
      <c r="U54" s="1147"/>
      <c r="V54" s="1147"/>
      <c r="W54" s="1147"/>
      <c r="X54" s="1147"/>
      <c r="Y54" s="1147"/>
      <c r="Z54" s="1147"/>
      <c r="AA54" s="1147"/>
      <c r="AB54" s="1147"/>
      <c r="AC54" s="1147"/>
      <c r="AD54" s="1147"/>
      <c r="AE54" s="1146"/>
      <c r="AF54" s="1146"/>
      <c r="AG54" s="1160"/>
    </row>
    <row r="55" spans="1:33" x14ac:dyDescent="0.3">
      <c r="A55" s="1143" t="s">
        <v>499</v>
      </c>
      <c r="B55" s="1144" t="s">
        <v>501</v>
      </c>
      <c r="C55" s="1146"/>
      <c r="D55" s="1146"/>
      <c r="E55" s="1162"/>
      <c r="F55" s="1149"/>
      <c r="G55" s="1149"/>
      <c r="H55" s="1149"/>
      <c r="I55" s="1149"/>
      <c r="J55" s="1149"/>
      <c r="K55" s="1149"/>
      <c r="L55" s="1149"/>
      <c r="M55" s="1149"/>
      <c r="N55" s="1149"/>
      <c r="O55" s="1149"/>
      <c r="P55" s="1149"/>
      <c r="Q55" s="1149"/>
      <c r="R55" s="1149"/>
      <c r="S55" s="1149"/>
      <c r="T55" s="1149"/>
      <c r="U55" s="1148"/>
      <c r="V55" s="1147"/>
      <c r="W55" s="1147"/>
      <c r="X55" s="1147"/>
      <c r="Y55" s="1147"/>
      <c r="Z55" s="1147"/>
      <c r="AA55" s="1147"/>
      <c r="AB55" s="1147"/>
      <c r="AC55" s="1147"/>
      <c r="AD55" s="1147"/>
      <c r="AE55" s="1146"/>
      <c r="AF55" s="1146"/>
      <c r="AG55" s="1160"/>
    </row>
    <row r="56" spans="1:33" x14ac:dyDescent="0.3">
      <c r="A56" s="1143" t="s">
        <v>499</v>
      </c>
      <c r="B56" s="1144" t="s">
        <v>502</v>
      </c>
      <c r="C56" s="1146"/>
      <c r="D56" s="1146"/>
      <c r="E56" s="1162"/>
      <c r="F56" s="1149"/>
      <c r="G56" s="1149"/>
      <c r="H56" s="1149"/>
      <c r="I56" s="1149"/>
      <c r="J56" s="1149"/>
      <c r="K56" s="1149"/>
      <c r="L56" s="1149"/>
      <c r="M56" s="1149"/>
      <c r="N56" s="1149"/>
      <c r="O56" s="1149"/>
      <c r="P56" s="1149"/>
      <c r="Q56" s="1149"/>
      <c r="R56" s="1149"/>
      <c r="S56" s="1149"/>
      <c r="T56" s="1149"/>
      <c r="U56" s="1149"/>
      <c r="V56" s="1148"/>
      <c r="W56" s="1147"/>
      <c r="X56" s="1147"/>
      <c r="Y56" s="1147"/>
      <c r="Z56" s="1147"/>
      <c r="AA56" s="1147"/>
      <c r="AB56" s="1147"/>
      <c r="AC56" s="1147"/>
      <c r="AD56" s="1147"/>
      <c r="AE56" s="1146"/>
      <c r="AF56" s="1146"/>
      <c r="AG56" s="1160"/>
    </row>
    <row r="57" spans="1:33" x14ac:dyDescent="0.3">
      <c r="A57" s="1143" t="s">
        <v>499</v>
      </c>
      <c r="B57" s="1144" t="s">
        <v>512</v>
      </c>
      <c r="C57" s="1146"/>
      <c r="D57" s="1146"/>
      <c r="E57" s="1162"/>
      <c r="F57" s="1149"/>
      <c r="G57" s="1149"/>
      <c r="H57" s="1149"/>
      <c r="I57" s="1149"/>
      <c r="J57" s="1149"/>
      <c r="K57" s="1149"/>
      <c r="L57" s="1149"/>
      <c r="M57" s="1149"/>
      <c r="N57" s="1149"/>
      <c r="O57" s="1149"/>
      <c r="P57" s="1149"/>
      <c r="Q57" s="1149"/>
      <c r="R57" s="1149"/>
      <c r="S57" s="1149"/>
      <c r="T57" s="1149"/>
      <c r="U57" s="1149"/>
      <c r="V57" s="1149"/>
      <c r="W57" s="1148"/>
      <c r="X57" s="1147"/>
      <c r="Y57" s="1147"/>
      <c r="Z57" s="1147"/>
      <c r="AA57" s="1147"/>
      <c r="AB57" s="1147"/>
      <c r="AC57" s="1147"/>
      <c r="AD57" s="1147"/>
      <c r="AE57" s="1146"/>
      <c r="AF57" s="1146"/>
      <c r="AG57" s="1160"/>
    </row>
    <row r="58" spans="1:33" x14ac:dyDescent="0.3">
      <c r="A58" s="1143" t="s">
        <v>499</v>
      </c>
      <c r="B58" s="1144" t="s">
        <v>513</v>
      </c>
      <c r="C58" s="1146"/>
      <c r="D58" s="1146"/>
      <c r="E58" s="1162"/>
      <c r="F58" s="1149"/>
      <c r="G58" s="1149"/>
      <c r="H58" s="1149"/>
      <c r="I58" s="1149"/>
      <c r="J58" s="1149"/>
      <c r="K58" s="1149"/>
      <c r="L58" s="1149"/>
      <c r="M58" s="1149"/>
      <c r="N58" s="1149"/>
      <c r="O58" s="1149"/>
      <c r="P58" s="1149"/>
      <c r="Q58" s="1149"/>
      <c r="R58" s="1149"/>
      <c r="S58" s="1149"/>
      <c r="T58" s="1149"/>
      <c r="U58" s="1149"/>
      <c r="V58" s="1149"/>
      <c r="W58" s="1149"/>
      <c r="X58" s="1148"/>
      <c r="Y58" s="1147"/>
      <c r="Z58" s="1147"/>
      <c r="AA58" s="1147"/>
      <c r="AB58" s="1147"/>
      <c r="AC58" s="1147"/>
      <c r="AD58" s="1147"/>
      <c r="AE58" s="1146"/>
      <c r="AF58" s="1146"/>
      <c r="AG58" s="1160"/>
    </row>
    <row r="59" spans="1:33" x14ac:dyDescent="0.3">
      <c r="A59" s="1143" t="s">
        <v>499</v>
      </c>
      <c r="B59" s="1144" t="s">
        <v>514</v>
      </c>
      <c r="C59" s="1185">
        <f>'F5'!$E$17</f>
        <v>188.54627358788375</v>
      </c>
      <c r="D59" s="1146"/>
      <c r="E59" s="1162">
        <f>'F5'!O71</f>
        <v>3.3399999999999999E-2</v>
      </c>
      <c r="F59" s="1149"/>
      <c r="G59" s="1149"/>
      <c r="H59" s="1149"/>
      <c r="I59" s="1149"/>
      <c r="J59" s="1149"/>
      <c r="K59" s="1149"/>
      <c r="L59" s="1149"/>
      <c r="M59" s="1149"/>
      <c r="N59" s="1149"/>
      <c r="O59" s="1149"/>
      <c r="P59" s="1149"/>
      <c r="Q59" s="1149"/>
      <c r="R59" s="1149"/>
      <c r="S59" s="1149"/>
      <c r="T59" s="1149"/>
      <c r="U59" s="1149"/>
      <c r="V59" s="1149"/>
      <c r="W59" s="1149"/>
      <c r="X59" s="1149"/>
      <c r="Y59" s="1187">
        <f>$C59*$E59</f>
        <v>6.2974455378353174</v>
      </c>
      <c r="Z59" s="1188">
        <f>$C59*$E59</f>
        <v>6.2974455378353174</v>
      </c>
      <c r="AA59" s="1188">
        <f t="shared" ref="AA59:AD63" si="3">$C59*$E59</f>
        <v>6.2974455378353174</v>
      </c>
      <c r="AB59" s="1188">
        <f t="shared" si="3"/>
        <v>6.2974455378353174</v>
      </c>
      <c r="AC59" s="1188">
        <f t="shared" si="3"/>
        <v>6.2974455378353174</v>
      </c>
      <c r="AD59" s="1188">
        <f t="shared" si="3"/>
        <v>6.2974455378353174</v>
      </c>
      <c r="AE59" s="1185">
        <f>SUM(Y59:AD59)</f>
        <v>37.784673227011901</v>
      </c>
      <c r="AF59" s="1185"/>
      <c r="AG59" s="1185">
        <f>C59*0.9-AE59</f>
        <v>131.90697300208348</v>
      </c>
    </row>
    <row r="60" spans="1:33" x14ac:dyDescent="0.3">
      <c r="A60" s="1143" t="s">
        <v>499</v>
      </c>
      <c r="B60" s="1144" t="s">
        <v>914</v>
      </c>
      <c r="C60" s="1150">
        <f>'F5.1 (N)'!$E$17</f>
        <v>0</v>
      </c>
      <c r="D60" s="1146"/>
      <c r="E60" s="1162">
        <f>'F5.1 (N)'!$AC$45</f>
        <v>3.3399999999999999E-2</v>
      </c>
      <c r="F60" s="1149"/>
      <c r="G60" s="1149"/>
      <c r="H60" s="1149"/>
      <c r="I60" s="1149"/>
      <c r="J60" s="1149"/>
      <c r="K60" s="1149"/>
      <c r="L60" s="1149"/>
      <c r="M60" s="1149"/>
      <c r="N60" s="1149"/>
      <c r="O60" s="1149"/>
      <c r="P60" s="1149"/>
      <c r="Q60" s="1149"/>
      <c r="R60" s="1149"/>
      <c r="S60" s="1149"/>
      <c r="T60" s="1149"/>
      <c r="U60" s="1149"/>
      <c r="V60" s="1149"/>
      <c r="W60" s="1149"/>
      <c r="X60" s="1149"/>
      <c r="Y60" s="1149"/>
      <c r="Z60" s="1187">
        <f>$C60*$E60</f>
        <v>0</v>
      </c>
      <c r="AA60" s="1188">
        <f>$C60*$E60</f>
        <v>0</v>
      </c>
      <c r="AB60" s="1188">
        <f t="shared" si="3"/>
        <v>0</v>
      </c>
      <c r="AC60" s="1188">
        <f t="shared" si="3"/>
        <v>0</v>
      </c>
      <c r="AD60" s="1188">
        <f t="shared" si="3"/>
        <v>0</v>
      </c>
      <c r="AE60" s="1185">
        <f t="shared" ref="AE60:AE64" si="4">SUM(Y60:AD60)</f>
        <v>0</v>
      </c>
      <c r="AF60" s="1146"/>
      <c r="AG60" s="1185">
        <f t="shared" ref="AG60:AG64" si="5">C60*0.9-AE60</f>
        <v>0</v>
      </c>
    </row>
    <row r="61" spans="1:33" x14ac:dyDescent="0.3">
      <c r="A61" s="1143" t="s">
        <v>499</v>
      </c>
      <c r="B61" s="1144" t="s">
        <v>915</v>
      </c>
      <c r="C61" s="1146">
        <f>'F5.1 (N)'!$J$17</f>
        <v>0</v>
      </c>
      <c r="D61" s="1146"/>
      <c r="E61" s="1162">
        <f>'F5.1 (N)'!$AC$45</f>
        <v>3.3399999999999999E-2</v>
      </c>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87">
        <f>$C61*$E61</f>
        <v>0</v>
      </c>
      <c r="AB61" s="1188">
        <f t="shared" si="3"/>
        <v>0</v>
      </c>
      <c r="AC61" s="1188">
        <f t="shared" si="3"/>
        <v>0</v>
      </c>
      <c r="AD61" s="1188">
        <f t="shared" si="3"/>
        <v>0</v>
      </c>
      <c r="AE61" s="1185">
        <f t="shared" si="4"/>
        <v>0</v>
      </c>
      <c r="AF61" s="1146"/>
      <c r="AG61" s="1185">
        <f t="shared" si="5"/>
        <v>0</v>
      </c>
    </row>
    <row r="62" spans="1:33" x14ac:dyDescent="0.3">
      <c r="A62" s="1143" t="s">
        <v>499</v>
      </c>
      <c r="B62" s="1144" t="s">
        <v>916</v>
      </c>
      <c r="C62" s="1146">
        <f>'F5.1 (N)'!$O$17</f>
        <v>0</v>
      </c>
      <c r="D62" s="1146"/>
      <c r="E62" s="1162">
        <f>'F5.1 (N)'!$AC$45</f>
        <v>3.3399999999999999E-2</v>
      </c>
      <c r="F62" s="1149"/>
      <c r="G62" s="1149"/>
      <c r="H62" s="1149"/>
      <c r="I62" s="1149"/>
      <c r="J62" s="1149"/>
      <c r="K62" s="1149"/>
      <c r="L62" s="1149"/>
      <c r="M62" s="1149"/>
      <c r="N62" s="1149"/>
      <c r="O62" s="1149"/>
      <c r="P62" s="1149"/>
      <c r="Q62" s="1149"/>
      <c r="R62" s="1149"/>
      <c r="S62" s="1149"/>
      <c r="T62" s="1149"/>
      <c r="U62" s="1149"/>
      <c r="V62" s="1149"/>
      <c r="W62" s="1149"/>
      <c r="X62" s="1149"/>
      <c r="Y62" s="1149"/>
      <c r="Z62" s="1149"/>
      <c r="AA62" s="1149"/>
      <c r="AB62" s="1187">
        <f>$C62*$E62</f>
        <v>0</v>
      </c>
      <c r="AC62" s="1188">
        <f t="shared" si="3"/>
        <v>0</v>
      </c>
      <c r="AD62" s="1188">
        <f t="shared" si="3"/>
        <v>0</v>
      </c>
      <c r="AE62" s="1185">
        <f t="shared" si="4"/>
        <v>0</v>
      </c>
      <c r="AF62" s="1146"/>
      <c r="AG62" s="1185">
        <f t="shared" si="5"/>
        <v>0</v>
      </c>
    </row>
    <row r="63" spans="1:33" x14ac:dyDescent="0.3">
      <c r="A63" s="1143" t="s">
        <v>499</v>
      </c>
      <c r="B63" s="1144" t="s">
        <v>917</v>
      </c>
      <c r="C63" s="1146">
        <f>'F5.1 (N)'!$T$17</f>
        <v>0</v>
      </c>
      <c r="D63" s="1146"/>
      <c r="E63" s="1162">
        <f>'F5.1 (N)'!$AC$45</f>
        <v>3.3399999999999999E-2</v>
      </c>
      <c r="F63" s="1149"/>
      <c r="G63" s="1149"/>
      <c r="H63" s="1149"/>
      <c r="I63" s="1149"/>
      <c r="J63" s="1149"/>
      <c r="K63" s="1149"/>
      <c r="L63" s="1149"/>
      <c r="M63" s="1149"/>
      <c r="N63" s="1149"/>
      <c r="O63" s="1149"/>
      <c r="P63" s="1149"/>
      <c r="Q63" s="1149"/>
      <c r="R63" s="1149"/>
      <c r="S63" s="1149"/>
      <c r="T63" s="1149"/>
      <c r="U63" s="1149"/>
      <c r="V63" s="1149"/>
      <c r="W63" s="1149"/>
      <c r="X63" s="1149"/>
      <c r="Y63" s="1149"/>
      <c r="Z63" s="1149"/>
      <c r="AA63" s="1149"/>
      <c r="AB63" s="1149"/>
      <c r="AC63" s="1187">
        <f>$C63*$E63</f>
        <v>0</v>
      </c>
      <c r="AD63" s="1188">
        <f t="shared" si="3"/>
        <v>0</v>
      </c>
      <c r="AE63" s="1185">
        <f t="shared" si="4"/>
        <v>0</v>
      </c>
      <c r="AF63" s="1146"/>
      <c r="AG63" s="1185">
        <f t="shared" si="5"/>
        <v>0</v>
      </c>
    </row>
    <row r="64" spans="1:33" x14ac:dyDescent="0.3">
      <c r="A64" s="1143" t="s">
        <v>499</v>
      </c>
      <c r="B64" s="1144" t="s">
        <v>918</v>
      </c>
      <c r="C64" s="1146">
        <f>'F5.1 (N)'!$Y$17</f>
        <v>0</v>
      </c>
      <c r="D64" s="1146"/>
      <c r="E64" s="1162">
        <f>'F5.1 (N)'!$AC$45</f>
        <v>3.3399999999999999E-2</v>
      </c>
      <c r="F64" s="1149"/>
      <c r="G64" s="1149"/>
      <c r="H64" s="1149"/>
      <c r="I64" s="1149"/>
      <c r="J64" s="1149"/>
      <c r="K64" s="1149"/>
      <c r="L64" s="1149"/>
      <c r="M64" s="1149"/>
      <c r="N64" s="1149"/>
      <c r="O64" s="1149"/>
      <c r="P64" s="1149"/>
      <c r="Q64" s="1149"/>
      <c r="R64" s="1149"/>
      <c r="S64" s="1149"/>
      <c r="T64" s="1149"/>
      <c r="U64" s="1149"/>
      <c r="V64" s="1149"/>
      <c r="W64" s="1149"/>
      <c r="X64" s="1149"/>
      <c r="Y64" s="1149"/>
      <c r="Z64" s="1149"/>
      <c r="AA64" s="1149"/>
      <c r="AB64" s="1149"/>
      <c r="AC64" s="1149"/>
      <c r="AD64" s="1187">
        <f>$C64*$E64</f>
        <v>0</v>
      </c>
      <c r="AE64" s="1185">
        <f t="shared" si="4"/>
        <v>0</v>
      </c>
      <c r="AF64" s="1146"/>
      <c r="AG64" s="1185">
        <f t="shared" si="5"/>
        <v>0</v>
      </c>
    </row>
    <row r="65" spans="1:33" x14ac:dyDescent="0.3">
      <c r="A65" s="1151"/>
      <c r="B65" s="1152" t="s">
        <v>267</v>
      </c>
      <c r="C65" s="1163"/>
      <c r="D65" s="1163"/>
      <c r="E65" s="1163"/>
      <c r="F65" s="1153"/>
      <c r="G65" s="1153"/>
      <c r="H65" s="1153"/>
      <c r="I65" s="1153"/>
      <c r="J65" s="1153"/>
      <c r="K65" s="1153"/>
      <c r="L65" s="1153"/>
      <c r="M65" s="1153"/>
      <c r="N65" s="1153"/>
      <c r="O65" s="1153"/>
      <c r="P65" s="1153"/>
      <c r="Q65" s="1153"/>
      <c r="R65" s="1153"/>
      <c r="S65" s="1153"/>
      <c r="T65" s="1153"/>
      <c r="U65" s="1153"/>
      <c r="V65" s="1153"/>
      <c r="W65" s="1153"/>
      <c r="X65" s="1153"/>
      <c r="Y65" s="1163">
        <f>SUM(Y59)</f>
        <v>6.2974455378353174</v>
      </c>
      <c r="Z65" s="1163">
        <f>SUM(Z59:Z60)</f>
        <v>6.2974455378353174</v>
      </c>
      <c r="AA65" s="1163">
        <f>SUM(AA59:AA61)</f>
        <v>6.2974455378353174</v>
      </c>
      <c r="AB65" s="1163">
        <f>SUM(AB59:AB62)</f>
        <v>6.2974455378353174</v>
      </c>
      <c r="AC65" s="1163">
        <f>SUM(AC59:AC63)</f>
        <v>6.2974455378353174</v>
      </c>
      <c r="AD65" s="1163">
        <f>SUM(AD59:AD64)</f>
        <v>6.2974455378353174</v>
      </c>
      <c r="AE65" s="1163">
        <f>SUM(AE59:AE64)</f>
        <v>37.784673227011901</v>
      </c>
      <c r="AF65" s="1163"/>
      <c r="AG65" s="1163">
        <f>SUM(AG59:AG64)</f>
        <v>131.90697300208348</v>
      </c>
    </row>
    <row r="66" spans="1:33" x14ac:dyDescent="0.3">
      <c r="C66" s="1165"/>
    </row>
    <row r="68" spans="1:33" s="1166" customFormat="1" x14ac:dyDescent="0.3">
      <c r="A68" s="1137"/>
      <c r="B68" s="1164"/>
      <c r="C68" s="1137"/>
      <c r="D68" s="1137"/>
      <c r="E68" s="1137"/>
      <c r="F68" s="1137"/>
      <c r="G68" s="1137"/>
      <c r="H68" s="1137"/>
      <c r="I68" s="1137"/>
      <c r="J68" s="1137"/>
      <c r="K68" s="1137"/>
      <c r="L68" s="1137"/>
      <c r="M68" s="1137"/>
      <c r="N68" s="1137"/>
      <c r="O68" s="1137"/>
      <c r="P68" s="1137"/>
      <c r="Q68" s="1137"/>
      <c r="R68" s="1137"/>
      <c r="S68" s="1137"/>
      <c r="T68" s="1137"/>
      <c r="U68" s="1137"/>
      <c r="V68" s="1137"/>
      <c r="W68" s="1137"/>
      <c r="X68" s="1137"/>
      <c r="Y68" s="1137"/>
      <c r="Z68" s="1137"/>
      <c r="AA68" s="1137"/>
      <c r="AB68" s="1137"/>
      <c r="AC68" s="1137"/>
      <c r="AD68" s="1137"/>
      <c r="AE68" s="1137"/>
      <c r="AF68" s="1137"/>
      <c r="AG68" s="1137"/>
    </row>
    <row r="69" spans="1:33" x14ac:dyDescent="0.3">
      <c r="B69" s="1138" t="s">
        <v>506</v>
      </c>
      <c r="F69" s="1139" t="s">
        <v>10</v>
      </c>
    </row>
    <row r="70" spans="1:33" ht="26.15" customHeight="1" x14ac:dyDescent="0.3">
      <c r="A70" s="1140"/>
      <c r="B70" s="1158" t="s">
        <v>398</v>
      </c>
      <c r="C70" s="1619" t="s">
        <v>481</v>
      </c>
      <c r="D70" s="1619" t="s">
        <v>482</v>
      </c>
      <c r="E70" s="1619" t="s">
        <v>545</v>
      </c>
      <c r="F70" s="1621" t="s">
        <v>546</v>
      </c>
      <c r="G70" s="1622"/>
      <c r="H70" s="1622"/>
      <c r="I70" s="1622"/>
      <c r="J70" s="1622"/>
      <c r="K70" s="1622"/>
      <c r="L70" s="1622"/>
      <c r="M70" s="1622"/>
      <c r="N70" s="1622"/>
      <c r="O70" s="1622"/>
      <c r="P70" s="1622"/>
      <c r="Q70" s="1622"/>
      <c r="R70" s="1622"/>
      <c r="S70" s="1622"/>
      <c r="T70" s="1622"/>
      <c r="U70" s="1622"/>
      <c r="V70" s="1622"/>
      <c r="W70" s="1622"/>
      <c r="X70" s="1622"/>
      <c r="Y70" s="1622"/>
      <c r="Z70" s="1622"/>
      <c r="AA70" s="1622"/>
      <c r="AB70" s="1622"/>
      <c r="AC70" s="1622"/>
      <c r="AD70" s="1623"/>
      <c r="AE70" s="1141" t="s">
        <v>504</v>
      </c>
      <c r="AF70" s="1141" t="s">
        <v>497</v>
      </c>
      <c r="AG70" s="1141" t="s">
        <v>505</v>
      </c>
    </row>
    <row r="71" spans="1:33" ht="13" customHeight="1" x14ac:dyDescent="0.3">
      <c r="A71" s="1140"/>
      <c r="B71" s="1158"/>
      <c r="C71" s="1620"/>
      <c r="D71" s="1620"/>
      <c r="E71" s="1620"/>
      <c r="F71" s="1142" t="s">
        <v>483</v>
      </c>
      <c r="G71" s="1142" t="s">
        <v>484</v>
      </c>
      <c r="H71" s="1142" t="s">
        <v>485</v>
      </c>
      <c r="I71" s="1142" t="s">
        <v>486</v>
      </c>
      <c r="J71" s="1142" t="s">
        <v>487</v>
      </c>
      <c r="K71" s="1142" t="s">
        <v>488</v>
      </c>
      <c r="L71" s="1142" t="s">
        <v>489</v>
      </c>
      <c r="M71" s="1142" t="s">
        <v>490</v>
      </c>
      <c r="N71" s="1142" t="s">
        <v>491</v>
      </c>
      <c r="O71" s="1142" t="s">
        <v>492</v>
      </c>
      <c r="P71" s="1142" t="s">
        <v>493</v>
      </c>
      <c r="Q71" s="1142" t="s">
        <v>494</v>
      </c>
      <c r="R71" s="1142" t="s">
        <v>495</v>
      </c>
      <c r="S71" s="1142" t="s">
        <v>496</v>
      </c>
      <c r="T71" s="1142" t="s">
        <v>314</v>
      </c>
      <c r="U71" s="1142" t="s">
        <v>473</v>
      </c>
      <c r="V71" s="1142" t="s">
        <v>474</v>
      </c>
      <c r="W71" s="1142" t="s">
        <v>475</v>
      </c>
      <c r="X71" s="1142" t="s">
        <v>476</v>
      </c>
      <c r="Y71" s="1142" t="s">
        <v>477</v>
      </c>
      <c r="Z71" s="1142" t="s">
        <v>849</v>
      </c>
      <c r="AA71" s="1142" t="s">
        <v>850</v>
      </c>
      <c r="AB71" s="1142" t="s">
        <v>851</v>
      </c>
      <c r="AC71" s="1142" t="s">
        <v>852</v>
      </c>
      <c r="AD71" s="1142" t="s">
        <v>853</v>
      </c>
      <c r="AE71" s="1141"/>
      <c r="AF71" s="1141"/>
      <c r="AG71" s="1141"/>
    </row>
    <row r="72" spans="1:33" x14ac:dyDescent="0.3">
      <c r="A72" s="1143" t="s">
        <v>498</v>
      </c>
      <c r="B72" s="1144">
        <v>2005</v>
      </c>
      <c r="C72" s="1167"/>
      <c r="D72" s="1167"/>
      <c r="E72" s="1159"/>
      <c r="F72" s="1147"/>
      <c r="G72" s="1147"/>
      <c r="H72" s="1147"/>
      <c r="I72" s="1147"/>
      <c r="J72" s="1147"/>
      <c r="K72" s="1147"/>
      <c r="L72" s="1147"/>
      <c r="M72" s="1147"/>
      <c r="N72" s="1147"/>
      <c r="O72" s="1147"/>
      <c r="P72" s="1147"/>
      <c r="Q72" s="1147"/>
      <c r="R72" s="1147"/>
      <c r="S72" s="1147"/>
      <c r="T72" s="1147"/>
      <c r="U72" s="1147"/>
      <c r="V72" s="1147"/>
      <c r="W72" s="1147"/>
      <c r="X72" s="1147"/>
      <c r="Y72" s="1147"/>
      <c r="Z72" s="1147"/>
      <c r="AA72" s="1147"/>
      <c r="AB72" s="1147"/>
      <c r="AC72" s="1147"/>
      <c r="AD72" s="1147"/>
      <c r="AE72" s="1160"/>
      <c r="AF72" s="1160"/>
      <c r="AG72" s="1160"/>
    </row>
    <row r="73" spans="1:33" x14ac:dyDescent="0.3">
      <c r="A73" s="1143" t="s">
        <v>499</v>
      </c>
      <c r="B73" s="1144" t="s">
        <v>483</v>
      </c>
      <c r="C73" s="1167"/>
      <c r="D73" s="1167"/>
      <c r="E73" s="1159"/>
      <c r="F73" s="1148"/>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60"/>
      <c r="AF73" s="1160"/>
      <c r="AG73" s="1160"/>
    </row>
    <row r="74" spans="1:33" x14ac:dyDescent="0.3">
      <c r="A74" s="1143" t="s">
        <v>499</v>
      </c>
      <c r="B74" s="1144" t="s">
        <v>484</v>
      </c>
      <c r="C74" s="1167"/>
      <c r="D74" s="1167"/>
      <c r="E74" s="1159"/>
      <c r="F74" s="1149"/>
      <c r="G74" s="1148"/>
      <c r="H74" s="1147"/>
      <c r="I74" s="1147"/>
      <c r="J74" s="1147"/>
      <c r="K74" s="1147"/>
      <c r="L74" s="1147"/>
      <c r="M74" s="1147"/>
      <c r="N74" s="1147"/>
      <c r="O74" s="1147"/>
      <c r="P74" s="1147"/>
      <c r="Q74" s="1147"/>
      <c r="R74" s="1147"/>
      <c r="S74" s="1147"/>
      <c r="T74" s="1147"/>
      <c r="U74" s="1147"/>
      <c r="V74" s="1147"/>
      <c r="W74" s="1147"/>
      <c r="X74" s="1147"/>
      <c r="Y74" s="1147"/>
      <c r="Z74" s="1147"/>
      <c r="AA74" s="1147"/>
      <c r="AB74" s="1147"/>
      <c r="AC74" s="1147"/>
      <c r="AD74" s="1147"/>
      <c r="AE74" s="1160"/>
      <c r="AF74" s="1160"/>
      <c r="AG74" s="1160"/>
    </row>
    <row r="75" spans="1:33" x14ac:dyDescent="0.3">
      <c r="A75" s="1143" t="s">
        <v>499</v>
      </c>
      <c r="B75" s="1144" t="s">
        <v>485</v>
      </c>
      <c r="C75" s="1167"/>
      <c r="D75" s="1167"/>
      <c r="E75" s="1159"/>
      <c r="F75" s="1149"/>
      <c r="G75" s="1149"/>
      <c r="H75" s="1148"/>
      <c r="I75" s="1147"/>
      <c r="J75" s="1147"/>
      <c r="K75" s="1147"/>
      <c r="L75" s="1147"/>
      <c r="M75" s="1147"/>
      <c r="N75" s="1147"/>
      <c r="O75" s="1147"/>
      <c r="P75" s="1147"/>
      <c r="Q75" s="1147"/>
      <c r="R75" s="1147"/>
      <c r="S75" s="1147"/>
      <c r="T75" s="1147"/>
      <c r="U75" s="1147"/>
      <c r="V75" s="1147"/>
      <c r="W75" s="1147"/>
      <c r="X75" s="1147"/>
      <c r="Y75" s="1147"/>
      <c r="Z75" s="1147"/>
      <c r="AA75" s="1147"/>
      <c r="AB75" s="1147"/>
      <c r="AC75" s="1147"/>
      <c r="AD75" s="1147"/>
      <c r="AE75" s="1160"/>
      <c r="AF75" s="1160"/>
      <c r="AG75" s="1160"/>
    </row>
    <row r="76" spans="1:33" x14ac:dyDescent="0.3">
      <c r="A76" s="1143" t="s">
        <v>499</v>
      </c>
      <c r="B76" s="1144" t="s">
        <v>486</v>
      </c>
      <c r="C76" s="1167"/>
      <c r="D76" s="1167"/>
      <c r="E76" s="1159"/>
      <c r="F76" s="1149"/>
      <c r="G76" s="1149"/>
      <c r="H76" s="1149"/>
      <c r="I76" s="1148"/>
      <c r="J76" s="1147"/>
      <c r="K76" s="1147"/>
      <c r="L76" s="1147"/>
      <c r="M76" s="1147"/>
      <c r="N76" s="1147"/>
      <c r="O76" s="1147"/>
      <c r="P76" s="1147"/>
      <c r="Q76" s="1147"/>
      <c r="R76" s="1147"/>
      <c r="S76" s="1147"/>
      <c r="T76" s="1147"/>
      <c r="U76" s="1147"/>
      <c r="V76" s="1147"/>
      <c r="W76" s="1147"/>
      <c r="X76" s="1147"/>
      <c r="Y76" s="1147"/>
      <c r="Z76" s="1147"/>
      <c r="AA76" s="1147"/>
      <c r="AB76" s="1147"/>
      <c r="AC76" s="1147"/>
      <c r="AD76" s="1147"/>
      <c r="AE76" s="1160"/>
      <c r="AF76" s="1160"/>
      <c r="AG76" s="1160"/>
    </row>
    <row r="77" spans="1:33" x14ac:dyDescent="0.3">
      <c r="A77" s="1143" t="s">
        <v>499</v>
      </c>
      <c r="B77" s="1144" t="s">
        <v>487</v>
      </c>
      <c r="C77" s="1167"/>
      <c r="D77" s="1167"/>
      <c r="E77" s="1159"/>
      <c r="F77" s="1149"/>
      <c r="G77" s="1149"/>
      <c r="H77" s="1149"/>
      <c r="I77" s="1149"/>
      <c r="J77" s="1148"/>
      <c r="K77" s="1147"/>
      <c r="L77" s="1147"/>
      <c r="M77" s="1147"/>
      <c r="N77" s="1147"/>
      <c r="O77" s="1147"/>
      <c r="P77" s="1147"/>
      <c r="Q77" s="1147"/>
      <c r="R77" s="1147"/>
      <c r="S77" s="1147"/>
      <c r="T77" s="1147"/>
      <c r="U77" s="1147"/>
      <c r="V77" s="1147"/>
      <c r="W77" s="1147"/>
      <c r="X77" s="1147"/>
      <c r="Y77" s="1147"/>
      <c r="Z77" s="1147"/>
      <c r="AA77" s="1147"/>
      <c r="AB77" s="1147"/>
      <c r="AC77" s="1147"/>
      <c r="AD77" s="1147"/>
      <c r="AE77" s="1160"/>
      <c r="AF77" s="1160"/>
      <c r="AG77" s="1160"/>
    </row>
    <row r="78" spans="1:33" x14ac:dyDescent="0.3">
      <c r="A78" s="1143" t="s">
        <v>499</v>
      </c>
      <c r="B78" s="1144" t="s">
        <v>488</v>
      </c>
      <c r="C78" s="1167"/>
      <c r="D78" s="1167"/>
      <c r="E78" s="1159"/>
      <c r="F78" s="1149"/>
      <c r="G78" s="1149"/>
      <c r="H78" s="1149"/>
      <c r="I78" s="1149"/>
      <c r="J78" s="1149"/>
      <c r="K78" s="1148"/>
      <c r="L78" s="1147"/>
      <c r="M78" s="1147"/>
      <c r="N78" s="1147"/>
      <c r="O78" s="1147"/>
      <c r="P78" s="1147"/>
      <c r="Q78" s="1147"/>
      <c r="R78" s="1147"/>
      <c r="S78" s="1147"/>
      <c r="T78" s="1147"/>
      <c r="U78" s="1147"/>
      <c r="V78" s="1147"/>
      <c r="W78" s="1147"/>
      <c r="X78" s="1147"/>
      <c r="Y78" s="1147"/>
      <c r="Z78" s="1147"/>
      <c r="AA78" s="1147"/>
      <c r="AB78" s="1147"/>
      <c r="AC78" s="1147"/>
      <c r="AD78" s="1147"/>
      <c r="AE78" s="1160"/>
      <c r="AF78" s="1160"/>
      <c r="AG78" s="1160"/>
    </row>
    <row r="79" spans="1:33" x14ac:dyDescent="0.3">
      <c r="A79" s="1143" t="s">
        <v>499</v>
      </c>
      <c r="B79" s="1144" t="s">
        <v>489</v>
      </c>
      <c r="C79" s="1167"/>
      <c r="D79" s="1167"/>
      <c r="E79" s="1159"/>
      <c r="F79" s="1149"/>
      <c r="G79" s="1149"/>
      <c r="H79" s="1149"/>
      <c r="I79" s="1149"/>
      <c r="J79" s="1149"/>
      <c r="K79" s="1149"/>
      <c r="L79" s="1148"/>
      <c r="M79" s="1147"/>
      <c r="N79" s="1147"/>
      <c r="O79" s="1147"/>
      <c r="P79" s="1147"/>
      <c r="Q79" s="1147"/>
      <c r="R79" s="1147"/>
      <c r="S79" s="1147"/>
      <c r="T79" s="1147"/>
      <c r="U79" s="1147"/>
      <c r="V79" s="1147"/>
      <c r="W79" s="1147"/>
      <c r="X79" s="1147"/>
      <c r="Y79" s="1147"/>
      <c r="Z79" s="1147"/>
      <c r="AA79" s="1147"/>
      <c r="AB79" s="1147"/>
      <c r="AC79" s="1147"/>
      <c r="AD79" s="1147"/>
      <c r="AE79" s="1160"/>
      <c r="AF79" s="1160"/>
      <c r="AG79" s="1160"/>
    </row>
    <row r="80" spans="1:33" x14ac:dyDescent="0.3">
      <c r="A80" s="1143" t="s">
        <v>499</v>
      </c>
      <c r="B80" s="1144" t="s">
        <v>490</v>
      </c>
      <c r="C80" s="1167"/>
      <c r="D80" s="1167"/>
      <c r="E80" s="1159"/>
      <c r="F80" s="1149"/>
      <c r="G80" s="1149"/>
      <c r="H80" s="1149"/>
      <c r="I80" s="1149"/>
      <c r="J80" s="1149"/>
      <c r="K80" s="1149"/>
      <c r="L80" s="1149"/>
      <c r="M80" s="1148"/>
      <c r="N80" s="1147"/>
      <c r="O80" s="1147"/>
      <c r="P80" s="1147"/>
      <c r="Q80" s="1147"/>
      <c r="R80" s="1147"/>
      <c r="S80" s="1147"/>
      <c r="T80" s="1147"/>
      <c r="U80" s="1147"/>
      <c r="V80" s="1147"/>
      <c r="W80" s="1147"/>
      <c r="X80" s="1147"/>
      <c r="Y80" s="1147"/>
      <c r="Z80" s="1147"/>
      <c r="AA80" s="1147"/>
      <c r="AB80" s="1147"/>
      <c r="AC80" s="1147"/>
      <c r="AD80" s="1147"/>
      <c r="AE80" s="1160"/>
      <c r="AF80" s="1160"/>
      <c r="AG80" s="1160"/>
    </row>
    <row r="81" spans="1:33" x14ac:dyDescent="0.3">
      <c r="A81" s="1143" t="s">
        <v>499</v>
      </c>
      <c r="B81" s="1144" t="s">
        <v>491</v>
      </c>
      <c r="C81" s="1167"/>
      <c r="D81" s="1167"/>
      <c r="E81" s="1159"/>
      <c r="F81" s="1149"/>
      <c r="G81" s="1149"/>
      <c r="H81" s="1149"/>
      <c r="I81" s="1149"/>
      <c r="J81" s="1149"/>
      <c r="K81" s="1149"/>
      <c r="L81" s="1149"/>
      <c r="M81" s="1149"/>
      <c r="N81" s="1148"/>
      <c r="O81" s="1147"/>
      <c r="P81" s="1147"/>
      <c r="Q81" s="1147"/>
      <c r="R81" s="1147"/>
      <c r="S81" s="1147"/>
      <c r="T81" s="1147"/>
      <c r="U81" s="1147"/>
      <c r="V81" s="1147"/>
      <c r="W81" s="1147"/>
      <c r="X81" s="1147"/>
      <c r="Y81" s="1147"/>
      <c r="Z81" s="1147"/>
      <c r="AA81" s="1147"/>
      <c r="AB81" s="1147"/>
      <c r="AC81" s="1147"/>
      <c r="AD81" s="1147"/>
      <c r="AE81" s="1160"/>
      <c r="AF81" s="1160"/>
      <c r="AG81" s="1160"/>
    </row>
    <row r="82" spans="1:33" x14ac:dyDescent="0.3">
      <c r="A82" s="1143" t="s">
        <v>499</v>
      </c>
      <c r="B82" s="1144" t="s">
        <v>492</v>
      </c>
      <c r="C82" s="1146"/>
      <c r="D82" s="1143"/>
      <c r="E82" s="1159"/>
      <c r="F82" s="1149"/>
      <c r="G82" s="1149"/>
      <c r="H82" s="1149"/>
      <c r="I82" s="1149"/>
      <c r="J82" s="1149"/>
      <c r="K82" s="1149"/>
      <c r="L82" s="1149"/>
      <c r="M82" s="1149"/>
      <c r="N82" s="1149"/>
      <c r="O82" s="1148"/>
      <c r="P82" s="1147"/>
      <c r="Q82" s="1147"/>
      <c r="R82" s="1147"/>
      <c r="S82" s="1147"/>
      <c r="T82" s="1147"/>
      <c r="U82" s="1147"/>
      <c r="V82" s="1147"/>
      <c r="W82" s="1147"/>
      <c r="X82" s="1147"/>
      <c r="Y82" s="1147"/>
      <c r="Z82" s="1147"/>
      <c r="AA82" s="1147"/>
      <c r="AB82" s="1147"/>
      <c r="AC82" s="1147"/>
      <c r="AD82" s="1147"/>
      <c r="AE82" s="1160"/>
      <c r="AF82" s="1160"/>
      <c r="AG82" s="1160"/>
    </row>
    <row r="83" spans="1:33" x14ac:dyDescent="0.3">
      <c r="A83" s="1143" t="s">
        <v>499</v>
      </c>
      <c r="B83" s="1144" t="s">
        <v>493</v>
      </c>
      <c r="C83" s="1146"/>
      <c r="D83" s="1143"/>
      <c r="E83" s="1159"/>
      <c r="F83" s="1149"/>
      <c r="G83" s="1149"/>
      <c r="H83" s="1149"/>
      <c r="I83" s="1149"/>
      <c r="J83" s="1149"/>
      <c r="K83" s="1149"/>
      <c r="L83" s="1149"/>
      <c r="M83" s="1149"/>
      <c r="N83" s="1149"/>
      <c r="O83" s="1149"/>
      <c r="P83" s="1148"/>
      <c r="Q83" s="1147"/>
      <c r="R83" s="1147"/>
      <c r="S83" s="1147"/>
      <c r="T83" s="1147"/>
      <c r="U83" s="1147"/>
      <c r="V83" s="1147"/>
      <c r="W83" s="1147"/>
      <c r="X83" s="1147"/>
      <c r="Y83" s="1147"/>
      <c r="Z83" s="1147"/>
      <c r="AA83" s="1147"/>
      <c r="AB83" s="1147"/>
      <c r="AC83" s="1147"/>
      <c r="AD83" s="1147"/>
      <c r="AE83" s="1160"/>
      <c r="AF83" s="1160"/>
      <c r="AG83" s="1160"/>
    </row>
    <row r="84" spans="1:33" x14ac:dyDescent="0.3">
      <c r="A84" s="1143" t="s">
        <v>499</v>
      </c>
      <c r="B84" s="1144" t="s">
        <v>494</v>
      </c>
      <c r="C84" s="1146"/>
      <c r="D84" s="1146"/>
      <c r="E84" s="1159"/>
      <c r="F84" s="1149"/>
      <c r="G84" s="1149"/>
      <c r="H84" s="1149"/>
      <c r="I84" s="1149"/>
      <c r="J84" s="1149"/>
      <c r="K84" s="1149"/>
      <c r="L84" s="1149"/>
      <c r="M84" s="1149"/>
      <c r="N84" s="1149"/>
      <c r="O84" s="1149"/>
      <c r="P84" s="1149"/>
      <c r="Q84" s="1148"/>
      <c r="R84" s="1147"/>
      <c r="S84" s="1147"/>
      <c r="T84" s="1147"/>
      <c r="U84" s="1147"/>
      <c r="V84" s="1147"/>
      <c r="W84" s="1147"/>
      <c r="X84" s="1147"/>
      <c r="Y84" s="1147"/>
      <c r="Z84" s="1147"/>
      <c r="AA84" s="1147"/>
      <c r="AB84" s="1147"/>
      <c r="AC84" s="1147"/>
      <c r="AD84" s="1147"/>
      <c r="AE84" s="1160"/>
      <c r="AF84" s="1160"/>
      <c r="AG84" s="1160"/>
    </row>
    <row r="85" spans="1:33" x14ac:dyDescent="0.3">
      <c r="A85" s="1143" t="s">
        <v>499</v>
      </c>
      <c r="B85" s="1144" t="s">
        <v>495</v>
      </c>
      <c r="C85" s="1146"/>
      <c r="D85" s="1146"/>
      <c r="E85" s="1159"/>
      <c r="F85" s="1149"/>
      <c r="G85" s="1149"/>
      <c r="H85" s="1149"/>
      <c r="I85" s="1149"/>
      <c r="J85" s="1149"/>
      <c r="K85" s="1149"/>
      <c r="L85" s="1149"/>
      <c r="M85" s="1149"/>
      <c r="N85" s="1149"/>
      <c r="O85" s="1149"/>
      <c r="P85" s="1149"/>
      <c r="Q85" s="1149"/>
      <c r="R85" s="1148"/>
      <c r="S85" s="1147"/>
      <c r="T85" s="1147"/>
      <c r="U85" s="1147"/>
      <c r="V85" s="1147"/>
      <c r="W85" s="1147"/>
      <c r="X85" s="1147"/>
      <c r="Y85" s="1147"/>
      <c r="Z85" s="1147"/>
      <c r="AA85" s="1147"/>
      <c r="AB85" s="1147"/>
      <c r="AC85" s="1147"/>
      <c r="AD85" s="1147"/>
      <c r="AE85" s="1160"/>
      <c r="AF85" s="1160"/>
      <c r="AG85" s="1160"/>
    </row>
    <row r="86" spans="1:33" x14ac:dyDescent="0.3">
      <c r="A86" s="1143" t="s">
        <v>499</v>
      </c>
      <c r="B86" s="1144" t="s">
        <v>496</v>
      </c>
      <c r="C86" s="1146"/>
      <c r="D86" s="1146"/>
      <c r="E86" s="1159"/>
      <c r="F86" s="1149"/>
      <c r="G86" s="1149"/>
      <c r="H86" s="1149"/>
      <c r="I86" s="1149"/>
      <c r="J86" s="1149"/>
      <c r="K86" s="1149"/>
      <c r="L86" s="1149"/>
      <c r="M86" s="1149"/>
      <c r="N86" s="1149"/>
      <c r="O86" s="1149"/>
      <c r="P86" s="1149"/>
      <c r="Q86" s="1149"/>
      <c r="R86" s="1149"/>
      <c r="S86" s="1148"/>
      <c r="T86" s="1147"/>
      <c r="U86" s="1147"/>
      <c r="V86" s="1147"/>
      <c r="W86" s="1147"/>
      <c r="X86" s="1147"/>
      <c r="Y86" s="1147"/>
      <c r="Z86" s="1147"/>
      <c r="AA86" s="1147"/>
      <c r="AB86" s="1147"/>
      <c r="AC86" s="1147"/>
      <c r="AD86" s="1147"/>
      <c r="AE86" s="1160"/>
      <c r="AF86" s="1160"/>
      <c r="AG86" s="1160"/>
    </row>
    <row r="87" spans="1:33" x14ac:dyDescent="0.3">
      <c r="A87" s="1143" t="s">
        <v>499</v>
      </c>
      <c r="B87" s="1144" t="s">
        <v>500</v>
      </c>
      <c r="C87" s="1146"/>
      <c r="D87" s="1146"/>
      <c r="E87" s="1162"/>
      <c r="F87" s="1149"/>
      <c r="G87" s="1149"/>
      <c r="H87" s="1149"/>
      <c r="I87" s="1149"/>
      <c r="J87" s="1149"/>
      <c r="K87" s="1149"/>
      <c r="L87" s="1149"/>
      <c r="M87" s="1149"/>
      <c r="N87" s="1149"/>
      <c r="O87" s="1149"/>
      <c r="P87" s="1149"/>
      <c r="Q87" s="1149"/>
      <c r="R87" s="1149"/>
      <c r="S87" s="1149"/>
      <c r="T87" s="1148"/>
      <c r="U87" s="1147"/>
      <c r="V87" s="1147"/>
      <c r="W87" s="1147"/>
      <c r="X87" s="1147"/>
      <c r="Y87" s="1147"/>
      <c r="Z87" s="1147"/>
      <c r="AA87" s="1147"/>
      <c r="AB87" s="1147"/>
      <c r="AC87" s="1147"/>
      <c r="AD87" s="1147"/>
      <c r="AE87" s="1160"/>
      <c r="AF87" s="1160"/>
      <c r="AG87" s="1160"/>
    </row>
    <row r="88" spans="1:33" x14ac:dyDescent="0.3">
      <c r="A88" s="1143" t="s">
        <v>499</v>
      </c>
      <c r="B88" s="1144" t="s">
        <v>501</v>
      </c>
      <c r="C88" s="1146"/>
      <c r="D88" s="1146"/>
      <c r="E88" s="1162"/>
      <c r="F88" s="1149"/>
      <c r="G88" s="1149"/>
      <c r="H88" s="1149"/>
      <c r="I88" s="1149"/>
      <c r="J88" s="1149"/>
      <c r="K88" s="1149"/>
      <c r="L88" s="1149"/>
      <c r="M88" s="1149"/>
      <c r="N88" s="1149"/>
      <c r="O88" s="1149"/>
      <c r="P88" s="1149"/>
      <c r="Q88" s="1149"/>
      <c r="R88" s="1149"/>
      <c r="S88" s="1149"/>
      <c r="T88" s="1149"/>
      <c r="U88" s="1148"/>
      <c r="V88" s="1147"/>
      <c r="W88" s="1147"/>
      <c r="X88" s="1147"/>
      <c r="Y88" s="1147"/>
      <c r="Z88" s="1147"/>
      <c r="AA88" s="1147"/>
      <c r="AB88" s="1147"/>
      <c r="AC88" s="1147"/>
      <c r="AD88" s="1147"/>
      <c r="AE88" s="1160"/>
      <c r="AF88" s="1160"/>
      <c r="AG88" s="1160"/>
    </row>
    <row r="89" spans="1:33" x14ac:dyDescent="0.3">
      <c r="A89" s="1143" t="s">
        <v>499</v>
      </c>
      <c r="B89" s="1144" t="s">
        <v>502</v>
      </c>
      <c r="C89" s="1146"/>
      <c r="D89" s="1146"/>
      <c r="E89" s="1162"/>
      <c r="F89" s="1149"/>
      <c r="G89" s="1149"/>
      <c r="H89" s="1149"/>
      <c r="I89" s="1149"/>
      <c r="J89" s="1149"/>
      <c r="K89" s="1149"/>
      <c r="L89" s="1149"/>
      <c r="M89" s="1149"/>
      <c r="N89" s="1149"/>
      <c r="O89" s="1149"/>
      <c r="P89" s="1149"/>
      <c r="Q89" s="1149"/>
      <c r="R89" s="1149"/>
      <c r="S89" s="1149"/>
      <c r="T89" s="1149"/>
      <c r="U89" s="1149"/>
      <c r="V89" s="1148"/>
      <c r="W89" s="1147"/>
      <c r="X89" s="1147"/>
      <c r="Y89" s="1147"/>
      <c r="Z89" s="1147"/>
      <c r="AA89" s="1147"/>
      <c r="AB89" s="1147"/>
      <c r="AC89" s="1147"/>
      <c r="AD89" s="1147"/>
      <c r="AE89" s="1160"/>
      <c r="AF89" s="1160"/>
      <c r="AG89" s="1160"/>
    </row>
    <row r="90" spans="1:33" x14ac:dyDescent="0.3">
      <c r="A90" s="1143" t="s">
        <v>499</v>
      </c>
      <c r="B90" s="1144" t="s">
        <v>512</v>
      </c>
      <c r="C90" s="1146"/>
      <c r="D90" s="1146"/>
      <c r="E90" s="1162"/>
      <c r="F90" s="1149"/>
      <c r="G90" s="1149"/>
      <c r="H90" s="1149"/>
      <c r="I90" s="1149"/>
      <c r="J90" s="1149"/>
      <c r="K90" s="1149"/>
      <c r="L90" s="1149"/>
      <c r="M90" s="1149"/>
      <c r="N90" s="1149"/>
      <c r="O90" s="1149"/>
      <c r="P90" s="1149"/>
      <c r="Q90" s="1149"/>
      <c r="R90" s="1149"/>
      <c r="S90" s="1149"/>
      <c r="T90" s="1149"/>
      <c r="U90" s="1149"/>
      <c r="V90" s="1149"/>
      <c r="W90" s="1148"/>
      <c r="X90" s="1147"/>
      <c r="Y90" s="1147"/>
      <c r="Z90" s="1147"/>
      <c r="AA90" s="1147"/>
      <c r="AB90" s="1147"/>
      <c r="AC90" s="1147"/>
      <c r="AD90" s="1147"/>
      <c r="AE90" s="1160"/>
      <c r="AF90" s="1160"/>
      <c r="AG90" s="1160"/>
    </row>
    <row r="91" spans="1:33" x14ac:dyDescent="0.3">
      <c r="A91" s="1143" t="s">
        <v>499</v>
      </c>
      <c r="B91" s="1144" t="s">
        <v>513</v>
      </c>
      <c r="C91" s="1146"/>
      <c r="D91" s="1146"/>
      <c r="E91" s="1162"/>
      <c r="F91" s="1149"/>
      <c r="G91" s="1149"/>
      <c r="H91" s="1149"/>
      <c r="I91" s="1149"/>
      <c r="J91" s="1149"/>
      <c r="K91" s="1149"/>
      <c r="L91" s="1149"/>
      <c r="M91" s="1149"/>
      <c r="N91" s="1149"/>
      <c r="O91" s="1149"/>
      <c r="P91" s="1149"/>
      <c r="Q91" s="1149"/>
      <c r="R91" s="1149"/>
      <c r="S91" s="1149"/>
      <c r="T91" s="1149"/>
      <c r="U91" s="1149"/>
      <c r="V91" s="1149"/>
      <c r="W91" s="1149"/>
      <c r="X91" s="1148"/>
      <c r="Y91" s="1147"/>
      <c r="Z91" s="1147"/>
      <c r="AA91" s="1147"/>
      <c r="AB91" s="1147"/>
      <c r="AC91" s="1147"/>
      <c r="AD91" s="1147"/>
      <c r="AE91" s="1160"/>
      <c r="AF91" s="1160"/>
      <c r="AG91" s="1160"/>
    </row>
    <row r="92" spans="1:33" x14ac:dyDescent="0.3">
      <c r="A92" s="1143" t="s">
        <v>499</v>
      </c>
      <c r="B92" s="1144" t="s">
        <v>514</v>
      </c>
      <c r="C92" s="1185">
        <f>'F5'!$E$19</f>
        <v>0</v>
      </c>
      <c r="D92" s="1146"/>
      <c r="E92" s="1162">
        <f>'F5'!O73</f>
        <v>5.28E-2</v>
      </c>
      <c r="F92" s="1149"/>
      <c r="G92" s="1149"/>
      <c r="H92" s="1149"/>
      <c r="I92" s="1149"/>
      <c r="J92" s="1149"/>
      <c r="K92" s="1149"/>
      <c r="L92" s="1149"/>
      <c r="M92" s="1149"/>
      <c r="N92" s="1149"/>
      <c r="O92" s="1149"/>
      <c r="P92" s="1149"/>
      <c r="Q92" s="1149"/>
      <c r="R92" s="1149"/>
      <c r="S92" s="1149"/>
      <c r="T92" s="1149"/>
      <c r="U92" s="1149"/>
      <c r="V92" s="1149"/>
      <c r="W92" s="1149"/>
      <c r="X92" s="1149"/>
      <c r="Y92" s="1148">
        <f>$C92*$E92</f>
        <v>0</v>
      </c>
      <c r="Z92" s="1148">
        <f t="shared" ref="Z92:AD97" si="6">$C92*$E92</f>
        <v>0</v>
      </c>
      <c r="AA92" s="1148">
        <f t="shared" si="6"/>
        <v>0</v>
      </c>
      <c r="AB92" s="1148">
        <f t="shared" si="6"/>
        <v>0</v>
      </c>
      <c r="AC92" s="1148">
        <f t="shared" si="6"/>
        <v>0</v>
      </c>
      <c r="AD92" s="1148">
        <f t="shared" si="6"/>
        <v>0</v>
      </c>
      <c r="AE92" s="1160">
        <f>SUM(Y92:AD92)</f>
        <v>0</v>
      </c>
      <c r="AF92" s="1160"/>
      <c r="AG92" s="1160">
        <f>C92*0.9-AE92</f>
        <v>0</v>
      </c>
    </row>
    <row r="93" spans="1:33" x14ac:dyDescent="0.3">
      <c r="A93" s="1143" t="s">
        <v>499</v>
      </c>
      <c r="B93" s="1144" t="s">
        <v>914</v>
      </c>
      <c r="C93" s="1150">
        <f>'F5.1 (N)'!$E$19</f>
        <v>0</v>
      </c>
      <c r="D93" s="1146"/>
      <c r="E93" s="1162">
        <f>'F5.1 (N)'!$AC$47</f>
        <v>4.2200000000000001E-2</v>
      </c>
      <c r="F93" s="1149"/>
      <c r="G93" s="1149"/>
      <c r="H93" s="1149"/>
      <c r="I93" s="1149"/>
      <c r="J93" s="1149"/>
      <c r="K93" s="1149"/>
      <c r="L93" s="1149"/>
      <c r="M93" s="1149"/>
      <c r="N93" s="1149"/>
      <c r="O93" s="1149"/>
      <c r="P93" s="1149"/>
      <c r="Q93" s="1149"/>
      <c r="R93" s="1149"/>
      <c r="S93" s="1149"/>
      <c r="T93" s="1149"/>
      <c r="U93" s="1149"/>
      <c r="V93" s="1149"/>
      <c r="W93" s="1149"/>
      <c r="X93" s="1149"/>
      <c r="Y93" s="1149"/>
      <c r="Z93" s="1148">
        <f t="shared" si="6"/>
        <v>0</v>
      </c>
      <c r="AA93" s="1148">
        <f t="shared" si="6"/>
        <v>0</v>
      </c>
      <c r="AB93" s="1148">
        <f t="shared" si="6"/>
        <v>0</v>
      </c>
      <c r="AC93" s="1148">
        <f t="shared" si="6"/>
        <v>0</v>
      </c>
      <c r="AD93" s="1148">
        <f t="shared" si="6"/>
        <v>0</v>
      </c>
      <c r="AE93" s="1146">
        <f ca="1">SUM(Z93:AE93)</f>
        <v>0</v>
      </c>
      <c r="AF93" s="1146"/>
      <c r="AG93" s="1160">
        <f t="shared" ref="AG93:AG97" ca="1" si="7">C93*0.9-AE93</f>
        <v>0</v>
      </c>
    </row>
    <row r="94" spans="1:33" x14ac:dyDescent="0.3">
      <c r="A94" s="1143" t="s">
        <v>499</v>
      </c>
      <c r="B94" s="1144" t="s">
        <v>915</v>
      </c>
      <c r="C94" s="1146">
        <f>'F5.1 (N)'!$J$19</f>
        <v>0</v>
      </c>
      <c r="D94" s="1146"/>
      <c r="E94" s="1162">
        <f>'F5.1 (N)'!$AC$47</f>
        <v>4.2200000000000001E-2</v>
      </c>
      <c r="F94" s="1149"/>
      <c r="G94" s="1149"/>
      <c r="H94" s="1149"/>
      <c r="I94" s="1149"/>
      <c r="J94" s="1149"/>
      <c r="K94" s="1149"/>
      <c r="L94" s="1149"/>
      <c r="M94" s="1149"/>
      <c r="N94" s="1149"/>
      <c r="O94" s="1149"/>
      <c r="P94" s="1149"/>
      <c r="Q94" s="1149"/>
      <c r="R94" s="1149"/>
      <c r="S94" s="1149"/>
      <c r="T94" s="1149"/>
      <c r="U94" s="1149"/>
      <c r="V94" s="1149"/>
      <c r="W94" s="1149"/>
      <c r="X94" s="1149"/>
      <c r="Y94" s="1149"/>
      <c r="Z94" s="1149"/>
      <c r="AA94" s="1148">
        <f t="shared" si="6"/>
        <v>0</v>
      </c>
      <c r="AB94" s="1148">
        <f t="shared" si="6"/>
        <v>0</v>
      </c>
      <c r="AC94" s="1148">
        <f t="shared" si="6"/>
        <v>0</v>
      </c>
      <c r="AD94" s="1148">
        <f t="shared" si="6"/>
        <v>0</v>
      </c>
      <c r="AE94" s="1146">
        <f>SUM(AA94:AD94)</f>
        <v>0</v>
      </c>
      <c r="AF94" s="1146"/>
      <c r="AG94" s="1160">
        <f t="shared" si="7"/>
        <v>0</v>
      </c>
    </row>
    <row r="95" spans="1:33" x14ac:dyDescent="0.3">
      <c r="A95" s="1143" t="s">
        <v>499</v>
      </c>
      <c r="B95" s="1144" t="s">
        <v>916</v>
      </c>
      <c r="C95" s="1146">
        <f>'F5.1 (N)'!$O$19</f>
        <v>0</v>
      </c>
      <c r="D95" s="1146"/>
      <c r="E95" s="1162">
        <f>'F5.1 (N)'!$AC$47</f>
        <v>4.2200000000000001E-2</v>
      </c>
      <c r="F95" s="1149"/>
      <c r="G95" s="1149"/>
      <c r="H95" s="1149"/>
      <c r="I95" s="1149"/>
      <c r="J95" s="1149"/>
      <c r="K95" s="1149"/>
      <c r="L95" s="1149"/>
      <c r="M95" s="1149"/>
      <c r="N95" s="1149"/>
      <c r="O95" s="1149"/>
      <c r="P95" s="1149"/>
      <c r="Q95" s="1149"/>
      <c r="R95" s="1149"/>
      <c r="S95" s="1149"/>
      <c r="T95" s="1149"/>
      <c r="U95" s="1149"/>
      <c r="V95" s="1149"/>
      <c r="W95" s="1149"/>
      <c r="X95" s="1149"/>
      <c r="Y95" s="1149"/>
      <c r="Z95" s="1149"/>
      <c r="AA95" s="1149"/>
      <c r="AB95" s="1148">
        <f t="shared" si="6"/>
        <v>0</v>
      </c>
      <c r="AC95" s="1148">
        <f t="shared" si="6"/>
        <v>0</v>
      </c>
      <c r="AD95" s="1148">
        <f t="shared" si="6"/>
        <v>0</v>
      </c>
      <c r="AE95" s="1146">
        <f>SUM(AB95:AD95)</f>
        <v>0</v>
      </c>
      <c r="AF95" s="1146"/>
      <c r="AG95" s="1160">
        <f t="shared" si="7"/>
        <v>0</v>
      </c>
    </row>
    <row r="96" spans="1:33" x14ac:dyDescent="0.3">
      <c r="A96" s="1143" t="s">
        <v>499</v>
      </c>
      <c r="B96" s="1144" t="s">
        <v>917</v>
      </c>
      <c r="C96" s="1146">
        <f>'F5.1 (N)'!$T$19</f>
        <v>0</v>
      </c>
      <c r="D96" s="1146"/>
      <c r="E96" s="1162">
        <f>'F5.1 (N)'!$AC$47</f>
        <v>4.2200000000000001E-2</v>
      </c>
      <c r="F96" s="1149"/>
      <c r="G96" s="1149"/>
      <c r="H96" s="1149"/>
      <c r="I96" s="1149"/>
      <c r="J96" s="1149"/>
      <c r="K96" s="1149"/>
      <c r="L96" s="1149"/>
      <c r="M96" s="1149"/>
      <c r="N96" s="1149"/>
      <c r="O96" s="1149"/>
      <c r="P96" s="1149"/>
      <c r="Q96" s="1149"/>
      <c r="R96" s="1149"/>
      <c r="S96" s="1149"/>
      <c r="T96" s="1149"/>
      <c r="U96" s="1149"/>
      <c r="V96" s="1149"/>
      <c r="W96" s="1149"/>
      <c r="X96" s="1149"/>
      <c r="Y96" s="1149"/>
      <c r="Z96" s="1149"/>
      <c r="AA96" s="1149"/>
      <c r="AB96" s="1149"/>
      <c r="AC96" s="1148">
        <f t="shared" si="6"/>
        <v>0</v>
      </c>
      <c r="AD96" s="1148">
        <f t="shared" si="6"/>
        <v>0</v>
      </c>
      <c r="AE96" s="1146">
        <f t="array" ref="AE96">SUM(AC96:AD96)</f>
        <v>0</v>
      </c>
      <c r="AF96" s="1146"/>
      <c r="AG96" s="1160">
        <f t="shared" si="7"/>
        <v>0</v>
      </c>
    </row>
    <row r="97" spans="1:33" x14ac:dyDescent="0.3">
      <c r="A97" s="1143" t="s">
        <v>499</v>
      </c>
      <c r="B97" s="1144" t="s">
        <v>918</v>
      </c>
      <c r="C97" s="1146">
        <f>'F5.1 (N)'!$Y$19</f>
        <v>0</v>
      </c>
      <c r="D97" s="1146"/>
      <c r="E97" s="1162">
        <f>'F5.1 (N)'!$AC$47</f>
        <v>4.2200000000000001E-2</v>
      </c>
      <c r="F97" s="1149"/>
      <c r="G97" s="1149"/>
      <c r="H97" s="1149"/>
      <c r="I97" s="1149"/>
      <c r="J97" s="1149"/>
      <c r="K97" s="1149"/>
      <c r="L97" s="1149"/>
      <c r="M97" s="1149"/>
      <c r="N97" s="1149"/>
      <c r="O97" s="1149"/>
      <c r="P97" s="1149"/>
      <c r="Q97" s="1149"/>
      <c r="R97" s="1149"/>
      <c r="S97" s="1149"/>
      <c r="T97" s="1149"/>
      <c r="U97" s="1149"/>
      <c r="V97" s="1149"/>
      <c r="W97" s="1149"/>
      <c r="X97" s="1149"/>
      <c r="Y97" s="1149"/>
      <c r="Z97" s="1149"/>
      <c r="AA97" s="1149"/>
      <c r="AB97" s="1149"/>
      <c r="AC97" s="1149"/>
      <c r="AD97" s="1148">
        <f t="shared" si="6"/>
        <v>0</v>
      </c>
      <c r="AE97" s="1146">
        <f>AD97</f>
        <v>0</v>
      </c>
      <c r="AF97" s="1146"/>
      <c r="AG97" s="1160">
        <f t="shared" si="7"/>
        <v>0</v>
      </c>
    </row>
    <row r="98" spans="1:33" x14ac:dyDescent="0.3">
      <c r="A98" s="1151"/>
      <c r="B98" s="1152" t="s">
        <v>267</v>
      </c>
      <c r="C98" s="1153"/>
      <c r="D98" s="1153"/>
      <c r="E98" s="1163"/>
      <c r="F98" s="1153"/>
      <c r="G98" s="1153"/>
      <c r="H98" s="1153"/>
      <c r="I98" s="1153"/>
      <c r="J98" s="1153"/>
      <c r="K98" s="1153"/>
      <c r="L98" s="1153"/>
      <c r="M98" s="1153"/>
      <c r="N98" s="1153"/>
      <c r="O98" s="1153"/>
      <c r="P98" s="1153"/>
      <c r="Q98" s="1153"/>
      <c r="R98" s="1153"/>
      <c r="S98" s="1153"/>
      <c r="T98" s="1153"/>
      <c r="U98" s="1153"/>
      <c r="V98" s="1153"/>
      <c r="W98" s="1153"/>
      <c r="X98" s="1153"/>
      <c r="Y98" s="1153">
        <f>SUM(Y92)</f>
        <v>0</v>
      </c>
      <c r="Z98" s="1153">
        <f>SUM(Z92:Z93)</f>
        <v>0</v>
      </c>
      <c r="AA98" s="1153">
        <f>SUM(AA92:AA94)</f>
        <v>0</v>
      </c>
      <c r="AB98" s="1153">
        <f>SUM(AB92:AB95)</f>
        <v>0</v>
      </c>
      <c r="AC98" s="1153">
        <f>SUM(AC92:AC96)</f>
        <v>0</v>
      </c>
      <c r="AD98" s="1153">
        <f>SUM(AD92:AD97)</f>
        <v>0</v>
      </c>
      <c r="AE98" s="1163">
        <f ca="1">SUM(AE92:AE97)</f>
        <v>0</v>
      </c>
      <c r="AF98" s="1163"/>
      <c r="AG98" s="1163">
        <f ca="1">SUM(AG92:AG97)</f>
        <v>0</v>
      </c>
    </row>
    <row r="102" spans="1:33" x14ac:dyDescent="0.3">
      <c r="B102" s="1138" t="s">
        <v>507</v>
      </c>
      <c r="F102" s="1139" t="s">
        <v>10</v>
      </c>
    </row>
    <row r="103" spans="1:33" ht="26.15" customHeight="1" x14ac:dyDescent="0.3">
      <c r="A103" s="1140"/>
      <c r="B103" s="1158" t="s">
        <v>398</v>
      </c>
      <c r="C103" s="1619" t="s">
        <v>481</v>
      </c>
      <c r="D103" s="1619" t="s">
        <v>482</v>
      </c>
      <c r="E103" s="1619" t="s">
        <v>545</v>
      </c>
      <c r="F103" s="1621" t="s">
        <v>546</v>
      </c>
      <c r="G103" s="1622"/>
      <c r="H103" s="1622"/>
      <c r="I103" s="1622"/>
      <c r="J103" s="1622"/>
      <c r="K103" s="1622"/>
      <c r="L103" s="1622"/>
      <c r="M103" s="1622"/>
      <c r="N103" s="1622"/>
      <c r="O103" s="1622"/>
      <c r="P103" s="1622"/>
      <c r="Q103" s="1622"/>
      <c r="R103" s="1622"/>
      <c r="S103" s="1622"/>
      <c r="T103" s="1622"/>
      <c r="U103" s="1622"/>
      <c r="V103" s="1622"/>
      <c r="W103" s="1622"/>
      <c r="X103" s="1622"/>
      <c r="Y103" s="1622"/>
      <c r="Z103" s="1622"/>
      <c r="AA103" s="1622"/>
      <c r="AB103" s="1622"/>
      <c r="AC103" s="1622"/>
      <c r="AD103" s="1623"/>
      <c r="AE103" s="1141" t="s">
        <v>504</v>
      </c>
      <c r="AF103" s="1141" t="s">
        <v>497</v>
      </c>
      <c r="AG103" s="1141" t="s">
        <v>505</v>
      </c>
    </row>
    <row r="104" spans="1:33" ht="13" customHeight="1" x14ac:dyDescent="0.3">
      <c r="A104" s="1140"/>
      <c r="B104" s="1158"/>
      <c r="C104" s="1620"/>
      <c r="D104" s="1620"/>
      <c r="E104" s="1620"/>
      <c r="F104" s="1142" t="s">
        <v>483</v>
      </c>
      <c r="G104" s="1142" t="s">
        <v>484</v>
      </c>
      <c r="H104" s="1142" t="s">
        <v>485</v>
      </c>
      <c r="I104" s="1142" t="s">
        <v>486</v>
      </c>
      <c r="J104" s="1142" t="s">
        <v>487</v>
      </c>
      <c r="K104" s="1142" t="s">
        <v>488</v>
      </c>
      <c r="L104" s="1142" t="s">
        <v>489</v>
      </c>
      <c r="M104" s="1142" t="s">
        <v>490</v>
      </c>
      <c r="N104" s="1142" t="s">
        <v>491</v>
      </c>
      <c r="O104" s="1142" t="s">
        <v>492</v>
      </c>
      <c r="P104" s="1142" t="s">
        <v>493</v>
      </c>
      <c r="Q104" s="1142" t="s">
        <v>494</v>
      </c>
      <c r="R104" s="1142" t="s">
        <v>495</v>
      </c>
      <c r="S104" s="1142" t="s">
        <v>496</v>
      </c>
      <c r="T104" s="1142" t="s">
        <v>314</v>
      </c>
      <c r="U104" s="1142" t="s">
        <v>473</v>
      </c>
      <c r="V104" s="1142" t="s">
        <v>474</v>
      </c>
      <c r="W104" s="1142" t="s">
        <v>475</v>
      </c>
      <c r="X104" s="1142" t="s">
        <v>476</v>
      </c>
      <c r="Y104" s="1142" t="s">
        <v>477</v>
      </c>
      <c r="Z104" s="1142" t="s">
        <v>849</v>
      </c>
      <c r="AA104" s="1142" t="s">
        <v>850</v>
      </c>
      <c r="AB104" s="1142" t="s">
        <v>851</v>
      </c>
      <c r="AC104" s="1142" t="s">
        <v>852</v>
      </c>
      <c r="AD104" s="1142" t="s">
        <v>853</v>
      </c>
      <c r="AE104" s="1141"/>
      <c r="AF104" s="1141"/>
      <c r="AG104" s="1141"/>
    </row>
    <row r="105" spans="1:33" x14ac:dyDescent="0.3">
      <c r="A105" s="1143" t="s">
        <v>498</v>
      </c>
      <c r="B105" s="1144">
        <v>2005</v>
      </c>
      <c r="C105" s="1143"/>
      <c r="D105" s="1143"/>
      <c r="E105" s="1159"/>
      <c r="F105" s="1147"/>
      <c r="G105" s="1147"/>
      <c r="H105" s="1147"/>
      <c r="I105" s="1147"/>
      <c r="J105" s="1147"/>
      <c r="K105" s="1147"/>
      <c r="L105" s="1147"/>
      <c r="M105" s="1147"/>
      <c r="N105" s="1147"/>
      <c r="O105" s="1147"/>
      <c r="P105" s="1147"/>
      <c r="Q105" s="1147"/>
      <c r="R105" s="1147"/>
      <c r="S105" s="1147"/>
      <c r="T105" s="1147"/>
      <c r="U105" s="1147"/>
      <c r="V105" s="1147"/>
      <c r="W105" s="1147"/>
      <c r="X105" s="1147"/>
      <c r="Y105" s="1147"/>
      <c r="Z105" s="1147"/>
      <c r="AA105" s="1147"/>
      <c r="AB105" s="1147"/>
      <c r="AC105" s="1147"/>
      <c r="AD105" s="1147"/>
      <c r="AE105" s="1160"/>
      <c r="AF105" s="1160"/>
      <c r="AG105" s="1160"/>
    </row>
    <row r="106" spans="1:33" x14ac:dyDescent="0.3">
      <c r="A106" s="1143" t="s">
        <v>499</v>
      </c>
      <c r="B106" s="1144" t="s">
        <v>483</v>
      </c>
      <c r="C106" s="1143"/>
      <c r="D106" s="1143"/>
      <c r="E106" s="1159"/>
      <c r="F106" s="1148"/>
      <c r="G106" s="1147"/>
      <c r="H106" s="1147"/>
      <c r="I106" s="1147"/>
      <c r="J106" s="1147"/>
      <c r="K106" s="1147"/>
      <c r="L106" s="1147"/>
      <c r="M106" s="1147"/>
      <c r="N106" s="1147"/>
      <c r="O106" s="1147"/>
      <c r="P106" s="1147"/>
      <c r="Q106" s="1147"/>
      <c r="R106" s="1147"/>
      <c r="S106" s="1147"/>
      <c r="T106" s="1147"/>
      <c r="U106" s="1147"/>
      <c r="V106" s="1147"/>
      <c r="W106" s="1147"/>
      <c r="X106" s="1147"/>
      <c r="Y106" s="1147"/>
      <c r="Z106" s="1147"/>
      <c r="AA106" s="1147"/>
      <c r="AB106" s="1147"/>
      <c r="AC106" s="1147"/>
      <c r="AD106" s="1147"/>
      <c r="AE106" s="1160"/>
      <c r="AF106" s="1160"/>
      <c r="AG106" s="1160"/>
    </row>
    <row r="107" spans="1:33" x14ac:dyDescent="0.3">
      <c r="A107" s="1143" t="s">
        <v>499</v>
      </c>
      <c r="B107" s="1144" t="s">
        <v>484</v>
      </c>
      <c r="C107" s="1143"/>
      <c r="D107" s="1143"/>
      <c r="E107" s="1159"/>
      <c r="F107" s="1149"/>
      <c r="G107" s="1148"/>
      <c r="H107" s="1147"/>
      <c r="I107" s="1147"/>
      <c r="J107" s="1147"/>
      <c r="K107" s="1147"/>
      <c r="L107" s="1147"/>
      <c r="M107" s="1147"/>
      <c r="N107" s="1147"/>
      <c r="O107" s="1147"/>
      <c r="P107" s="1147"/>
      <c r="Q107" s="1147"/>
      <c r="R107" s="1147"/>
      <c r="S107" s="1147"/>
      <c r="T107" s="1147"/>
      <c r="U107" s="1147"/>
      <c r="V107" s="1147"/>
      <c r="W107" s="1147"/>
      <c r="X107" s="1147"/>
      <c r="Y107" s="1147"/>
      <c r="Z107" s="1147"/>
      <c r="AA107" s="1147"/>
      <c r="AB107" s="1147"/>
      <c r="AC107" s="1147"/>
      <c r="AD107" s="1147"/>
      <c r="AE107" s="1160"/>
      <c r="AF107" s="1160"/>
      <c r="AG107" s="1160"/>
    </row>
    <row r="108" spans="1:33" x14ac:dyDescent="0.3">
      <c r="A108" s="1143" t="s">
        <v>499</v>
      </c>
      <c r="B108" s="1144" t="s">
        <v>485</v>
      </c>
      <c r="C108" s="1143"/>
      <c r="D108" s="1143"/>
      <c r="E108" s="1159"/>
      <c r="F108" s="1149"/>
      <c r="G108" s="1149"/>
      <c r="H108" s="1148"/>
      <c r="I108" s="1147"/>
      <c r="J108" s="1147"/>
      <c r="K108" s="1147"/>
      <c r="L108" s="1147"/>
      <c r="M108" s="1147"/>
      <c r="N108" s="1147"/>
      <c r="O108" s="1147"/>
      <c r="P108" s="1147"/>
      <c r="Q108" s="1147"/>
      <c r="R108" s="1147"/>
      <c r="S108" s="1147"/>
      <c r="T108" s="1147"/>
      <c r="U108" s="1147"/>
      <c r="V108" s="1147"/>
      <c r="W108" s="1147"/>
      <c r="X108" s="1147"/>
      <c r="Y108" s="1147"/>
      <c r="Z108" s="1147"/>
      <c r="AA108" s="1147"/>
      <c r="AB108" s="1147"/>
      <c r="AC108" s="1147"/>
      <c r="AD108" s="1147"/>
      <c r="AE108" s="1160"/>
      <c r="AF108" s="1160"/>
      <c r="AG108" s="1160"/>
    </row>
    <row r="109" spans="1:33" x14ac:dyDescent="0.3">
      <c r="A109" s="1143" t="s">
        <v>499</v>
      </c>
      <c r="B109" s="1144" t="s">
        <v>486</v>
      </c>
      <c r="C109" s="1143"/>
      <c r="D109" s="1143"/>
      <c r="E109" s="1159"/>
      <c r="F109" s="1149"/>
      <c r="G109" s="1149"/>
      <c r="H109" s="1149"/>
      <c r="I109" s="1148"/>
      <c r="J109" s="1147"/>
      <c r="K109" s="1147"/>
      <c r="L109" s="1147"/>
      <c r="M109" s="1147"/>
      <c r="N109" s="1147"/>
      <c r="O109" s="1147"/>
      <c r="P109" s="1147"/>
      <c r="Q109" s="1147"/>
      <c r="R109" s="1147"/>
      <c r="S109" s="1147"/>
      <c r="T109" s="1147"/>
      <c r="U109" s="1147"/>
      <c r="V109" s="1147"/>
      <c r="W109" s="1147"/>
      <c r="X109" s="1147"/>
      <c r="Y109" s="1147"/>
      <c r="Z109" s="1147"/>
      <c r="AA109" s="1147"/>
      <c r="AB109" s="1147"/>
      <c r="AC109" s="1147"/>
      <c r="AD109" s="1147"/>
      <c r="AE109" s="1160"/>
      <c r="AF109" s="1160"/>
      <c r="AG109" s="1160"/>
    </row>
    <row r="110" spans="1:33" x14ac:dyDescent="0.3">
      <c r="A110" s="1143" t="s">
        <v>499</v>
      </c>
      <c r="B110" s="1144" t="s">
        <v>487</v>
      </c>
      <c r="C110" s="1143"/>
      <c r="D110" s="1143"/>
      <c r="E110" s="1159"/>
      <c r="F110" s="1149"/>
      <c r="G110" s="1149"/>
      <c r="H110" s="1149"/>
      <c r="I110" s="1149"/>
      <c r="J110" s="1148"/>
      <c r="K110" s="1147"/>
      <c r="L110" s="1147"/>
      <c r="M110" s="1147"/>
      <c r="N110" s="1147"/>
      <c r="O110" s="1147"/>
      <c r="P110" s="1147"/>
      <c r="Q110" s="1147"/>
      <c r="R110" s="1147"/>
      <c r="S110" s="1147"/>
      <c r="T110" s="1147"/>
      <c r="U110" s="1147"/>
      <c r="V110" s="1147"/>
      <c r="W110" s="1147"/>
      <c r="X110" s="1147"/>
      <c r="Y110" s="1147"/>
      <c r="Z110" s="1147"/>
      <c r="AA110" s="1147"/>
      <c r="AB110" s="1147"/>
      <c r="AC110" s="1147"/>
      <c r="AD110" s="1147"/>
      <c r="AE110" s="1160"/>
      <c r="AF110" s="1160"/>
      <c r="AG110" s="1160"/>
    </row>
    <row r="111" spans="1:33" x14ac:dyDescent="0.3">
      <c r="A111" s="1143" t="s">
        <v>499</v>
      </c>
      <c r="B111" s="1144" t="s">
        <v>488</v>
      </c>
      <c r="C111" s="1143"/>
      <c r="D111" s="1143"/>
      <c r="E111" s="1159"/>
      <c r="F111" s="1149"/>
      <c r="G111" s="1149"/>
      <c r="H111" s="1149"/>
      <c r="I111" s="1149"/>
      <c r="J111" s="1149"/>
      <c r="K111" s="1148"/>
      <c r="L111" s="1147"/>
      <c r="M111" s="1147"/>
      <c r="N111" s="1147"/>
      <c r="O111" s="1147"/>
      <c r="P111" s="1147"/>
      <c r="Q111" s="1147"/>
      <c r="R111" s="1147"/>
      <c r="S111" s="1147"/>
      <c r="T111" s="1147"/>
      <c r="U111" s="1147"/>
      <c r="V111" s="1147"/>
      <c r="W111" s="1147"/>
      <c r="X111" s="1147"/>
      <c r="Y111" s="1147"/>
      <c r="Z111" s="1147"/>
      <c r="AA111" s="1147"/>
      <c r="AB111" s="1147"/>
      <c r="AC111" s="1147"/>
      <c r="AD111" s="1147"/>
      <c r="AE111" s="1160"/>
      <c r="AF111" s="1160"/>
      <c r="AG111" s="1160"/>
    </row>
    <row r="112" spans="1:33" x14ac:dyDescent="0.3">
      <c r="A112" s="1143" t="s">
        <v>499</v>
      </c>
      <c r="B112" s="1144" t="s">
        <v>489</v>
      </c>
      <c r="C112" s="1143"/>
      <c r="D112" s="1143"/>
      <c r="E112" s="1159"/>
      <c r="F112" s="1149"/>
      <c r="G112" s="1149"/>
      <c r="H112" s="1149"/>
      <c r="I112" s="1149"/>
      <c r="J112" s="1149"/>
      <c r="K112" s="1149"/>
      <c r="L112" s="1148"/>
      <c r="M112" s="1147"/>
      <c r="N112" s="1147"/>
      <c r="O112" s="1147"/>
      <c r="P112" s="1147"/>
      <c r="Q112" s="1147"/>
      <c r="R112" s="1147"/>
      <c r="S112" s="1147"/>
      <c r="T112" s="1147"/>
      <c r="U112" s="1147"/>
      <c r="V112" s="1147"/>
      <c r="W112" s="1147"/>
      <c r="X112" s="1147"/>
      <c r="Y112" s="1147"/>
      <c r="Z112" s="1147"/>
      <c r="AA112" s="1147"/>
      <c r="AB112" s="1147"/>
      <c r="AC112" s="1147"/>
      <c r="AD112" s="1147"/>
      <c r="AE112" s="1160"/>
      <c r="AF112" s="1160"/>
      <c r="AG112" s="1160"/>
    </row>
    <row r="113" spans="1:33" x14ac:dyDescent="0.3">
      <c r="A113" s="1143" t="s">
        <v>499</v>
      </c>
      <c r="B113" s="1144" t="s">
        <v>490</v>
      </c>
      <c r="C113" s="1143"/>
      <c r="D113" s="1143"/>
      <c r="E113" s="1159"/>
      <c r="F113" s="1149"/>
      <c r="G113" s="1149"/>
      <c r="H113" s="1149"/>
      <c r="I113" s="1149"/>
      <c r="J113" s="1149"/>
      <c r="K113" s="1149"/>
      <c r="L113" s="1149"/>
      <c r="M113" s="1148"/>
      <c r="N113" s="1147"/>
      <c r="O113" s="1147"/>
      <c r="P113" s="1147"/>
      <c r="Q113" s="1147"/>
      <c r="R113" s="1147"/>
      <c r="S113" s="1147"/>
      <c r="T113" s="1147"/>
      <c r="U113" s="1147"/>
      <c r="V113" s="1147"/>
      <c r="W113" s="1147"/>
      <c r="X113" s="1147"/>
      <c r="Y113" s="1147"/>
      <c r="Z113" s="1147"/>
      <c r="AA113" s="1147"/>
      <c r="AB113" s="1147"/>
      <c r="AC113" s="1147"/>
      <c r="AD113" s="1147"/>
      <c r="AE113" s="1160"/>
      <c r="AF113" s="1160"/>
      <c r="AG113" s="1160"/>
    </row>
    <row r="114" spans="1:33" x14ac:dyDescent="0.3">
      <c r="A114" s="1143" t="s">
        <v>499</v>
      </c>
      <c r="B114" s="1144" t="s">
        <v>491</v>
      </c>
      <c r="C114" s="1143"/>
      <c r="D114" s="1143"/>
      <c r="E114" s="1159"/>
      <c r="F114" s="1149"/>
      <c r="G114" s="1149"/>
      <c r="H114" s="1149"/>
      <c r="I114" s="1149"/>
      <c r="J114" s="1149"/>
      <c r="K114" s="1149"/>
      <c r="L114" s="1149"/>
      <c r="M114" s="1149"/>
      <c r="N114" s="1148"/>
      <c r="O114" s="1147"/>
      <c r="P114" s="1147"/>
      <c r="Q114" s="1147"/>
      <c r="R114" s="1147"/>
      <c r="S114" s="1147"/>
      <c r="T114" s="1147"/>
      <c r="U114" s="1147"/>
      <c r="V114" s="1147"/>
      <c r="W114" s="1147"/>
      <c r="X114" s="1147"/>
      <c r="Y114" s="1147"/>
      <c r="Z114" s="1147"/>
      <c r="AA114" s="1147"/>
      <c r="AB114" s="1147"/>
      <c r="AC114" s="1147"/>
      <c r="AD114" s="1147"/>
      <c r="AE114" s="1160"/>
      <c r="AF114" s="1160"/>
      <c r="AG114" s="1160"/>
    </row>
    <row r="115" spans="1:33" x14ac:dyDescent="0.3">
      <c r="A115" s="1143" t="s">
        <v>499</v>
      </c>
      <c r="B115" s="1144" t="s">
        <v>492</v>
      </c>
      <c r="C115" s="1146"/>
      <c r="D115" s="1143"/>
      <c r="E115" s="1159"/>
      <c r="F115" s="1149"/>
      <c r="G115" s="1149"/>
      <c r="H115" s="1149"/>
      <c r="I115" s="1149"/>
      <c r="J115" s="1149"/>
      <c r="K115" s="1149"/>
      <c r="L115" s="1149"/>
      <c r="M115" s="1149"/>
      <c r="N115" s="1149"/>
      <c r="O115" s="1148"/>
      <c r="P115" s="1147"/>
      <c r="Q115" s="1147"/>
      <c r="R115" s="1147"/>
      <c r="S115" s="1147"/>
      <c r="T115" s="1147"/>
      <c r="U115" s="1147"/>
      <c r="V115" s="1147"/>
      <c r="W115" s="1147"/>
      <c r="X115" s="1147"/>
      <c r="Y115" s="1147"/>
      <c r="Z115" s="1147"/>
      <c r="AA115" s="1147"/>
      <c r="AB115" s="1147"/>
      <c r="AC115" s="1147"/>
      <c r="AD115" s="1147"/>
      <c r="AE115" s="1160"/>
      <c r="AF115" s="1160"/>
      <c r="AG115" s="1160"/>
    </row>
    <row r="116" spans="1:33" x14ac:dyDescent="0.3">
      <c r="A116" s="1143" t="s">
        <v>499</v>
      </c>
      <c r="B116" s="1144" t="s">
        <v>493</v>
      </c>
      <c r="C116" s="1146"/>
      <c r="D116" s="1143"/>
      <c r="E116" s="1159"/>
      <c r="F116" s="1149"/>
      <c r="G116" s="1149"/>
      <c r="H116" s="1149"/>
      <c r="I116" s="1149"/>
      <c r="J116" s="1149"/>
      <c r="K116" s="1149"/>
      <c r="L116" s="1149"/>
      <c r="M116" s="1149"/>
      <c r="N116" s="1149"/>
      <c r="O116" s="1149"/>
      <c r="P116" s="1148"/>
      <c r="Q116" s="1147"/>
      <c r="R116" s="1147"/>
      <c r="S116" s="1147"/>
      <c r="T116" s="1147"/>
      <c r="U116" s="1147"/>
      <c r="V116" s="1147"/>
      <c r="W116" s="1147"/>
      <c r="X116" s="1147"/>
      <c r="Y116" s="1147"/>
      <c r="Z116" s="1147"/>
      <c r="AA116" s="1147"/>
      <c r="AB116" s="1147"/>
      <c r="AC116" s="1147"/>
      <c r="AD116" s="1147"/>
      <c r="AE116" s="1160"/>
      <c r="AF116" s="1160"/>
      <c r="AG116" s="1160"/>
    </row>
    <row r="117" spans="1:33" x14ac:dyDescent="0.3">
      <c r="A117" s="1143" t="s">
        <v>499</v>
      </c>
      <c r="B117" s="1144" t="s">
        <v>494</v>
      </c>
      <c r="C117" s="1146"/>
      <c r="D117" s="1146"/>
      <c r="E117" s="1159"/>
      <c r="F117" s="1149"/>
      <c r="G117" s="1149"/>
      <c r="H117" s="1149"/>
      <c r="I117" s="1149"/>
      <c r="J117" s="1149"/>
      <c r="K117" s="1149"/>
      <c r="L117" s="1149"/>
      <c r="M117" s="1149"/>
      <c r="N117" s="1149"/>
      <c r="O117" s="1149"/>
      <c r="P117" s="1149"/>
      <c r="Q117" s="1148"/>
      <c r="R117" s="1147"/>
      <c r="S117" s="1147"/>
      <c r="T117" s="1147"/>
      <c r="U117" s="1147"/>
      <c r="V117" s="1147"/>
      <c r="W117" s="1147"/>
      <c r="X117" s="1147"/>
      <c r="Y117" s="1147"/>
      <c r="Z117" s="1147"/>
      <c r="AA117" s="1147"/>
      <c r="AB117" s="1147"/>
      <c r="AC117" s="1147"/>
      <c r="AD117" s="1147"/>
      <c r="AE117" s="1160"/>
      <c r="AF117" s="1160"/>
      <c r="AG117" s="1160"/>
    </row>
    <row r="118" spans="1:33" x14ac:dyDescent="0.3">
      <c r="A118" s="1143" t="s">
        <v>499</v>
      </c>
      <c r="B118" s="1144" t="s">
        <v>495</v>
      </c>
      <c r="C118" s="1146"/>
      <c r="D118" s="1146"/>
      <c r="E118" s="1159"/>
      <c r="F118" s="1149"/>
      <c r="G118" s="1149"/>
      <c r="H118" s="1149"/>
      <c r="I118" s="1149"/>
      <c r="J118" s="1149"/>
      <c r="K118" s="1149"/>
      <c r="L118" s="1149"/>
      <c r="M118" s="1149"/>
      <c r="N118" s="1149"/>
      <c r="O118" s="1149"/>
      <c r="P118" s="1149"/>
      <c r="Q118" s="1149"/>
      <c r="R118" s="1148"/>
      <c r="S118" s="1147"/>
      <c r="T118" s="1147"/>
      <c r="U118" s="1147"/>
      <c r="V118" s="1147"/>
      <c r="W118" s="1147"/>
      <c r="X118" s="1147"/>
      <c r="Y118" s="1147"/>
      <c r="Z118" s="1147"/>
      <c r="AA118" s="1147"/>
      <c r="AB118" s="1147"/>
      <c r="AC118" s="1147"/>
      <c r="AD118" s="1147"/>
      <c r="AE118" s="1160"/>
      <c r="AF118" s="1160"/>
      <c r="AG118" s="1160"/>
    </row>
    <row r="119" spans="1:33" x14ac:dyDescent="0.3">
      <c r="A119" s="1143" t="s">
        <v>499</v>
      </c>
      <c r="B119" s="1144" t="s">
        <v>496</v>
      </c>
      <c r="C119" s="1146"/>
      <c r="D119" s="1146"/>
      <c r="E119" s="1159"/>
      <c r="F119" s="1149"/>
      <c r="G119" s="1149"/>
      <c r="H119" s="1149"/>
      <c r="I119" s="1149"/>
      <c r="J119" s="1149"/>
      <c r="K119" s="1149"/>
      <c r="L119" s="1149"/>
      <c r="M119" s="1149"/>
      <c r="N119" s="1149"/>
      <c r="O119" s="1149"/>
      <c r="P119" s="1149"/>
      <c r="Q119" s="1149"/>
      <c r="R119" s="1149"/>
      <c r="S119" s="1148"/>
      <c r="T119" s="1147"/>
      <c r="U119" s="1147"/>
      <c r="V119" s="1147"/>
      <c r="W119" s="1147"/>
      <c r="X119" s="1147"/>
      <c r="Y119" s="1147"/>
      <c r="Z119" s="1147"/>
      <c r="AA119" s="1147"/>
      <c r="AB119" s="1147"/>
      <c r="AC119" s="1147"/>
      <c r="AD119" s="1147"/>
      <c r="AE119" s="1160"/>
      <c r="AF119" s="1160"/>
      <c r="AG119" s="1160"/>
    </row>
    <row r="120" spans="1:33" x14ac:dyDescent="0.3">
      <c r="A120" s="1143" t="s">
        <v>499</v>
      </c>
      <c r="B120" s="1144" t="s">
        <v>500</v>
      </c>
      <c r="C120" s="1146"/>
      <c r="D120" s="1146"/>
      <c r="E120" s="1162"/>
      <c r="F120" s="1149"/>
      <c r="G120" s="1149"/>
      <c r="H120" s="1149"/>
      <c r="I120" s="1149"/>
      <c r="J120" s="1149"/>
      <c r="K120" s="1149"/>
      <c r="L120" s="1149"/>
      <c r="M120" s="1149"/>
      <c r="N120" s="1149"/>
      <c r="O120" s="1149"/>
      <c r="P120" s="1149"/>
      <c r="Q120" s="1149"/>
      <c r="R120" s="1149"/>
      <c r="S120" s="1149"/>
      <c r="T120" s="1148"/>
      <c r="U120" s="1147"/>
      <c r="V120" s="1147"/>
      <c r="W120" s="1147"/>
      <c r="X120" s="1147"/>
      <c r="Y120" s="1147"/>
      <c r="Z120" s="1147"/>
      <c r="AA120" s="1147"/>
      <c r="AB120" s="1147"/>
      <c r="AC120" s="1147"/>
      <c r="AD120" s="1147"/>
      <c r="AE120" s="1160"/>
      <c r="AF120" s="1160"/>
      <c r="AG120" s="1160"/>
    </row>
    <row r="121" spans="1:33" x14ac:dyDescent="0.3">
      <c r="A121" s="1143" t="s">
        <v>499</v>
      </c>
      <c r="B121" s="1144" t="s">
        <v>501</v>
      </c>
      <c r="C121" s="1146"/>
      <c r="D121" s="1146"/>
      <c r="E121" s="1162"/>
      <c r="F121" s="1149"/>
      <c r="G121" s="1149"/>
      <c r="H121" s="1149"/>
      <c r="I121" s="1149"/>
      <c r="J121" s="1149"/>
      <c r="K121" s="1149"/>
      <c r="L121" s="1149"/>
      <c r="M121" s="1149"/>
      <c r="N121" s="1149"/>
      <c r="O121" s="1149"/>
      <c r="P121" s="1149"/>
      <c r="Q121" s="1149"/>
      <c r="R121" s="1149"/>
      <c r="S121" s="1149"/>
      <c r="T121" s="1149"/>
      <c r="U121" s="1148"/>
      <c r="V121" s="1147"/>
      <c r="W121" s="1147"/>
      <c r="X121" s="1147"/>
      <c r="Y121" s="1147"/>
      <c r="Z121" s="1147"/>
      <c r="AA121" s="1147"/>
      <c r="AB121" s="1147"/>
      <c r="AC121" s="1147"/>
      <c r="AD121" s="1147"/>
      <c r="AE121" s="1160"/>
      <c r="AF121" s="1160"/>
      <c r="AG121" s="1160"/>
    </row>
    <row r="122" spans="1:33" x14ac:dyDescent="0.3">
      <c r="A122" s="1143" t="s">
        <v>499</v>
      </c>
      <c r="B122" s="1144" t="s">
        <v>502</v>
      </c>
      <c r="C122" s="1146"/>
      <c r="D122" s="1146"/>
      <c r="E122" s="1162"/>
      <c r="F122" s="1149"/>
      <c r="G122" s="1149"/>
      <c r="H122" s="1149"/>
      <c r="I122" s="1149"/>
      <c r="J122" s="1149"/>
      <c r="K122" s="1149"/>
      <c r="L122" s="1149"/>
      <c r="M122" s="1149"/>
      <c r="N122" s="1149"/>
      <c r="O122" s="1149"/>
      <c r="P122" s="1149"/>
      <c r="Q122" s="1149"/>
      <c r="R122" s="1149"/>
      <c r="S122" s="1149"/>
      <c r="T122" s="1149"/>
      <c r="U122" s="1149"/>
      <c r="V122" s="1148"/>
      <c r="W122" s="1147"/>
      <c r="X122" s="1147"/>
      <c r="Y122" s="1147"/>
      <c r="Z122" s="1147"/>
      <c r="AA122" s="1147"/>
      <c r="AB122" s="1147"/>
      <c r="AC122" s="1147"/>
      <c r="AD122" s="1147"/>
      <c r="AE122" s="1160"/>
      <c r="AF122" s="1160"/>
      <c r="AG122" s="1160"/>
    </row>
    <row r="123" spans="1:33" x14ac:dyDescent="0.3">
      <c r="A123" s="1143" t="s">
        <v>499</v>
      </c>
      <c r="B123" s="1144" t="s">
        <v>512</v>
      </c>
      <c r="C123" s="1146"/>
      <c r="D123" s="1146"/>
      <c r="E123" s="1162"/>
      <c r="F123" s="1149"/>
      <c r="G123" s="1149"/>
      <c r="H123" s="1149"/>
      <c r="I123" s="1149"/>
      <c r="J123" s="1149"/>
      <c r="K123" s="1149"/>
      <c r="L123" s="1149"/>
      <c r="M123" s="1149"/>
      <c r="N123" s="1149"/>
      <c r="O123" s="1149"/>
      <c r="P123" s="1149"/>
      <c r="Q123" s="1149"/>
      <c r="R123" s="1149"/>
      <c r="S123" s="1149"/>
      <c r="T123" s="1149"/>
      <c r="U123" s="1149"/>
      <c r="V123" s="1149"/>
      <c r="W123" s="1148"/>
      <c r="X123" s="1147"/>
      <c r="Y123" s="1147"/>
      <c r="Z123" s="1147"/>
      <c r="AA123" s="1147"/>
      <c r="AB123" s="1147"/>
      <c r="AC123" s="1147"/>
      <c r="AD123" s="1147"/>
      <c r="AE123" s="1160"/>
      <c r="AF123" s="1160"/>
      <c r="AG123" s="1160"/>
    </row>
    <row r="124" spans="1:33" x14ac:dyDescent="0.3">
      <c r="A124" s="1143" t="s">
        <v>499</v>
      </c>
      <c r="B124" s="1144" t="s">
        <v>513</v>
      </c>
      <c r="C124" s="1146"/>
      <c r="D124" s="1146"/>
      <c r="E124" s="1162"/>
      <c r="F124" s="1149"/>
      <c r="G124" s="1149"/>
      <c r="H124" s="1149"/>
      <c r="I124" s="1149"/>
      <c r="J124" s="1149"/>
      <c r="K124" s="1149"/>
      <c r="L124" s="1149"/>
      <c r="M124" s="1149"/>
      <c r="N124" s="1149"/>
      <c r="O124" s="1149"/>
      <c r="P124" s="1149"/>
      <c r="Q124" s="1149"/>
      <c r="R124" s="1149"/>
      <c r="S124" s="1149"/>
      <c r="T124" s="1149"/>
      <c r="U124" s="1149"/>
      <c r="V124" s="1149"/>
      <c r="W124" s="1149"/>
      <c r="X124" s="1148"/>
      <c r="Y124" s="1147"/>
      <c r="Z124" s="1147"/>
      <c r="AA124" s="1147"/>
      <c r="AB124" s="1147"/>
      <c r="AC124" s="1147"/>
      <c r="AD124" s="1147"/>
      <c r="AE124" s="1160"/>
      <c r="AF124" s="1160"/>
      <c r="AG124" s="1160"/>
    </row>
    <row r="125" spans="1:33" x14ac:dyDescent="0.3">
      <c r="A125" s="1143" t="s">
        <v>499</v>
      </c>
      <c r="B125" s="1144" t="s">
        <v>514</v>
      </c>
      <c r="C125" s="1189">
        <f>'F5'!E20</f>
        <v>173.87986323491808</v>
      </c>
      <c r="D125" s="1146"/>
      <c r="E125" s="1162">
        <f>'F5'!O74</f>
        <v>3.3399999999999999E-2</v>
      </c>
      <c r="F125" s="1149"/>
      <c r="G125" s="1149"/>
      <c r="H125" s="1149"/>
      <c r="I125" s="1149"/>
      <c r="J125" s="1149"/>
      <c r="K125" s="1149"/>
      <c r="L125" s="1149"/>
      <c r="M125" s="1149"/>
      <c r="N125" s="1149"/>
      <c r="O125" s="1149"/>
      <c r="P125" s="1149"/>
      <c r="Q125" s="1149"/>
      <c r="R125" s="1149"/>
      <c r="S125" s="1149"/>
      <c r="T125" s="1149"/>
      <c r="U125" s="1149"/>
      <c r="V125" s="1149"/>
      <c r="W125" s="1149"/>
      <c r="X125" s="1149"/>
      <c r="Y125" s="1190">
        <f>$C125*$E125</f>
        <v>5.8075874320462635</v>
      </c>
      <c r="Z125" s="1190">
        <f t="shared" ref="Z125:AD130" si="8">$C125*$E125</f>
        <v>5.8075874320462635</v>
      </c>
      <c r="AA125" s="1190">
        <f t="shared" si="8"/>
        <v>5.8075874320462635</v>
      </c>
      <c r="AB125" s="1190">
        <f t="shared" si="8"/>
        <v>5.8075874320462635</v>
      </c>
      <c r="AC125" s="1190">
        <f t="shared" si="8"/>
        <v>5.8075874320462635</v>
      </c>
      <c r="AD125" s="1190">
        <f t="shared" si="8"/>
        <v>5.8075874320462635</v>
      </c>
      <c r="AE125" s="1160">
        <f>SUM(Y125:AD125)</f>
        <v>34.845524592277577</v>
      </c>
      <c r="AF125" s="1160"/>
      <c r="AG125" s="1160">
        <f>C125*0.9-AE125</f>
        <v>121.64635231914869</v>
      </c>
    </row>
    <row r="126" spans="1:33" x14ac:dyDescent="0.3">
      <c r="A126" s="1143" t="s">
        <v>499</v>
      </c>
      <c r="B126" s="1144" t="s">
        <v>914</v>
      </c>
      <c r="C126" s="1191">
        <f>'F5.1 (N)'!$E$20</f>
        <v>0</v>
      </c>
      <c r="D126" s="1146"/>
      <c r="E126" s="1162">
        <f>'F5.1 (N)'!$AC$48</f>
        <v>3.3399999999999999E-2</v>
      </c>
      <c r="F126" s="1149"/>
      <c r="G126" s="1149"/>
      <c r="H126" s="1149"/>
      <c r="I126" s="1149"/>
      <c r="J126" s="1149"/>
      <c r="K126" s="1149"/>
      <c r="L126" s="1149"/>
      <c r="M126" s="1149"/>
      <c r="N126" s="1149"/>
      <c r="O126" s="1149"/>
      <c r="P126" s="1149"/>
      <c r="Q126" s="1149"/>
      <c r="R126" s="1149"/>
      <c r="S126" s="1149"/>
      <c r="T126" s="1149"/>
      <c r="U126" s="1149"/>
      <c r="V126" s="1149"/>
      <c r="W126" s="1149"/>
      <c r="X126" s="1149"/>
      <c r="Y126" s="1149"/>
      <c r="Z126" s="1148">
        <f t="shared" si="8"/>
        <v>0</v>
      </c>
      <c r="AA126" s="1148">
        <f t="shared" si="8"/>
        <v>0</v>
      </c>
      <c r="AB126" s="1148">
        <f t="shared" si="8"/>
        <v>0</v>
      </c>
      <c r="AC126" s="1148">
        <f t="shared" si="8"/>
        <v>0</v>
      </c>
      <c r="AD126" s="1148">
        <f t="shared" si="8"/>
        <v>0</v>
      </c>
      <c r="AE126" s="1146">
        <f>SUM(Z126:AD126)</f>
        <v>0</v>
      </c>
      <c r="AF126" s="1146"/>
      <c r="AG126" s="1160">
        <f t="shared" ref="AG126:AG130" si="9">C126*0.9-AE126</f>
        <v>0</v>
      </c>
    </row>
    <row r="127" spans="1:33" x14ac:dyDescent="0.3">
      <c r="A127" s="1143" t="s">
        <v>499</v>
      </c>
      <c r="B127" s="1144" t="s">
        <v>915</v>
      </c>
      <c r="C127" s="1189">
        <f>'F5.1 (N)'!$J$20</f>
        <v>0</v>
      </c>
      <c r="D127" s="1146"/>
      <c r="E127" s="1162">
        <f>'F5.1 (N)'!$AC$48</f>
        <v>3.3399999999999999E-2</v>
      </c>
      <c r="F127" s="1149"/>
      <c r="G127" s="1149"/>
      <c r="H127" s="1149"/>
      <c r="I127" s="1149"/>
      <c r="J127" s="1149"/>
      <c r="K127" s="1149"/>
      <c r="L127" s="1149"/>
      <c r="M127" s="1149"/>
      <c r="N127" s="1149"/>
      <c r="O127" s="1149"/>
      <c r="P127" s="1149"/>
      <c r="Q127" s="1149"/>
      <c r="R127" s="1149"/>
      <c r="S127" s="1149"/>
      <c r="T127" s="1149"/>
      <c r="U127" s="1149"/>
      <c r="V127" s="1149"/>
      <c r="W127" s="1149"/>
      <c r="X127" s="1149"/>
      <c r="Y127" s="1149"/>
      <c r="Z127" s="1149"/>
      <c r="AA127" s="1148">
        <f t="shared" si="8"/>
        <v>0</v>
      </c>
      <c r="AB127" s="1148">
        <f t="shared" si="8"/>
        <v>0</v>
      </c>
      <c r="AC127" s="1148">
        <f t="shared" si="8"/>
        <v>0</v>
      </c>
      <c r="AD127" s="1148">
        <f t="shared" si="8"/>
        <v>0</v>
      </c>
      <c r="AE127" s="1146">
        <f>SUM(AA127:AD127)</f>
        <v>0</v>
      </c>
      <c r="AF127" s="1146"/>
      <c r="AG127" s="1160">
        <f t="shared" si="9"/>
        <v>0</v>
      </c>
    </row>
    <row r="128" spans="1:33" x14ac:dyDescent="0.3">
      <c r="A128" s="1143" t="s">
        <v>499</v>
      </c>
      <c r="B128" s="1144" t="s">
        <v>916</v>
      </c>
      <c r="C128" s="1189">
        <f>'F5.1 (N)'!$O$20</f>
        <v>0</v>
      </c>
      <c r="D128" s="1146"/>
      <c r="E128" s="1162">
        <f>'F5.1 (N)'!$AC$48</f>
        <v>3.3399999999999999E-2</v>
      </c>
      <c r="F128" s="1149"/>
      <c r="G128" s="1149"/>
      <c r="H128" s="1149"/>
      <c r="I128" s="1149"/>
      <c r="J128" s="1149"/>
      <c r="K128" s="1149"/>
      <c r="L128" s="1149"/>
      <c r="M128" s="1149"/>
      <c r="N128" s="1149"/>
      <c r="O128" s="1149"/>
      <c r="P128" s="1149"/>
      <c r="Q128" s="1149"/>
      <c r="R128" s="1149"/>
      <c r="S128" s="1149"/>
      <c r="T128" s="1149"/>
      <c r="U128" s="1149"/>
      <c r="V128" s="1149"/>
      <c r="W128" s="1149"/>
      <c r="X128" s="1149"/>
      <c r="Y128" s="1149"/>
      <c r="Z128" s="1149"/>
      <c r="AA128" s="1149"/>
      <c r="AB128" s="1148">
        <f t="shared" si="8"/>
        <v>0</v>
      </c>
      <c r="AC128" s="1148">
        <f t="shared" si="8"/>
        <v>0</v>
      </c>
      <c r="AD128" s="1148">
        <f t="shared" si="8"/>
        <v>0</v>
      </c>
      <c r="AE128" s="1146">
        <f>SUM(AB128:AD128)</f>
        <v>0</v>
      </c>
      <c r="AF128" s="1146"/>
      <c r="AG128" s="1160">
        <f t="shared" si="9"/>
        <v>0</v>
      </c>
    </row>
    <row r="129" spans="1:33" x14ac:dyDescent="0.3">
      <c r="A129" s="1143" t="s">
        <v>499</v>
      </c>
      <c r="B129" s="1144" t="s">
        <v>917</v>
      </c>
      <c r="C129" s="1189">
        <f>'F5.1 (N)'!$T$20</f>
        <v>0</v>
      </c>
      <c r="D129" s="1146"/>
      <c r="E129" s="1162">
        <f>'F5.1 (N)'!$AC$48</f>
        <v>3.3399999999999999E-2</v>
      </c>
      <c r="F129" s="1149"/>
      <c r="G129" s="1149"/>
      <c r="H129" s="1149"/>
      <c r="I129" s="1149"/>
      <c r="J129" s="1149"/>
      <c r="K129" s="1149"/>
      <c r="L129" s="1149"/>
      <c r="M129" s="1149"/>
      <c r="N129" s="1149"/>
      <c r="O129" s="1149"/>
      <c r="P129" s="1149"/>
      <c r="Q129" s="1149"/>
      <c r="R129" s="1149"/>
      <c r="S129" s="1149"/>
      <c r="T129" s="1149"/>
      <c r="U129" s="1149"/>
      <c r="V129" s="1149"/>
      <c r="W129" s="1149"/>
      <c r="X129" s="1149"/>
      <c r="Y129" s="1149"/>
      <c r="Z129" s="1149"/>
      <c r="AA129" s="1149"/>
      <c r="AB129" s="1149"/>
      <c r="AC129" s="1148">
        <f t="shared" si="8"/>
        <v>0</v>
      </c>
      <c r="AD129" s="1148">
        <f t="shared" si="8"/>
        <v>0</v>
      </c>
      <c r="AE129" s="1146">
        <f>SUM(AC129:AD129)</f>
        <v>0</v>
      </c>
      <c r="AF129" s="1146"/>
      <c r="AG129" s="1160">
        <f t="shared" si="9"/>
        <v>0</v>
      </c>
    </row>
    <row r="130" spans="1:33" x14ac:dyDescent="0.3">
      <c r="A130" s="1143" t="s">
        <v>499</v>
      </c>
      <c r="B130" s="1144" t="s">
        <v>918</v>
      </c>
      <c r="C130" s="1189">
        <f>'F5.1 (N)'!$Y$20</f>
        <v>0</v>
      </c>
      <c r="D130" s="1146"/>
      <c r="E130" s="1162">
        <f>'F5.1 (N)'!$AC$48</f>
        <v>3.3399999999999999E-2</v>
      </c>
      <c r="F130" s="1149"/>
      <c r="G130" s="1149"/>
      <c r="H130" s="1149"/>
      <c r="I130" s="1149"/>
      <c r="J130" s="1149"/>
      <c r="K130" s="1149"/>
      <c r="L130" s="1149"/>
      <c r="M130" s="1149"/>
      <c r="N130" s="1149"/>
      <c r="O130" s="1149"/>
      <c r="P130" s="1149"/>
      <c r="Q130" s="1149"/>
      <c r="R130" s="1149"/>
      <c r="S130" s="1149"/>
      <c r="T130" s="1149"/>
      <c r="U130" s="1149"/>
      <c r="V130" s="1149"/>
      <c r="W130" s="1149"/>
      <c r="X130" s="1149"/>
      <c r="Y130" s="1149"/>
      <c r="Z130" s="1149"/>
      <c r="AA130" s="1149"/>
      <c r="AB130" s="1149"/>
      <c r="AC130" s="1149"/>
      <c r="AD130" s="1148">
        <f t="shared" si="8"/>
        <v>0</v>
      </c>
      <c r="AE130" s="1146">
        <f>AD130</f>
        <v>0</v>
      </c>
      <c r="AF130" s="1146"/>
      <c r="AG130" s="1160">
        <f t="shared" si="9"/>
        <v>0</v>
      </c>
    </row>
    <row r="131" spans="1:33" x14ac:dyDescent="0.3">
      <c r="A131" s="1151"/>
      <c r="B131" s="1152" t="s">
        <v>267</v>
      </c>
      <c r="C131" s="1153"/>
      <c r="D131" s="1153"/>
      <c r="E131" s="1153"/>
      <c r="F131" s="1153"/>
      <c r="G131" s="1153"/>
      <c r="H131" s="1153"/>
      <c r="I131" s="1153"/>
      <c r="J131" s="1153"/>
      <c r="K131" s="1153"/>
      <c r="L131" s="1153"/>
      <c r="M131" s="1153"/>
      <c r="N131" s="1153"/>
      <c r="O131" s="1153"/>
      <c r="P131" s="1153"/>
      <c r="Q131" s="1153"/>
      <c r="R131" s="1153"/>
      <c r="S131" s="1153"/>
      <c r="T131" s="1153"/>
      <c r="U131" s="1153"/>
      <c r="V131" s="1153"/>
      <c r="W131" s="1153"/>
      <c r="X131" s="1153"/>
      <c r="Y131" s="1163">
        <f>SUM(Y125)</f>
        <v>5.8075874320462635</v>
      </c>
      <c r="Z131" s="1163">
        <f>SUM(Z125:Z126)</f>
        <v>5.8075874320462635</v>
      </c>
      <c r="AA131" s="1163">
        <f>SUM(AA125:AA127)</f>
        <v>5.8075874320462635</v>
      </c>
      <c r="AB131" s="1163">
        <f>SUM(AB125:AB128)</f>
        <v>5.8075874320462635</v>
      </c>
      <c r="AC131" s="1163">
        <f>SUM(AC125:AC129)</f>
        <v>5.8075874320462635</v>
      </c>
      <c r="AD131" s="1163">
        <f>SUM(AD125:AD130)</f>
        <v>5.8075874320462635</v>
      </c>
      <c r="AE131" s="1163">
        <f>SUM(AE125:AE130)</f>
        <v>34.845524592277577</v>
      </c>
      <c r="AF131" s="1163"/>
      <c r="AG131" s="1163">
        <f>SUM(AG125:AG130)</f>
        <v>121.64635231914869</v>
      </c>
    </row>
    <row r="132" spans="1:33" x14ac:dyDescent="0.3">
      <c r="C132" s="1165"/>
    </row>
    <row r="134" spans="1:33" x14ac:dyDescent="0.3">
      <c r="F134" s="1154"/>
    </row>
    <row r="135" spans="1:33" x14ac:dyDescent="0.3">
      <c r="B135" s="1138" t="s">
        <v>508</v>
      </c>
      <c r="F135" s="1139" t="s">
        <v>10</v>
      </c>
    </row>
    <row r="136" spans="1:33" ht="26.15" customHeight="1" x14ac:dyDescent="0.3">
      <c r="A136" s="1140"/>
      <c r="B136" s="1158" t="s">
        <v>398</v>
      </c>
      <c r="C136" s="1619" t="s">
        <v>481</v>
      </c>
      <c r="D136" s="1619" t="s">
        <v>482</v>
      </c>
      <c r="E136" s="1619" t="s">
        <v>545</v>
      </c>
      <c r="F136" s="1621" t="s">
        <v>546</v>
      </c>
      <c r="G136" s="1622"/>
      <c r="H136" s="1622"/>
      <c r="I136" s="1622"/>
      <c r="J136" s="1622"/>
      <c r="K136" s="1622"/>
      <c r="L136" s="1622"/>
      <c r="M136" s="1622"/>
      <c r="N136" s="1622"/>
      <c r="O136" s="1622"/>
      <c r="P136" s="1622"/>
      <c r="Q136" s="1622"/>
      <c r="R136" s="1622"/>
      <c r="S136" s="1622"/>
      <c r="T136" s="1622"/>
      <c r="U136" s="1622"/>
      <c r="V136" s="1622"/>
      <c r="W136" s="1622"/>
      <c r="X136" s="1622"/>
      <c r="Y136" s="1622"/>
      <c r="Z136" s="1622"/>
      <c r="AA136" s="1622"/>
      <c r="AB136" s="1622"/>
      <c r="AC136" s="1622"/>
      <c r="AD136" s="1623"/>
      <c r="AE136" s="1141" t="s">
        <v>504</v>
      </c>
      <c r="AF136" s="1141" t="s">
        <v>497</v>
      </c>
      <c r="AG136" s="1141" t="s">
        <v>505</v>
      </c>
    </row>
    <row r="137" spans="1:33" ht="13" customHeight="1" x14ac:dyDescent="0.3">
      <c r="A137" s="1140"/>
      <c r="B137" s="1158"/>
      <c r="C137" s="1620"/>
      <c r="D137" s="1620"/>
      <c r="E137" s="1620"/>
      <c r="F137" s="1142" t="s">
        <v>483</v>
      </c>
      <c r="G137" s="1142" t="s">
        <v>484</v>
      </c>
      <c r="H137" s="1142" t="s">
        <v>485</v>
      </c>
      <c r="I137" s="1142" t="s">
        <v>486</v>
      </c>
      <c r="J137" s="1142" t="s">
        <v>487</v>
      </c>
      <c r="K137" s="1142" t="s">
        <v>488</v>
      </c>
      <c r="L137" s="1142" t="s">
        <v>489</v>
      </c>
      <c r="M137" s="1142" t="s">
        <v>490</v>
      </c>
      <c r="N137" s="1142" t="s">
        <v>491</v>
      </c>
      <c r="O137" s="1142" t="s">
        <v>492</v>
      </c>
      <c r="P137" s="1142" t="s">
        <v>493</v>
      </c>
      <c r="Q137" s="1142" t="s">
        <v>494</v>
      </c>
      <c r="R137" s="1142" t="s">
        <v>495</v>
      </c>
      <c r="S137" s="1142" t="s">
        <v>496</v>
      </c>
      <c r="T137" s="1142" t="s">
        <v>314</v>
      </c>
      <c r="U137" s="1142" t="s">
        <v>473</v>
      </c>
      <c r="V137" s="1142" t="s">
        <v>474</v>
      </c>
      <c r="W137" s="1142" t="s">
        <v>475</v>
      </c>
      <c r="X137" s="1142" t="s">
        <v>476</v>
      </c>
      <c r="Y137" s="1142" t="s">
        <v>477</v>
      </c>
      <c r="Z137" s="1142" t="s">
        <v>849</v>
      </c>
      <c r="AA137" s="1142" t="s">
        <v>850</v>
      </c>
      <c r="AB137" s="1142" t="s">
        <v>851</v>
      </c>
      <c r="AC137" s="1142" t="s">
        <v>852</v>
      </c>
      <c r="AD137" s="1142" t="s">
        <v>853</v>
      </c>
      <c r="AE137" s="1141"/>
      <c r="AF137" s="1141"/>
      <c r="AG137" s="1141"/>
    </row>
    <row r="138" spans="1:33" x14ac:dyDescent="0.3">
      <c r="A138" s="1143" t="s">
        <v>498</v>
      </c>
      <c r="B138" s="1144">
        <v>2005</v>
      </c>
      <c r="C138" s="1143"/>
      <c r="D138" s="1143"/>
      <c r="E138" s="1159"/>
      <c r="F138" s="1147"/>
      <c r="G138" s="1147"/>
      <c r="H138" s="1147"/>
      <c r="I138" s="1147"/>
      <c r="J138" s="1147"/>
      <c r="K138" s="1147"/>
      <c r="L138" s="1147"/>
      <c r="M138" s="1147"/>
      <c r="N138" s="1147"/>
      <c r="O138" s="1147"/>
      <c r="P138" s="1147"/>
      <c r="Q138" s="1147"/>
      <c r="R138" s="1147"/>
      <c r="S138" s="1147"/>
      <c r="T138" s="1147"/>
      <c r="U138" s="1147"/>
      <c r="V138" s="1147"/>
      <c r="W138" s="1147"/>
      <c r="X138" s="1147"/>
      <c r="Y138" s="1147"/>
      <c r="Z138" s="1147"/>
      <c r="AA138" s="1147"/>
      <c r="AB138" s="1147"/>
      <c r="AC138" s="1147"/>
      <c r="AD138" s="1147"/>
      <c r="AE138" s="1160"/>
      <c r="AF138" s="1160"/>
      <c r="AG138" s="1160"/>
    </row>
    <row r="139" spans="1:33" x14ac:dyDescent="0.3">
      <c r="A139" s="1143" t="s">
        <v>499</v>
      </c>
      <c r="B139" s="1144" t="s">
        <v>483</v>
      </c>
      <c r="C139" s="1143"/>
      <c r="D139" s="1143"/>
      <c r="E139" s="1159"/>
      <c r="F139" s="1148"/>
      <c r="G139" s="1147"/>
      <c r="H139" s="1147"/>
      <c r="I139" s="1147"/>
      <c r="J139" s="1147"/>
      <c r="K139" s="1147"/>
      <c r="L139" s="1147"/>
      <c r="M139" s="1147"/>
      <c r="N139" s="1147"/>
      <c r="O139" s="1147"/>
      <c r="P139" s="1147"/>
      <c r="Q139" s="1147"/>
      <c r="R139" s="1147"/>
      <c r="S139" s="1147"/>
      <c r="T139" s="1147"/>
      <c r="U139" s="1147"/>
      <c r="V139" s="1147"/>
      <c r="W139" s="1147"/>
      <c r="X139" s="1147"/>
      <c r="Y139" s="1147"/>
      <c r="Z139" s="1147"/>
      <c r="AA139" s="1147"/>
      <c r="AB139" s="1147"/>
      <c r="AC139" s="1147"/>
      <c r="AD139" s="1147"/>
      <c r="AE139" s="1160"/>
      <c r="AF139" s="1160"/>
      <c r="AG139" s="1160"/>
    </row>
    <row r="140" spans="1:33" x14ac:dyDescent="0.3">
      <c r="A140" s="1143" t="s">
        <v>499</v>
      </c>
      <c r="B140" s="1144" t="s">
        <v>484</v>
      </c>
      <c r="C140" s="1143"/>
      <c r="D140" s="1143"/>
      <c r="E140" s="1159"/>
      <c r="F140" s="1149"/>
      <c r="G140" s="1148"/>
      <c r="H140" s="1147"/>
      <c r="I140" s="1147"/>
      <c r="J140" s="1147"/>
      <c r="K140" s="1147"/>
      <c r="L140" s="1147"/>
      <c r="M140" s="1147"/>
      <c r="N140" s="1147"/>
      <c r="O140" s="1147"/>
      <c r="P140" s="1147"/>
      <c r="Q140" s="1147"/>
      <c r="R140" s="1147"/>
      <c r="S140" s="1147"/>
      <c r="T140" s="1147"/>
      <c r="U140" s="1147"/>
      <c r="V140" s="1147"/>
      <c r="W140" s="1147"/>
      <c r="X140" s="1147"/>
      <c r="Y140" s="1147"/>
      <c r="Z140" s="1147"/>
      <c r="AA140" s="1147"/>
      <c r="AB140" s="1147"/>
      <c r="AC140" s="1147"/>
      <c r="AD140" s="1147"/>
      <c r="AE140" s="1160"/>
      <c r="AF140" s="1160"/>
      <c r="AG140" s="1160"/>
    </row>
    <row r="141" spans="1:33" x14ac:dyDescent="0.3">
      <c r="A141" s="1143" t="s">
        <v>499</v>
      </c>
      <c r="B141" s="1144" t="s">
        <v>485</v>
      </c>
      <c r="C141" s="1143"/>
      <c r="D141" s="1143"/>
      <c r="E141" s="1159"/>
      <c r="F141" s="1149"/>
      <c r="G141" s="1149"/>
      <c r="H141" s="1148"/>
      <c r="I141" s="1147"/>
      <c r="J141" s="1147"/>
      <c r="K141" s="1147"/>
      <c r="L141" s="1147"/>
      <c r="M141" s="1147"/>
      <c r="N141" s="1147"/>
      <c r="O141" s="1147"/>
      <c r="P141" s="1147"/>
      <c r="Q141" s="1147"/>
      <c r="R141" s="1147"/>
      <c r="S141" s="1147"/>
      <c r="T141" s="1147"/>
      <c r="U141" s="1147"/>
      <c r="V141" s="1147"/>
      <c r="W141" s="1147"/>
      <c r="X141" s="1147"/>
      <c r="Y141" s="1147"/>
      <c r="Z141" s="1147"/>
      <c r="AA141" s="1147"/>
      <c r="AB141" s="1147"/>
      <c r="AC141" s="1147"/>
      <c r="AD141" s="1147"/>
      <c r="AE141" s="1160"/>
      <c r="AF141" s="1160"/>
      <c r="AG141" s="1160"/>
    </row>
    <row r="142" spans="1:33" x14ac:dyDescent="0.3">
      <c r="A142" s="1143" t="s">
        <v>499</v>
      </c>
      <c r="B142" s="1144" t="s">
        <v>486</v>
      </c>
      <c r="C142" s="1143"/>
      <c r="D142" s="1143"/>
      <c r="E142" s="1159"/>
      <c r="F142" s="1149"/>
      <c r="G142" s="1149"/>
      <c r="H142" s="1149"/>
      <c r="I142" s="1148"/>
      <c r="J142" s="1147"/>
      <c r="K142" s="1147"/>
      <c r="L142" s="1147"/>
      <c r="M142" s="1147"/>
      <c r="N142" s="1147"/>
      <c r="O142" s="1147"/>
      <c r="P142" s="1147"/>
      <c r="Q142" s="1147"/>
      <c r="R142" s="1147"/>
      <c r="S142" s="1147"/>
      <c r="T142" s="1147"/>
      <c r="U142" s="1147"/>
      <c r="V142" s="1147"/>
      <c r="W142" s="1147"/>
      <c r="X142" s="1147"/>
      <c r="Y142" s="1147"/>
      <c r="Z142" s="1147"/>
      <c r="AA142" s="1147"/>
      <c r="AB142" s="1147"/>
      <c r="AC142" s="1147"/>
      <c r="AD142" s="1147"/>
      <c r="AE142" s="1160"/>
      <c r="AF142" s="1160"/>
      <c r="AG142" s="1160"/>
    </row>
    <row r="143" spans="1:33" x14ac:dyDescent="0.3">
      <c r="A143" s="1143" t="s">
        <v>499</v>
      </c>
      <c r="B143" s="1144" t="s">
        <v>487</v>
      </c>
      <c r="C143" s="1143"/>
      <c r="D143" s="1143"/>
      <c r="E143" s="1159"/>
      <c r="F143" s="1149"/>
      <c r="G143" s="1149"/>
      <c r="H143" s="1149"/>
      <c r="I143" s="1149"/>
      <c r="J143" s="1148"/>
      <c r="K143" s="1147"/>
      <c r="L143" s="1147"/>
      <c r="M143" s="1147"/>
      <c r="N143" s="1147"/>
      <c r="O143" s="1147"/>
      <c r="P143" s="1147"/>
      <c r="Q143" s="1147"/>
      <c r="R143" s="1147"/>
      <c r="S143" s="1147"/>
      <c r="T143" s="1147"/>
      <c r="U143" s="1147"/>
      <c r="V143" s="1147"/>
      <c r="W143" s="1147"/>
      <c r="X143" s="1147"/>
      <c r="Y143" s="1147"/>
      <c r="Z143" s="1147"/>
      <c r="AA143" s="1147"/>
      <c r="AB143" s="1147"/>
      <c r="AC143" s="1147"/>
      <c r="AD143" s="1147"/>
      <c r="AE143" s="1160"/>
      <c r="AF143" s="1160"/>
      <c r="AG143" s="1160"/>
    </row>
    <row r="144" spans="1:33" x14ac:dyDescent="0.3">
      <c r="A144" s="1143" t="s">
        <v>499</v>
      </c>
      <c r="B144" s="1144" t="s">
        <v>488</v>
      </c>
      <c r="C144" s="1143"/>
      <c r="D144" s="1143"/>
      <c r="E144" s="1159"/>
      <c r="F144" s="1149"/>
      <c r="G144" s="1149"/>
      <c r="H144" s="1149"/>
      <c r="I144" s="1149"/>
      <c r="J144" s="1149"/>
      <c r="K144" s="1148"/>
      <c r="L144" s="1147"/>
      <c r="M144" s="1147"/>
      <c r="N144" s="1147"/>
      <c r="O144" s="1147"/>
      <c r="P144" s="1147"/>
      <c r="Q144" s="1147"/>
      <c r="R144" s="1147"/>
      <c r="S144" s="1147"/>
      <c r="T144" s="1147"/>
      <c r="U144" s="1147"/>
      <c r="V144" s="1147"/>
      <c r="W144" s="1147"/>
      <c r="X144" s="1147"/>
      <c r="Y144" s="1147"/>
      <c r="Z144" s="1147"/>
      <c r="AA144" s="1147"/>
      <c r="AB144" s="1147"/>
      <c r="AC144" s="1147"/>
      <c r="AD144" s="1147"/>
      <c r="AE144" s="1160"/>
      <c r="AF144" s="1160"/>
      <c r="AG144" s="1160"/>
    </row>
    <row r="145" spans="1:33" x14ac:dyDescent="0.3">
      <c r="A145" s="1143" t="s">
        <v>499</v>
      </c>
      <c r="B145" s="1144" t="s">
        <v>489</v>
      </c>
      <c r="C145" s="1143"/>
      <c r="D145" s="1143"/>
      <c r="E145" s="1159"/>
      <c r="F145" s="1149"/>
      <c r="G145" s="1149"/>
      <c r="H145" s="1149"/>
      <c r="I145" s="1149"/>
      <c r="J145" s="1149"/>
      <c r="K145" s="1149"/>
      <c r="L145" s="1148"/>
      <c r="M145" s="1147"/>
      <c r="N145" s="1147"/>
      <c r="O145" s="1147"/>
      <c r="P145" s="1147"/>
      <c r="Q145" s="1147"/>
      <c r="R145" s="1147"/>
      <c r="S145" s="1147"/>
      <c r="T145" s="1147"/>
      <c r="U145" s="1147"/>
      <c r="V145" s="1147"/>
      <c r="W145" s="1147"/>
      <c r="X145" s="1147"/>
      <c r="Y145" s="1147"/>
      <c r="Z145" s="1147"/>
      <c r="AA145" s="1147"/>
      <c r="AB145" s="1147"/>
      <c r="AC145" s="1147"/>
      <c r="AD145" s="1147"/>
      <c r="AE145" s="1160"/>
      <c r="AF145" s="1160"/>
      <c r="AG145" s="1160"/>
    </row>
    <row r="146" spans="1:33" x14ac:dyDescent="0.3">
      <c r="A146" s="1143" t="s">
        <v>499</v>
      </c>
      <c r="B146" s="1144" t="s">
        <v>490</v>
      </c>
      <c r="C146" s="1143"/>
      <c r="D146" s="1143"/>
      <c r="E146" s="1159"/>
      <c r="F146" s="1149"/>
      <c r="G146" s="1149"/>
      <c r="H146" s="1149"/>
      <c r="I146" s="1149"/>
      <c r="J146" s="1149"/>
      <c r="K146" s="1149"/>
      <c r="L146" s="1149"/>
      <c r="M146" s="1148"/>
      <c r="N146" s="1147"/>
      <c r="O146" s="1147"/>
      <c r="P146" s="1147"/>
      <c r="Q146" s="1147"/>
      <c r="R146" s="1147"/>
      <c r="S146" s="1147"/>
      <c r="T146" s="1147"/>
      <c r="U146" s="1147"/>
      <c r="V146" s="1147"/>
      <c r="W146" s="1147"/>
      <c r="X146" s="1147"/>
      <c r="Y146" s="1147"/>
      <c r="Z146" s="1147"/>
      <c r="AA146" s="1147"/>
      <c r="AB146" s="1147"/>
      <c r="AC146" s="1147"/>
      <c r="AD146" s="1147"/>
      <c r="AE146" s="1160"/>
      <c r="AF146" s="1160"/>
      <c r="AG146" s="1160"/>
    </row>
    <row r="147" spans="1:33" x14ac:dyDescent="0.3">
      <c r="A147" s="1143" t="s">
        <v>499</v>
      </c>
      <c r="B147" s="1144" t="s">
        <v>491</v>
      </c>
      <c r="C147" s="1143"/>
      <c r="D147" s="1143"/>
      <c r="E147" s="1159"/>
      <c r="F147" s="1149"/>
      <c r="G147" s="1149"/>
      <c r="H147" s="1149"/>
      <c r="I147" s="1149"/>
      <c r="J147" s="1149"/>
      <c r="K147" s="1149"/>
      <c r="L147" s="1149"/>
      <c r="M147" s="1149"/>
      <c r="N147" s="1148"/>
      <c r="O147" s="1147"/>
      <c r="P147" s="1147"/>
      <c r="Q147" s="1147"/>
      <c r="R147" s="1147"/>
      <c r="S147" s="1147"/>
      <c r="T147" s="1147"/>
      <c r="U147" s="1147"/>
      <c r="V147" s="1147"/>
      <c r="W147" s="1147"/>
      <c r="X147" s="1147"/>
      <c r="Y147" s="1147"/>
      <c r="Z147" s="1147"/>
      <c r="AA147" s="1147"/>
      <c r="AB147" s="1147"/>
      <c r="AC147" s="1147"/>
      <c r="AD147" s="1147"/>
      <c r="AE147" s="1160"/>
      <c r="AF147" s="1160"/>
      <c r="AG147" s="1160"/>
    </row>
    <row r="148" spans="1:33" x14ac:dyDescent="0.3">
      <c r="A148" s="1143" t="s">
        <v>499</v>
      </c>
      <c r="B148" s="1144" t="s">
        <v>492</v>
      </c>
      <c r="C148" s="1146"/>
      <c r="D148" s="1143"/>
      <c r="E148" s="1159"/>
      <c r="F148" s="1149"/>
      <c r="G148" s="1149"/>
      <c r="H148" s="1149"/>
      <c r="I148" s="1149"/>
      <c r="J148" s="1149"/>
      <c r="K148" s="1149"/>
      <c r="L148" s="1149"/>
      <c r="M148" s="1149"/>
      <c r="N148" s="1149"/>
      <c r="O148" s="1148"/>
      <c r="P148" s="1147"/>
      <c r="Q148" s="1147"/>
      <c r="R148" s="1147"/>
      <c r="S148" s="1147"/>
      <c r="T148" s="1147"/>
      <c r="U148" s="1147"/>
      <c r="V148" s="1147"/>
      <c r="W148" s="1147"/>
      <c r="X148" s="1147"/>
      <c r="Y148" s="1147"/>
      <c r="Z148" s="1147"/>
      <c r="AA148" s="1147"/>
      <c r="AB148" s="1147"/>
      <c r="AC148" s="1147"/>
      <c r="AD148" s="1147"/>
      <c r="AE148" s="1160"/>
      <c r="AF148" s="1160"/>
      <c r="AG148" s="1160"/>
    </row>
    <row r="149" spans="1:33" x14ac:dyDescent="0.3">
      <c r="A149" s="1143" t="s">
        <v>499</v>
      </c>
      <c r="B149" s="1144" t="s">
        <v>493</v>
      </c>
      <c r="C149" s="1146"/>
      <c r="D149" s="1143"/>
      <c r="E149" s="1159"/>
      <c r="F149" s="1149"/>
      <c r="G149" s="1149"/>
      <c r="H149" s="1149"/>
      <c r="I149" s="1149"/>
      <c r="J149" s="1149"/>
      <c r="K149" s="1149"/>
      <c r="L149" s="1149"/>
      <c r="M149" s="1149"/>
      <c r="N149" s="1149"/>
      <c r="O149" s="1149"/>
      <c r="P149" s="1148"/>
      <c r="Q149" s="1147"/>
      <c r="R149" s="1147"/>
      <c r="S149" s="1147"/>
      <c r="T149" s="1147"/>
      <c r="U149" s="1147"/>
      <c r="V149" s="1147"/>
      <c r="W149" s="1147"/>
      <c r="X149" s="1147"/>
      <c r="Y149" s="1147"/>
      <c r="Z149" s="1147"/>
      <c r="AA149" s="1147"/>
      <c r="AB149" s="1147"/>
      <c r="AC149" s="1147"/>
      <c r="AD149" s="1147"/>
      <c r="AE149" s="1160"/>
      <c r="AF149" s="1160"/>
      <c r="AG149" s="1160"/>
    </row>
    <row r="150" spans="1:33" x14ac:dyDescent="0.3">
      <c r="A150" s="1143" t="s">
        <v>499</v>
      </c>
      <c r="B150" s="1144" t="s">
        <v>494</v>
      </c>
      <c r="C150" s="1146"/>
      <c r="D150" s="1146"/>
      <c r="E150" s="1159"/>
      <c r="F150" s="1149"/>
      <c r="G150" s="1149"/>
      <c r="H150" s="1149"/>
      <c r="I150" s="1149"/>
      <c r="J150" s="1149"/>
      <c r="K150" s="1149"/>
      <c r="L150" s="1149"/>
      <c r="M150" s="1149"/>
      <c r="N150" s="1149"/>
      <c r="O150" s="1149"/>
      <c r="P150" s="1149"/>
      <c r="Q150" s="1148"/>
      <c r="R150" s="1147"/>
      <c r="S150" s="1147"/>
      <c r="T150" s="1147"/>
      <c r="U150" s="1147"/>
      <c r="V150" s="1147"/>
      <c r="W150" s="1147"/>
      <c r="X150" s="1147"/>
      <c r="Y150" s="1147"/>
      <c r="Z150" s="1147"/>
      <c r="AA150" s="1147"/>
      <c r="AB150" s="1147"/>
      <c r="AC150" s="1147"/>
      <c r="AD150" s="1147"/>
      <c r="AE150" s="1160"/>
      <c r="AF150" s="1160"/>
      <c r="AG150" s="1160"/>
    </row>
    <row r="151" spans="1:33" x14ac:dyDescent="0.3">
      <c r="A151" s="1143" t="s">
        <v>499</v>
      </c>
      <c r="B151" s="1144" t="s">
        <v>495</v>
      </c>
      <c r="C151" s="1146"/>
      <c r="D151" s="1146"/>
      <c r="E151" s="1159"/>
      <c r="F151" s="1149"/>
      <c r="G151" s="1149"/>
      <c r="H151" s="1149"/>
      <c r="I151" s="1149"/>
      <c r="J151" s="1149"/>
      <c r="K151" s="1149"/>
      <c r="L151" s="1149"/>
      <c r="M151" s="1149"/>
      <c r="N151" s="1149"/>
      <c r="O151" s="1149"/>
      <c r="P151" s="1149"/>
      <c r="Q151" s="1149"/>
      <c r="R151" s="1148"/>
      <c r="S151" s="1147"/>
      <c r="T151" s="1147"/>
      <c r="U151" s="1147"/>
      <c r="V151" s="1147"/>
      <c r="W151" s="1147"/>
      <c r="X151" s="1147"/>
      <c r="Y151" s="1147"/>
      <c r="Z151" s="1147"/>
      <c r="AA151" s="1147"/>
      <c r="AB151" s="1147"/>
      <c r="AC151" s="1147"/>
      <c r="AD151" s="1147"/>
      <c r="AE151" s="1160"/>
      <c r="AF151" s="1160"/>
      <c r="AG151" s="1160"/>
    </row>
    <row r="152" spans="1:33" x14ac:dyDescent="0.3">
      <c r="A152" s="1143" t="s">
        <v>499</v>
      </c>
      <c r="B152" s="1144" t="s">
        <v>496</v>
      </c>
      <c r="C152" s="1146"/>
      <c r="D152" s="1146"/>
      <c r="E152" s="1159"/>
      <c r="F152" s="1149"/>
      <c r="G152" s="1149"/>
      <c r="H152" s="1149"/>
      <c r="I152" s="1149"/>
      <c r="J152" s="1149"/>
      <c r="K152" s="1149"/>
      <c r="L152" s="1149"/>
      <c r="M152" s="1149"/>
      <c r="N152" s="1149"/>
      <c r="O152" s="1149"/>
      <c r="P152" s="1149"/>
      <c r="Q152" s="1149"/>
      <c r="R152" s="1149"/>
      <c r="S152" s="1148"/>
      <c r="T152" s="1147"/>
      <c r="U152" s="1147"/>
      <c r="V152" s="1147"/>
      <c r="W152" s="1147"/>
      <c r="X152" s="1147"/>
      <c r="Y152" s="1147"/>
      <c r="Z152" s="1147"/>
      <c r="AA152" s="1147"/>
      <c r="AB152" s="1147"/>
      <c r="AC152" s="1147"/>
      <c r="AD152" s="1147"/>
      <c r="AE152" s="1160"/>
      <c r="AF152" s="1160"/>
      <c r="AG152" s="1160"/>
    </row>
    <row r="153" spans="1:33" x14ac:dyDescent="0.3">
      <c r="A153" s="1143" t="s">
        <v>499</v>
      </c>
      <c r="B153" s="1144" t="s">
        <v>500</v>
      </c>
      <c r="C153" s="1146"/>
      <c r="D153" s="1146"/>
      <c r="E153" s="1162"/>
      <c r="F153" s="1149"/>
      <c r="G153" s="1149"/>
      <c r="H153" s="1149"/>
      <c r="I153" s="1149"/>
      <c r="J153" s="1149"/>
      <c r="K153" s="1149"/>
      <c r="L153" s="1149"/>
      <c r="M153" s="1149"/>
      <c r="N153" s="1149"/>
      <c r="O153" s="1149"/>
      <c r="P153" s="1149"/>
      <c r="Q153" s="1149"/>
      <c r="R153" s="1149"/>
      <c r="S153" s="1149"/>
      <c r="T153" s="1148"/>
      <c r="U153" s="1147"/>
      <c r="V153" s="1147"/>
      <c r="W153" s="1147"/>
      <c r="X153" s="1147"/>
      <c r="Y153" s="1147"/>
      <c r="Z153" s="1147"/>
      <c r="AA153" s="1147"/>
      <c r="AB153" s="1147"/>
      <c r="AC153" s="1147"/>
      <c r="AD153" s="1147"/>
      <c r="AE153" s="1160"/>
      <c r="AF153" s="1160"/>
      <c r="AG153" s="1160"/>
    </row>
    <row r="154" spans="1:33" x14ac:dyDescent="0.3">
      <c r="A154" s="1143" t="s">
        <v>499</v>
      </c>
      <c r="B154" s="1144" t="s">
        <v>501</v>
      </c>
      <c r="C154" s="1146"/>
      <c r="D154" s="1146"/>
      <c r="E154" s="1162"/>
      <c r="F154" s="1149"/>
      <c r="G154" s="1149"/>
      <c r="H154" s="1149"/>
      <c r="I154" s="1149"/>
      <c r="J154" s="1149"/>
      <c r="K154" s="1149"/>
      <c r="L154" s="1149"/>
      <c r="M154" s="1149"/>
      <c r="N154" s="1149"/>
      <c r="O154" s="1149"/>
      <c r="P154" s="1149"/>
      <c r="Q154" s="1149"/>
      <c r="R154" s="1149"/>
      <c r="S154" s="1149"/>
      <c r="T154" s="1149"/>
      <c r="U154" s="1148"/>
      <c r="V154" s="1147"/>
      <c r="W154" s="1147"/>
      <c r="X154" s="1147"/>
      <c r="Y154" s="1147"/>
      <c r="Z154" s="1147"/>
      <c r="AA154" s="1147"/>
      <c r="AB154" s="1147"/>
      <c r="AC154" s="1147"/>
      <c r="AD154" s="1147"/>
      <c r="AE154" s="1160"/>
      <c r="AF154" s="1160"/>
      <c r="AG154" s="1160"/>
    </row>
    <row r="155" spans="1:33" x14ac:dyDescent="0.3">
      <c r="A155" s="1143" t="s">
        <v>499</v>
      </c>
      <c r="B155" s="1144" t="s">
        <v>502</v>
      </c>
      <c r="C155" s="1146"/>
      <c r="D155" s="1146"/>
      <c r="E155" s="1162"/>
      <c r="F155" s="1149"/>
      <c r="G155" s="1149"/>
      <c r="H155" s="1149"/>
      <c r="I155" s="1149"/>
      <c r="J155" s="1149"/>
      <c r="K155" s="1149"/>
      <c r="L155" s="1149"/>
      <c r="M155" s="1149"/>
      <c r="N155" s="1149"/>
      <c r="O155" s="1149"/>
      <c r="P155" s="1149"/>
      <c r="Q155" s="1149"/>
      <c r="R155" s="1149"/>
      <c r="S155" s="1149"/>
      <c r="T155" s="1149"/>
      <c r="U155" s="1149"/>
      <c r="V155" s="1148"/>
      <c r="W155" s="1147"/>
      <c r="X155" s="1147"/>
      <c r="Y155" s="1147"/>
      <c r="Z155" s="1147"/>
      <c r="AA155" s="1147"/>
      <c r="AB155" s="1147"/>
      <c r="AC155" s="1147"/>
      <c r="AD155" s="1147"/>
      <c r="AE155" s="1160"/>
      <c r="AF155" s="1160"/>
      <c r="AG155" s="1160"/>
    </row>
    <row r="156" spans="1:33" x14ac:dyDescent="0.3">
      <c r="A156" s="1143" t="s">
        <v>499</v>
      </c>
      <c r="B156" s="1144" t="s">
        <v>512</v>
      </c>
      <c r="C156" s="1146"/>
      <c r="D156" s="1146"/>
      <c r="E156" s="1162"/>
      <c r="F156" s="1149"/>
      <c r="G156" s="1149"/>
      <c r="H156" s="1149"/>
      <c r="I156" s="1149"/>
      <c r="J156" s="1149"/>
      <c r="K156" s="1149"/>
      <c r="L156" s="1149"/>
      <c r="M156" s="1149"/>
      <c r="N156" s="1149"/>
      <c r="O156" s="1149"/>
      <c r="P156" s="1149"/>
      <c r="Q156" s="1149"/>
      <c r="R156" s="1149"/>
      <c r="S156" s="1149"/>
      <c r="T156" s="1149"/>
      <c r="U156" s="1149"/>
      <c r="V156" s="1149"/>
      <c r="W156" s="1148"/>
      <c r="X156" s="1147"/>
      <c r="Y156" s="1147"/>
      <c r="Z156" s="1147"/>
      <c r="AA156" s="1147"/>
      <c r="AB156" s="1147"/>
      <c r="AC156" s="1147"/>
      <c r="AD156" s="1147"/>
      <c r="AE156" s="1160"/>
      <c r="AF156" s="1160"/>
      <c r="AG156" s="1160"/>
    </row>
    <row r="157" spans="1:33" x14ac:dyDescent="0.3">
      <c r="A157" s="1143" t="s">
        <v>499</v>
      </c>
      <c r="B157" s="1144" t="s">
        <v>513</v>
      </c>
      <c r="C157" s="1146"/>
      <c r="D157" s="1146"/>
      <c r="E157" s="1162"/>
      <c r="F157" s="1149"/>
      <c r="G157" s="1149"/>
      <c r="H157" s="1149"/>
      <c r="I157" s="1149"/>
      <c r="J157" s="1149"/>
      <c r="K157" s="1149"/>
      <c r="L157" s="1149"/>
      <c r="M157" s="1149"/>
      <c r="N157" s="1149"/>
      <c r="O157" s="1149"/>
      <c r="P157" s="1149"/>
      <c r="Q157" s="1149"/>
      <c r="R157" s="1149"/>
      <c r="S157" s="1149"/>
      <c r="T157" s="1149"/>
      <c r="U157" s="1149"/>
      <c r="V157" s="1149"/>
      <c r="W157" s="1149"/>
      <c r="X157" s="1148"/>
      <c r="Y157" s="1147"/>
      <c r="Z157" s="1147"/>
      <c r="AA157" s="1147"/>
      <c r="AB157" s="1147"/>
      <c r="AC157" s="1147"/>
      <c r="AD157" s="1147"/>
      <c r="AE157" s="1160"/>
      <c r="AF157" s="1160"/>
      <c r="AG157" s="1160"/>
    </row>
    <row r="158" spans="1:33" x14ac:dyDescent="0.3">
      <c r="A158" s="1143" t="s">
        <v>499</v>
      </c>
      <c r="B158" s="1144" t="s">
        <v>514</v>
      </c>
      <c r="C158" s="1189">
        <f>'F5'!E21</f>
        <v>5424.9950601549072</v>
      </c>
      <c r="D158" s="1146"/>
      <c r="E158" s="1162">
        <f>'F5'!O75</f>
        <v>5.28E-2</v>
      </c>
      <c r="F158" s="1149"/>
      <c r="G158" s="1149"/>
      <c r="H158" s="1149"/>
      <c r="I158" s="1149"/>
      <c r="J158" s="1149"/>
      <c r="K158" s="1149"/>
      <c r="L158" s="1149"/>
      <c r="M158" s="1149"/>
      <c r="N158" s="1149"/>
      <c r="O158" s="1149"/>
      <c r="P158" s="1149"/>
      <c r="Q158" s="1149"/>
      <c r="R158" s="1149"/>
      <c r="S158" s="1149"/>
      <c r="T158" s="1149"/>
      <c r="U158" s="1149"/>
      <c r="V158" s="1149"/>
      <c r="W158" s="1149"/>
      <c r="X158" s="1149"/>
      <c r="Y158" s="1190">
        <f>$C158*$E158</f>
        <v>286.4397391761791</v>
      </c>
      <c r="Z158" s="1190">
        <f t="shared" ref="Z158:AD163" si="10">$C158*$E158</f>
        <v>286.4397391761791</v>
      </c>
      <c r="AA158" s="1190">
        <f t="shared" si="10"/>
        <v>286.4397391761791</v>
      </c>
      <c r="AB158" s="1190">
        <f t="shared" si="10"/>
        <v>286.4397391761791</v>
      </c>
      <c r="AC158" s="1190">
        <f t="shared" si="10"/>
        <v>286.4397391761791</v>
      </c>
      <c r="AD158" s="1190">
        <f t="shared" si="10"/>
        <v>286.4397391761791</v>
      </c>
      <c r="AE158" s="1192">
        <f>SUM(Y158:AD158)</f>
        <v>1718.6384350570745</v>
      </c>
      <c r="AF158" s="1160"/>
      <c r="AG158" s="1160">
        <f>C158*0.9-AE158</f>
        <v>3163.8571190823423</v>
      </c>
    </row>
    <row r="159" spans="1:33" x14ac:dyDescent="0.3">
      <c r="A159" s="1143" t="s">
        <v>499</v>
      </c>
      <c r="B159" s="1144" t="s">
        <v>914</v>
      </c>
      <c r="C159" s="1191">
        <f>'F5.1 (N)'!$E$21</f>
        <v>238.01730123408606</v>
      </c>
      <c r="D159" s="1146"/>
      <c r="E159" s="1162">
        <f>'F5.1 (N)'!$AC$49</f>
        <v>4.2200000000000001E-2</v>
      </c>
      <c r="F159" s="1149"/>
      <c r="G159" s="1149"/>
      <c r="H159" s="1149"/>
      <c r="I159" s="1149"/>
      <c r="J159" s="1149"/>
      <c r="K159" s="1149"/>
      <c r="L159" s="1149"/>
      <c r="M159" s="1149"/>
      <c r="N159" s="1149"/>
      <c r="O159" s="1149"/>
      <c r="P159" s="1149"/>
      <c r="Q159" s="1149"/>
      <c r="R159" s="1149"/>
      <c r="S159" s="1149"/>
      <c r="T159" s="1149"/>
      <c r="U159" s="1149"/>
      <c r="V159" s="1149"/>
      <c r="W159" s="1149"/>
      <c r="X159" s="1149"/>
      <c r="Y159" s="1193"/>
      <c r="Z159" s="1190">
        <f t="shared" si="10"/>
        <v>10.044330112078432</v>
      </c>
      <c r="AA159" s="1190">
        <f t="shared" si="10"/>
        <v>10.044330112078432</v>
      </c>
      <c r="AB159" s="1190">
        <f t="shared" si="10"/>
        <v>10.044330112078432</v>
      </c>
      <c r="AC159" s="1190">
        <f t="shared" si="10"/>
        <v>10.044330112078432</v>
      </c>
      <c r="AD159" s="1190">
        <f t="shared" si="10"/>
        <v>10.044330112078432</v>
      </c>
      <c r="AE159" s="1189">
        <f>SUM(Z159:AD159)</f>
        <v>50.221650560392163</v>
      </c>
      <c r="AF159" s="1146"/>
      <c r="AG159" s="1160">
        <f t="shared" ref="AG159:AG163" si="11">C159*0.9-AE159</f>
        <v>163.99392055028531</v>
      </c>
    </row>
    <row r="160" spans="1:33" x14ac:dyDescent="0.3">
      <c r="A160" s="1143" t="s">
        <v>499</v>
      </c>
      <c r="B160" s="1144" t="s">
        <v>915</v>
      </c>
      <c r="C160" s="1189">
        <f>'F5.1 (N)'!$J$21</f>
        <v>731.16501526337015</v>
      </c>
      <c r="D160" s="1146"/>
      <c r="E160" s="1162">
        <f>'F5.1 (N)'!$AC$49</f>
        <v>4.2200000000000001E-2</v>
      </c>
      <c r="F160" s="1149"/>
      <c r="G160" s="1149"/>
      <c r="H160" s="1149"/>
      <c r="I160" s="1149"/>
      <c r="J160" s="1149"/>
      <c r="K160" s="1149"/>
      <c r="L160" s="1149"/>
      <c r="M160" s="1149"/>
      <c r="N160" s="1149"/>
      <c r="O160" s="1149"/>
      <c r="P160" s="1149"/>
      <c r="Q160" s="1149"/>
      <c r="R160" s="1149"/>
      <c r="S160" s="1149"/>
      <c r="T160" s="1149"/>
      <c r="U160" s="1149"/>
      <c r="V160" s="1149"/>
      <c r="W160" s="1149"/>
      <c r="X160" s="1149"/>
      <c r="Y160" s="1193"/>
      <c r="Z160" s="1193"/>
      <c r="AA160" s="1190">
        <f t="shared" si="10"/>
        <v>30.855163644114221</v>
      </c>
      <c r="AB160" s="1190">
        <f t="shared" si="10"/>
        <v>30.855163644114221</v>
      </c>
      <c r="AC160" s="1190">
        <f t="shared" si="10"/>
        <v>30.855163644114221</v>
      </c>
      <c r="AD160" s="1190">
        <f t="shared" si="10"/>
        <v>30.855163644114221</v>
      </c>
      <c r="AE160" s="1189">
        <f>SUM(AA160:AD160)</f>
        <v>123.42065457645688</v>
      </c>
      <c r="AF160" s="1146"/>
      <c r="AG160" s="1160">
        <f t="shared" si="11"/>
        <v>534.62785916057635</v>
      </c>
    </row>
    <row r="161" spans="1:33" x14ac:dyDescent="0.3">
      <c r="A161" s="1143" t="s">
        <v>499</v>
      </c>
      <c r="B161" s="1144" t="s">
        <v>916</v>
      </c>
      <c r="C161" s="1189">
        <f>'F5.1 (N)'!$O$21</f>
        <v>137.01</v>
      </c>
      <c r="D161" s="1146"/>
      <c r="E161" s="1162">
        <f>'F5.1 (N)'!$AC$49</f>
        <v>4.2200000000000001E-2</v>
      </c>
      <c r="F161" s="1149"/>
      <c r="G161" s="1149"/>
      <c r="H161" s="1149"/>
      <c r="I161" s="1149"/>
      <c r="J161" s="1149"/>
      <c r="K161" s="1149"/>
      <c r="L161" s="1149"/>
      <c r="M161" s="1149"/>
      <c r="N161" s="1149"/>
      <c r="O161" s="1149"/>
      <c r="P161" s="1149"/>
      <c r="Q161" s="1149"/>
      <c r="R161" s="1149"/>
      <c r="S161" s="1149"/>
      <c r="T161" s="1149"/>
      <c r="U161" s="1149"/>
      <c r="V161" s="1149"/>
      <c r="W161" s="1149"/>
      <c r="X161" s="1149"/>
      <c r="Y161" s="1193"/>
      <c r="Z161" s="1193"/>
      <c r="AA161" s="1193"/>
      <c r="AB161" s="1190">
        <f t="shared" si="10"/>
        <v>5.781822</v>
      </c>
      <c r="AC161" s="1190">
        <f t="shared" si="10"/>
        <v>5.781822</v>
      </c>
      <c r="AD161" s="1190">
        <f t="shared" si="10"/>
        <v>5.781822</v>
      </c>
      <c r="AE161" s="1189">
        <f>SUM(AB161:AD161)</f>
        <v>17.345466000000002</v>
      </c>
      <c r="AF161" s="1146"/>
      <c r="AG161" s="1160">
        <f t="shared" si="11"/>
        <v>105.963534</v>
      </c>
    </row>
    <row r="162" spans="1:33" x14ac:dyDescent="0.3">
      <c r="A162" s="1143" t="s">
        <v>499</v>
      </c>
      <c r="B162" s="1144" t="s">
        <v>917</v>
      </c>
      <c r="C162" s="1189">
        <f>'F5.1 (N)'!$T$21</f>
        <v>18.75</v>
      </c>
      <c r="D162" s="1146"/>
      <c r="E162" s="1162">
        <f>'F5.1 (N)'!$AC$49</f>
        <v>4.2200000000000001E-2</v>
      </c>
      <c r="F162" s="1149"/>
      <c r="G162" s="1149"/>
      <c r="H162" s="1149"/>
      <c r="I162" s="1149"/>
      <c r="J162" s="1149"/>
      <c r="K162" s="1149"/>
      <c r="L162" s="1149"/>
      <c r="M162" s="1149"/>
      <c r="N162" s="1149"/>
      <c r="O162" s="1149"/>
      <c r="P162" s="1149"/>
      <c r="Q162" s="1149"/>
      <c r="R162" s="1149"/>
      <c r="S162" s="1149"/>
      <c r="T162" s="1149"/>
      <c r="U162" s="1149"/>
      <c r="V162" s="1149"/>
      <c r="W162" s="1149"/>
      <c r="X162" s="1149"/>
      <c r="Y162" s="1193"/>
      <c r="Z162" s="1193"/>
      <c r="AA162" s="1193"/>
      <c r="AB162" s="1193"/>
      <c r="AC162" s="1190">
        <f t="shared" si="10"/>
        <v>0.79125000000000001</v>
      </c>
      <c r="AD162" s="1190">
        <f t="shared" si="10"/>
        <v>0.79125000000000001</v>
      </c>
      <c r="AE162" s="1189">
        <f>SUM(AC162:AD162)</f>
        <v>1.5825</v>
      </c>
      <c r="AF162" s="1146"/>
      <c r="AG162" s="1160">
        <f t="shared" si="11"/>
        <v>15.2925</v>
      </c>
    </row>
    <row r="163" spans="1:33" x14ac:dyDescent="0.3">
      <c r="A163" s="1143" t="s">
        <v>499</v>
      </c>
      <c r="B163" s="1144" t="s">
        <v>918</v>
      </c>
      <c r="C163" s="1189">
        <f>'F5.1 (N)'!$Y$21</f>
        <v>25</v>
      </c>
      <c r="D163" s="1146"/>
      <c r="E163" s="1162">
        <f>'F5.1 (N)'!$AC$49</f>
        <v>4.2200000000000001E-2</v>
      </c>
      <c r="F163" s="1149"/>
      <c r="G163" s="1149"/>
      <c r="H163" s="1149"/>
      <c r="I163" s="1149"/>
      <c r="J163" s="1149"/>
      <c r="K163" s="1149"/>
      <c r="L163" s="1149"/>
      <c r="M163" s="1149"/>
      <c r="N163" s="1149"/>
      <c r="O163" s="1149"/>
      <c r="P163" s="1149"/>
      <c r="Q163" s="1149"/>
      <c r="R163" s="1149"/>
      <c r="S163" s="1149"/>
      <c r="T163" s="1149"/>
      <c r="U163" s="1149"/>
      <c r="V163" s="1149"/>
      <c r="W163" s="1149"/>
      <c r="X163" s="1149"/>
      <c r="Y163" s="1193"/>
      <c r="Z163" s="1193"/>
      <c r="AA163" s="1193"/>
      <c r="AB163" s="1193"/>
      <c r="AC163" s="1193"/>
      <c r="AD163" s="1190">
        <f t="shared" si="10"/>
        <v>1.0549999999999999</v>
      </c>
      <c r="AE163" s="1189">
        <f>AD163</f>
        <v>1.0549999999999999</v>
      </c>
      <c r="AF163" s="1146"/>
      <c r="AG163" s="1160">
        <f t="shared" si="11"/>
        <v>21.445</v>
      </c>
    </row>
    <row r="164" spans="1:33" x14ac:dyDescent="0.3">
      <c r="A164" s="1151"/>
      <c r="B164" s="1152" t="s">
        <v>267</v>
      </c>
      <c r="C164" s="1153"/>
      <c r="D164" s="1153"/>
      <c r="E164" s="1153"/>
      <c r="F164" s="1153"/>
      <c r="G164" s="1153"/>
      <c r="H164" s="1153"/>
      <c r="I164" s="1153"/>
      <c r="J164" s="1153"/>
      <c r="K164" s="1153"/>
      <c r="L164" s="1153"/>
      <c r="M164" s="1153"/>
      <c r="N164" s="1153"/>
      <c r="O164" s="1153"/>
      <c r="P164" s="1153"/>
      <c r="Q164" s="1153"/>
      <c r="R164" s="1153"/>
      <c r="S164" s="1153"/>
      <c r="T164" s="1153"/>
      <c r="U164" s="1153"/>
      <c r="V164" s="1153"/>
      <c r="W164" s="1153"/>
      <c r="X164" s="1153"/>
      <c r="Y164" s="1163">
        <f>SUM(Y158)</f>
        <v>286.4397391761791</v>
      </c>
      <c r="Z164" s="1163">
        <f>SUM(Z158:Z159)</f>
        <v>296.48406928825756</v>
      </c>
      <c r="AA164" s="1163">
        <f>SUM(AA158:AA160)</f>
        <v>327.33923293237177</v>
      </c>
      <c r="AB164" s="1163">
        <f>SUM(AB158:AB161)</f>
        <v>333.12105493237175</v>
      </c>
      <c r="AC164" s="1163">
        <f>SUM(AC158:AC162)</f>
        <v>333.91230493237174</v>
      </c>
      <c r="AD164" s="1163">
        <f>SUM(AD158:AD163)</f>
        <v>334.96730493237175</v>
      </c>
      <c r="AE164" s="1163">
        <f>SUM(AE158:AE163)</f>
        <v>1912.2637061939236</v>
      </c>
      <c r="AF164" s="1163"/>
      <c r="AG164" s="1163">
        <f>SUM(AG158:AG163)</f>
        <v>4005.179932793204</v>
      </c>
    </row>
    <row r="165" spans="1:33" x14ac:dyDescent="0.3">
      <c r="C165" s="1165"/>
    </row>
    <row r="168" spans="1:33" x14ac:dyDescent="0.3">
      <c r="B168" s="1138" t="s">
        <v>509</v>
      </c>
      <c r="F168" s="1139" t="s">
        <v>10</v>
      </c>
    </row>
    <row r="169" spans="1:33" ht="26.15" customHeight="1" x14ac:dyDescent="0.3">
      <c r="A169" s="1140"/>
      <c r="B169" s="1158" t="s">
        <v>398</v>
      </c>
      <c r="C169" s="1619" t="s">
        <v>481</v>
      </c>
      <c r="D169" s="1619" t="s">
        <v>482</v>
      </c>
      <c r="E169" s="1619" t="s">
        <v>545</v>
      </c>
      <c r="F169" s="1621" t="s">
        <v>546</v>
      </c>
      <c r="G169" s="1622"/>
      <c r="H169" s="1622"/>
      <c r="I169" s="1622"/>
      <c r="J169" s="1622"/>
      <c r="K169" s="1622"/>
      <c r="L169" s="1622"/>
      <c r="M169" s="1622"/>
      <c r="N169" s="1622"/>
      <c r="O169" s="1622"/>
      <c r="P169" s="1622"/>
      <c r="Q169" s="1622"/>
      <c r="R169" s="1622"/>
      <c r="S169" s="1622"/>
      <c r="T169" s="1622"/>
      <c r="U169" s="1622"/>
      <c r="V169" s="1622"/>
      <c r="W169" s="1622"/>
      <c r="X169" s="1622"/>
      <c r="Y169" s="1622"/>
      <c r="Z169" s="1622"/>
      <c r="AA169" s="1622"/>
      <c r="AB169" s="1622"/>
      <c r="AC169" s="1622"/>
      <c r="AD169" s="1623"/>
      <c r="AE169" s="1141" t="s">
        <v>504</v>
      </c>
      <c r="AF169" s="1141" t="s">
        <v>497</v>
      </c>
      <c r="AG169" s="1141" t="s">
        <v>505</v>
      </c>
    </row>
    <row r="170" spans="1:33" ht="13" customHeight="1" x14ac:dyDescent="0.3">
      <c r="A170" s="1140"/>
      <c r="B170" s="1158"/>
      <c r="C170" s="1620"/>
      <c r="D170" s="1620"/>
      <c r="E170" s="1620"/>
      <c r="F170" s="1142" t="s">
        <v>483</v>
      </c>
      <c r="G170" s="1142" t="s">
        <v>484</v>
      </c>
      <c r="H170" s="1142" t="s">
        <v>485</v>
      </c>
      <c r="I170" s="1142" t="s">
        <v>486</v>
      </c>
      <c r="J170" s="1142" t="s">
        <v>487</v>
      </c>
      <c r="K170" s="1142" t="s">
        <v>488</v>
      </c>
      <c r="L170" s="1142" t="s">
        <v>489</v>
      </c>
      <c r="M170" s="1142" t="s">
        <v>490</v>
      </c>
      <c r="N170" s="1142" t="s">
        <v>491</v>
      </c>
      <c r="O170" s="1142" t="s">
        <v>492</v>
      </c>
      <c r="P170" s="1142" t="s">
        <v>493</v>
      </c>
      <c r="Q170" s="1142" t="s">
        <v>494</v>
      </c>
      <c r="R170" s="1142" t="s">
        <v>495</v>
      </c>
      <c r="S170" s="1142" t="s">
        <v>496</v>
      </c>
      <c r="T170" s="1142" t="s">
        <v>314</v>
      </c>
      <c r="U170" s="1142" t="s">
        <v>473</v>
      </c>
      <c r="V170" s="1142" t="s">
        <v>474</v>
      </c>
      <c r="W170" s="1142" t="s">
        <v>475</v>
      </c>
      <c r="X170" s="1142" t="s">
        <v>476</v>
      </c>
      <c r="Y170" s="1142" t="s">
        <v>477</v>
      </c>
      <c r="Z170" s="1142" t="s">
        <v>849</v>
      </c>
      <c r="AA170" s="1142" t="s">
        <v>850</v>
      </c>
      <c r="AB170" s="1142" t="s">
        <v>851</v>
      </c>
      <c r="AC170" s="1142" t="s">
        <v>852</v>
      </c>
      <c r="AD170" s="1142" t="s">
        <v>853</v>
      </c>
      <c r="AE170" s="1141"/>
      <c r="AF170" s="1141"/>
      <c r="AG170" s="1141"/>
    </row>
    <row r="171" spans="1:33" x14ac:dyDescent="0.3">
      <c r="A171" s="1143" t="s">
        <v>498</v>
      </c>
      <c r="B171" s="1144">
        <v>2005</v>
      </c>
      <c r="C171" s="1143"/>
      <c r="D171" s="1143"/>
      <c r="E171" s="1159"/>
      <c r="F171" s="1147"/>
      <c r="G171" s="1147"/>
      <c r="H171" s="1147"/>
      <c r="I171" s="1147"/>
      <c r="J171" s="1147"/>
      <c r="K171" s="1147"/>
      <c r="L171" s="1147"/>
      <c r="M171" s="1147"/>
      <c r="N171" s="1147"/>
      <c r="O171" s="1147"/>
      <c r="P171" s="1147"/>
      <c r="Q171" s="1147"/>
      <c r="R171" s="1147"/>
      <c r="S171" s="1147"/>
      <c r="T171" s="1147"/>
      <c r="U171" s="1147"/>
      <c r="V171" s="1147"/>
      <c r="W171" s="1147"/>
      <c r="X171" s="1147"/>
      <c r="Y171" s="1147"/>
      <c r="Z171" s="1147"/>
      <c r="AA171" s="1147"/>
      <c r="AB171" s="1147"/>
      <c r="AC171" s="1147"/>
      <c r="AD171" s="1147"/>
      <c r="AE171" s="1160"/>
      <c r="AF171" s="1160"/>
      <c r="AG171" s="1160"/>
    </row>
    <row r="172" spans="1:33" x14ac:dyDescent="0.3">
      <c r="A172" s="1143" t="s">
        <v>499</v>
      </c>
      <c r="B172" s="1144" t="s">
        <v>483</v>
      </c>
      <c r="C172" s="1143"/>
      <c r="D172" s="1143"/>
      <c r="E172" s="1159"/>
      <c r="F172" s="1148"/>
      <c r="G172" s="1147"/>
      <c r="H172" s="1147"/>
      <c r="I172" s="1147"/>
      <c r="J172" s="1147"/>
      <c r="K172" s="1147"/>
      <c r="L172" s="1147"/>
      <c r="M172" s="1147"/>
      <c r="N172" s="1147"/>
      <c r="O172" s="1147"/>
      <c r="P172" s="1147"/>
      <c r="Q172" s="1147"/>
      <c r="R172" s="1147"/>
      <c r="S172" s="1147"/>
      <c r="T172" s="1147"/>
      <c r="U172" s="1147"/>
      <c r="V172" s="1147"/>
      <c r="W172" s="1147"/>
      <c r="X172" s="1147"/>
      <c r="Y172" s="1147"/>
      <c r="Z172" s="1147"/>
      <c r="AA172" s="1147"/>
      <c r="AB172" s="1147"/>
      <c r="AC172" s="1147"/>
      <c r="AD172" s="1147"/>
      <c r="AE172" s="1160"/>
      <c r="AF172" s="1160"/>
      <c r="AG172" s="1160"/>
    </row>
    <row r="173" spans="1:33" x14ac:dyDescent="0.3">
      <c r="A173" s="1143" t="s">
        <v>499</v>
      </c>
      <c r="B173" s="1144" t="s">
        <v>484</v>
      </c>
      <c r="C173" s="1143"/>
      <c r="D173" s="1143"/>
      <c r="E173" s="1159"/>
      <c r="F173" s="1149"/>
      <c r="G173" s="1148"/>
      <c r="H173" s="1147"/>
      <c r="I173" s="1147"/>
      <c r="J173" s="1147"/>
      <c r="K173" s="1147"/>
      <c r="L173" s="1147"/>
      <c r="M173" s="1147"/>
      <c r="N173" s="1147"/>
      <c r="O173" s="1147"/>
      <c r="P173" s="1147"/>
      <c r="Q173" s="1147"/>
      <c r="R173" s="1147"/>
      <c r="S173" s="1147"/>
      <c r="T173" s="1147"/>
      <c r="U173" s="1147"/>
      <c r="V173" s="1147"/>
      <c r="W173" s="1147"/>
      <c r="X173" s="1147"/>
      <c r="Y173" s="1147"/>
      <c r="Z173" s="1147"/>
      <c r="AA173" s="1147"/>
      <c r="AB173" s="1147"/>
      <c r="AC173" s="1147"/>
      <c r="AD173" s="1147"/>
      <c r="AE173" s="1160"/>
      <c r="AF173" s="1160"/>
      <c r="AG173" s="1160"/>
    </row>
    <row r="174" spans="1:33" x14ac:dyDescent="0.3">
      <c r="A174" s="1143" t="s">
        <v>499</v>
      </c>
      <c r="B174" s="1144" t="s">
        <v>485</v>
      </c>
      <c r="C174" s="1143"/>
      <c r="D174" s="1143"/>
      <c r="E174" s="1159"/>
      <c r="F174" s="1149"/>
      <c r="G174" s="1149"/>
      <c r="H174" s="1148"/>
      <c r="I174" s="1147"/>
      <c r="J174" s="1147"/>
      <c r="K174" s="1147"/>
      <c r="L174" s="1147"/>
      <c r="M174" s="1147"/>
      <c r="N174" s="1147"/>
      <c r="O174" s="1147"/>
      <c r="P174" s="1147"/>
      <c r="Q174" s="1147"/>
      <c r="R174" s="1147"/>
      <c r="S174" s="1147"/>
      <c r="T174" s="1147"/>
      <c r="U174" s="1147"/>
      <c r="V174" s="1147"/>
      <c r="W174" s="1147"/>
      <c r="X174" s="1147"/>
      <c r="Y174" s="1147"/>
      <c r="Z174" s="1147"/>
      <c r="AA174" s="1147"/>
      <c r="AB174" s="1147"/>
      <c r="AC174" s="1147"/>
      <c r="AD174" s="1147"/>
      <c r="AE174" s="1160"/>
      <c r="AF174" s="1160"/>
      <c r="AG174" s="1160"/>
    </row>
    <row r="175" spans="1:33" x14ac:dyDescent="0.3">
      <c r="A175" s="1143" t="s">
        <v>499</v>
      </c>
      <c r="B175" s="1144" t="s">
        <v>486</v>
      </c>
      <c r="C175" s="1143"/>
      <c r="D175" s="1143"/>
      <c r="E175" s="1159"/>
      <c r="F175" s="1149"/>
      <c r="G175" s="1149"/>
      <c r="H175" s="1149"/>
      <c r="I175" s="1148"/>
      <c r="J175" s="1147"/>
      <c r="K175" s="1147"/>
      <c r="L175" s="1147"/>
      <c r="M175" s="1147"/>
      <c r="N175" s="1147"/>
      <c r="O175" s="1147"/>
      <c r="P175" s="1147"/>
      <c r="Q175" s="1147"/>
      <c r="R175" s="1147"/>
      <c r="S175" s="1147"/>
      <c r="T175" s="1147"/>
      <c r="U175" s="1147"/>
      <c r="V175" s="1147"/>
      <c r="W175" s="1147"/>
      <c r="X175" s="1147"/>
      <c r="Y175" s="1147"/>
      <c r="Z175" s="1147"/>
      <c r="AA175" s="1147"/>
      <c r="AB175" s="1147"/>
      <c r="AC175" s="1147"/>
      <c r="AD175" s="1147"/>
      <c r="AE175" s="1160"/>
      <c r="AF175" s="1160"/>
      <c r="AG175" s="1160"/>
    </row>
    <row r="176" spans="1:33" x14ac:dyDescent="0.3">
      <c r="A176" s="1143" t="s">
        <v>499</v>
      </c>
      <c r="B176" s="1144" t="s">
        <v>487</v>
      </c>
      <c r="C176" s="1143"/>
      <c r="D176" s="1143"/>
      <c r="E176" s="1159"/>
      <c r="F176" s="1149"/>
      <c r="G176" s="1149"/>
      <c r="H176" s="1149"/>
      <c r="I176" s="1149"/>
      <c r="J176" s="1148"/>
      <c r="K176" s="1147"/>
      <c r="L176" s="1147"/>
      <c r="M176" s="1147"/>
      <c r="N176" s="1147"/>
      <c r="O176" s="1147"/>
      <c r="P176" s="1147"/>
      <c r="Q176" s="1147"/>
      <c r="R176" s="1147"/>
      <c r="S176" s="1147"/>
      <c r="T176" s="1147"/>
      <c r="U176" s="1147"/>
      <c r="V176" s="1147"/>
      <c r="W176" s="1147"/>
      <c r="X176" s="1147"/>
      <c r="Y176" s="1147"/>
      <c r="Z176" s="1147"/>
      <c r="AA176" s="1147"/>
      <c r="AB176" s="1147"/>
      <c r="AC176" s="1147"/>
      <c r="AD176" s="1147"/>
      <c r="AE176" s="1160"/>
      <c r="AF176" s="1160"/>
      <c r="AG176" s="1160"/>
    </row>
    <row r="177" spans="1:33" x14ac:dyDescent="0.3">
      <c r="A177" s="1143" t="s">
        <v>499</v>
      </c>
      <c r="B177" s="1144" t="s">
        <v>488</v>
      </c>
      <c r="C177" s="1143"/>
      <c r="D177" s="1143"/>
      <c r="E177" s="1159"/>
      <c r="F177" s="1149"/>
      <c r="G177" s="1149"/>
      <c r="H177" s="1149"/>
      <c r="I177" s="1149"/>
      <c r="J177" s="1149"/>
      <c r="K177" s="1148"/>
      <c r="L177" s="1147"/>
      <c r="M177" s="1147"/>
      <c r="N177" s="1147"/>
      <c r="O177" s="1147"/>
      <c r="P177" s="1147"/>
      <c r="Q177" s="1147"/>
      <c r="R177" s="1147"/>
      <c r="S177" s="1147"/>
      <c r="T177" s="1147"/>
      <c r="U177" s="1147"/>
      <c r="V177" s="1147"/>
      <c r="W177" s="1147"/>
      <c r="X177" s="1147"/>
      <c r="Y177" s="1147"/>
      <c r="Z177" s="1147"/>
      <c r="AA177" s="1147"/>
      <c r="AB177" s="1147"/>
      <c r="AC177" s="1147"/>
      <c r="AD177" s="1147"/>
      <c r="AE177" s="1160"/>
      <c r="AF177" s="1160"/>
      <c r="AG177" s="1160"/>
    </row>
    <row r="178" spans="1:33" x14ac:dyDescent="0.3">
      <c r="A178" s="1143" t="s">
        <v>499</v>
      </c>
      <c r="B178" s="1144" t="s">
        <v>489</v>
      </c>
      <c r="C178" s="1143"/>
      <c r="D178" s="1143"/>
      <c r="E178" s="1159"/>
      <c r="F178" s="1149"/>
      <c r="G178" s="1149"/>
      <c r="H178" s="1149"/>
      <c r="I178" s="1149"/>
      <c r="J178" s="1149"/>
      <c r="K178" s="1149"/>
      <c r="L178" s="1148"/>
      <c r="M178" s="1147"/>
      <c r="N178" s="1147"/>
      <c r="O178" s="1147"/>
      <c r="P178" s="1147"/>
      <c r="Q178" s="1147"/>
      <c r="R178" s="1147"/>
      <c r="S178" s="1147"/>
      <c r="T178" s="1147"/>
      <c r="U178" s="1147"/>
      <c r="V178" s="1147"/>
      <c r="W178" s="1147"/>
      <c r="X178" s="1147"/>
      <c r="Y178" s="1147"/>
      <c r="Z178" s="1147"/>
      <c r="AA178" s="1147"/>
      <c r="AB178" s="1147"/>
      <c r="AC178" s="1147"/>
      <c r="AD178" s="1147"/>
      <c r="AE178" s="1160"/>
      <c r="AF178" s="1160"/>
      <c r="AG178" s="1160"/>
    </row>
    <row r="179" spans="1:33" x14ac:dyDescent="0.3">
      <c r="A179" s="1143" t="s">
        <v>499</v>
      </c>
      <c r="B179" s="1144" t="s">
        <v>490</v>
      </c>
      <c r="C179" s="1143"/>
      <c r="D179" s="1143"/>
      <c r="E179" s="1159"/>
      <c r="F179" s="1149"/>
      <c r="G179" s="1149"/>
      <c r="H179" s="1149"/>
      <c r="I179" s="1149"/>
      <c r="J179" s="1149"/>
      <c r="K179" s="1149"/>
      <c r="L179" s="1149"/>
      <c r="M179" s="1148"/>
      <c r="N179" s="1147"/>
      <c r="O179" s="1147"/>
      <c r="P179" s="1147"/>
      <c r="Q179" s="1147"/>
      <c r="R179" s="1147"/>
      <c r="S179" s="1147"/>
      <c r="T179" s="1147"/>
      <c r="U179" s="1147"/>
      <c r="V179" s="1147"/>
      <c r="W179" s="1147"/>
      <c r="X179" s="1147"/>
      <c r="Y179" s="1147"/>
      <c r="Z179" s="1147"/>
      <c r="AA179" s="1147"/>
      <c r="AB179" s="1147"/>
      <c r="AC179" s="1147"/>
      <c r="AD179" s="1147"/>
      <c r="AE179" s="1160"/>
      <c r="AF179" s="1160"/>
      <c r="AG179" s="1160"/>
    </row>
    <row r="180" spans="1:33" x14ac:dyDescent="0.3">
      <c r="A180" s="1143" t="s">
        <v>499</v>
      </c>
      <c r="B180" s="1144" t="s">
        <v>491</v>
      </c>
      <c r="C180" s="1143"/>
      <c r="D180" s="1143"/>
      <c r="E180" s="1159"/>
      <c r="F180" s="1149"/>
      <c r="G180" s="1149"/>
      <c r="H180" s="1149"/>
      <c r="I180" s="1149"/>
      <c r="J180" s="1149"/>
      <c r="K180" s="1149"/>
      <c r="L180" s="1149"/>
      <c r="M180" s="1149"/>
      <c r="N180" s="1148"/>
      <c r="O180" s="1147"/>
      <c r="P180" s="1147"/>
      <c r="Q180" s="1147"/>
      <c r="R180" s="1147"/>
      <c r="S180" s="1147"/>
      <c r="T180" s="1147"/>
      <c r="U180" s="1147"/>
      <c r="V180" s="1147"/>
      <c r="W180" s="1147"/>
      <c r="X180" s="1147"/>
      <c r="Y180" s="1147"/>
      <c r="Z180" s="1147"/>
      <c r="AA180" s="1147"/>
      <c r="AB180" s="1147"/>
      <c r="AC180" s="1147"/>
      <c r="AD180" s="1147"/>
      <c r="AE180" s="1160"/>
      <c r="AF180" s="1160"/>
      <c r="AG180" s="1160"/>
    </row>
    <row r="181" spans="1:33" x14ac:dyDescent="0.3">
      <c r="A181" s="1143" t="s">
        <v>499</v>
      </c>
      <c r="B181" s="1144" t="s">
        <v>492</v>
      </c>
      <c r="C181" s="1146"/>
      <c r="D181" s="1143"/>
      <c r="E181" s="1159"/>
      <c r="F181" s="1149"/>
      <c r="G181" s="1149"/>
      <c r="H181" s="1149"/>
      <c r="I181" s="1149"/>
      <c r="J181" s="1149"/>
      <c r="K181" s="1149"/>
      <c r="L181" s="1149"/>
      <c r="M181" s="1149"/>
      <c r="N181" s="1149"/>
      <c r="O181" s="1148"/>
      <c r="P181" s="1147"/>
      <c r="Q181" s="1147"/>
      <c r="R181" s="1147"/>
      <c r="S181" s="1147"/>
      <c r="T181" s="1147"/>
      <c r="U181" s="1147"/>
      <c r="V181" s="1147"/>
      <c r="W181" s="1147"/>
      <c r="X181" s="1147"/>
      <c r="Y181" s="1147"/>
      <c r="Z181" s="1147"/>
      <c r="AA181" s="1147"/>
      <c r="AB181" s="1147"/>
      <c r="AC181" s="1147"/>
      <c r="AD181" s="1147"/>
      <c r="AE181" s="1160"/>
      <c r="AF181" s="1160"/>
      <c r="AG181" s="1160"/>
    </row>
    <row r="182" spans="1:33" x14ac:dyDescent="0.3">
      <c r="A182" s="1143" t="s">
        <v>499</v>
      </c>
      <c r="B182" s="1144" t="s">
        <v>493</v>
      </c>
      <c r="C182" s="1146"/>
      <c r="D182" s="1143"/>
      <c r="E182" s="1159"/>
      <c r="F182" s="1149"/>
      <c r="G182" s="1149"/>
      <c r="H182" s="1149"/>
      <c r="I182" s="1149"/>
      <c r="J182" s="1149"/>
      <c r="K182" s="1149"/>
      <c r="L182" s="1149"/>
      <c r="M182" s="1149"/>
      <c r="N182" s="1149"/>
      <c r="O182" s="1149"/>
      <c r="P182" s="1148"/>
      <c r="Q182" s="1147"/>
      <c r="R182" s="1147"/>
      <c r="S182" s="1147"/>
      <c r="T182" s="1147"/>
      <c r="U182" s="1147"/>
      <c r="V182" s="1147"/>
      <c r="W182" s="1147"/>
      <c r="X182" s="1147"/>
      <c r="Y182" s="1147"/>
      <c r="Z182" s="1147"/>
      <c r="AA182" s="1147"/>
      <c r="AB182" s="1147"/>
      <c r="AC182" s="1147"/>
      <c r="AD182" s="1147"/>
      <c r="AE182" s="1160"/>
      <c r="AF182" s="1160"/>
      <c r="AG182" s="1160"/>
    </row>
    <row r="183" spans="1:33" x14ac:dyDescent="0.3">
      <c r="A183" s="1143" t="s">
        <v>499</v>
      </c>
      <c r="B183" s="1144" t="s">
        <v>494</v>
      </c>
      <c r="C183" s="1146"/>
      <c r="D183" s="1146"/>
      <c r="E183" s="1159"/>
      <c r="F183" s="1149"/>
      <c r="G183" s="1149"/>
      <c r="H183" s="1149"/>
      <c r="I183" s="1149"/>
      <c r="J183" s="1149"/>
      <c r="K183" s="1149"/>
      <c r="L183" s="1149"/>
      <c r="M183" s="1149"/>
      <c r="N183" s="1149"/>
      <c r="O183" s="1149"/>
      <c r="P183" s="1149"/>
      <c r="Q183" s="1148"/>
      <c r="R183" s="1147"/>
      <c r="S183" s="1147"/>
      <c r="T183" s="1147"/>
      <c r="U183" s="1147"/>
      <c r="V183" s="1147"/>
      <c r="W183" s="1147"/>
      <c r="X183" s="1147"/>
      <c r="Y183" s="1147"/>
      <c r="Z183" s="1147"/>
      <c r="AA183" s="1147"/>
      <c r="AB183" s="1147"/>
      <c r="AC183" s="1147"/>
      <c r="AD183" s="1147"/>
      <c r="AE183" s="1160"/>
      <c r="AF183" s="1160"/>
      <c r="AG183" s="1160"/>
    </row>
    <row r="184" spans="1:33" x14ac:dyDescent="0.3">
      <c r="A184" s="1143" t="s">
        <v>499</v>
      </c>
      <c r="B184" s="1144" t="s">
        <v>495</v>
      </c>
      <c r="C184" s="1146"/>
      <c r="D184" s="1146"/>
      <c r="E184" s="1159"/>
      <c r="F184" s="1149"/>
      <c r="G184" s="1149"/>
      <c r="H184" s="1149"/>
      <c r="I184" s="1149"/>
      <c r="J184" s="1149"/>
      <c r="K184" s="1149"/>
      <c r="L184" s="1149"/>
      <c r="M184" s="1149"/>
      <c r="N184" s="1149"/>
      <c r="O184" s="1149"/>
      <c r="P184" s="1149"/>
      <c r="Q184" s="1149"/>
      <c r="R184" s="1148"/>
      <c r="S184" s="1147"/>
      <c r="T184" s="1147"/>
      <c r="U184" s="1147"/>
      <c r="V184" s="1147"/>
      <c r="W184" s="1147"/>
      <c r="X184" s="1147"/>
      <c r="Y184" s="1147"/>
      <c r="Z184" s="1147"/>
      <c r="AA184" s="1147"/>
      <c r="AB184" s="1147"/>
      <c r="AC184" s="1147"/>
      <c r="AD184" s="1147"/>
      <c r="AE184" s="1160"/>
      <c r="AF184" s="1160"/>
      <c r="AG184" s="1160"/>
    </row>
    <row r="185" spans="1:33" x14ac:dyDescent="0.3">
      <c r="A185" s="1143" t="s">
        <v>499</v>
      </c>
      <c r="B185" s="1144" t="s">
        <v>496</v>
      </c>
      <c r="C185" s="1146"/>
      <c r="D185" s="1146"/>
      <c r="E185" s="1159"/>
      <c r="F185" s="1149"/>
      <c r="G185" s="1149"/>
      <c r="H185" s="1149"/>
      <c r="I185" s="1149"/>
      <c r="J185" s="1149"/>
      <c r="K185" s="1149"/>
      <c r="L185" s="1149"/>
      <c r="M185" s="1149"/>
      <c r="N185" s="1149"/>
      <c r="O185" s="1149"/>
      <c r="P185" s="1149"/>
      <c r="Q185" s="1149"/>
      <c r="R185" s="1149"/>
      <c r="S185" s="1148"/>
      <c r="T185" s="1147"/>
      <c r="U185" s="1147"/>
      <c r="V185" s="1147"/>
      <c r="W185" s="1147"/>
      <c r="X185" s="1147"/>
      <c r="Y185" s="1147"/>
      <c r="Z185" s="1147"/>
      <c r="AA185" s="1147"/>
      <c r="AB185" s="1147"/>
      <c r="AC185" s="1147"/>
      <c r="AD185" s="1147"/>
      <c r="AE185" s="1160"/>
      <c r="AF185" s="1160"/>
      <c r="AG185" s="1160"/>
    </row>
    <row r="186" spans="1:33" x14ac:dyDescent="0.3">
      <c r="A186" s="1143" t="s">
        <v>499</v>
      </c>
      <c r="B186" s="1144" t="s">
        <v>500</v>
      </c>
      <c r="C186" s="1161"/>
      <c r="D186" s="1146"/>
      <c r="E186" s="1159"/>
      <c r="F186" s="1149"/>
      <c r="G186" s="1149"/>
      <c r="H186" s="1149"/>
      <c r="I186" s="1149"/>
      <c r="J186" s="1149"/>
      <c r="K186" s="1149"/>
      <c r="L186" s="1149"/>
      <c r="M186" s="1149"/>
      <c r="N186" s="1149"/>
      <c r="O186" s="1149"/>
      <c r="P186" s="1149"/>
      <c r="Q186" s="1149"/>
      <c r="R186" s="1149"/>
      <c r="S186" s="1149"/>
      <c r="T186" s="1148"/>
      <c r="U186" s="1147"/>
      <c r="V186" s="1147"/>
      <c r="W186" s="1147"/>
      <c r="X186" s="1147"/>
      <c r="Y186" s="1147"/>
      <c r="Z186" s="1147"/>
      <c r="AA186" s="1147"/>
      <c r="AB186" s="1147"/>
      <c r="AC186" s="1147"/>
      <c r="AD186" s="1147"/>
      <c r="AE186" s="1160"/>
      <c r="AF186" s="1160"/>
      <c r="AG186" s="1160"/>
    </row>
    <row r="187" spans="1:33" x14ac:dyDescent="0.3">
      <c r="A187" s="1143" t="s">
        <v>499</v>
      </c>
      <c r="B187" s="1144" t="s">
        <v>501</v>
      </c>
      <c r="C187" s="1146"/>
      <c r="D187" s="1146"/>
      <c r="E187" s="1159"/>
      <c r="F187" s="1149"/>
      <c r="G187" s="1149"/>
      <c r="H187" s="1149"/>
      <c r="I187" s="1149"/>
      <c r="J187" s="1149"/>
      <c r="K187" s="1149"/>
      <c r="L187" s="1149"/>
      <c r="M187" s="1149"/>
      <c r="N187" s="1149"/>
      <c r="O187" s="1149"/>
      <c r="P187" s="1149"/>
      <c r="Q187" s="1149"/>
      <c r="R187" s="1149"/>
      <c r="S187" s="1149"/>
      <c r="T187" s="1149"/>
      <c r="U187" s="1148"/>
      <c r="V187" s="1147"/>
      <c r="W187" s="1147"/>
      <c r="X187" s="1147"/>
      <c r="Y187" s="1147"/>
      <c r="Z187" s="1147"/>
      <c r="AA187" s="1147"/>
      <c r="AB187" s="1147"/>
      <c r="AC187" s="1147"/>
      <c r="AD187" s="1147"/>
      <c r="AE187" s="1160"/>
      <c r="AF187" s="1160"/>
      <c r="AG187" s="1160"/>
    </row>
    <row r="188" spans="1:33" x14ac:dyDescent="0.3">
      <c r="A188" s="1143" t="s">
        <v>499</v>
      </c>
      <c r="B188" s="1144" t="s">
        <v>502</v>
      </c>
      <c r="C188" s="1146"/>
      <c r="D188" s="1146"/>
      <c r="E188" s="1159"/>
      <c r="F188" s="1149"/>
      <c r="G188" s="1149"/>
      <c r="H188" s="1149"/>
      <c r="I188" s="1149"/>
      <c r="J188" s="1149"/>
      <c r="K188" s="1149"/>
      <c r="L188" s="1149"/>
      <c r="M188" s="1149"/>
      <c r="N188" s="1149"/>
      <c r="O188" s="1149"/>
      <c r="P188" s="1149"/>
      <c r="Q188" s="1149"/>
      <c r="R188" s="1149"/>
      <c r="S188" s="1149"/>
      <c r="T188" s="1149"/>
      <c r="U188" s="1149"/>
      <c r="V188" s="1148"/>
      <c r="W188" s="1147"/>
      <c r="X188" s="1147"/>
      <c r="Y188" s="1147"/>
      <c r="Z188" s="1147"/>
      <c r="AA188" s="1147"/>
      <c r="AB188" s="1147"/>
      <c r="AC188" s="1147"/>
      <c r="AD188" s="1147"/>
      <c r="AE188" s="1160"/>
      <c r="AF188" s="1160"/>
      <c r="AG188" s="1160"/>
    </row>
    <row r="189" spans="1:33" x14ac:dyDescent="0.3">
      <c r="A189" s="1143" t="s">
        <v>499</v>
      </c>
      <c r="B189" s="1144" t="s">
        <v>512</v>
      </c>
      <c r="C189" s="1146"/>
      <c r="D189" s="1146"/>
      <c r="E189" s="1159"/>
      <c r="F189" s="1149"/>
      <c r="G189" s="1149"/>
      <c r="H189" s="1149"/>
      <c r="I189" s="1149"/>
      <c r="J189" s="1149"/>
      <c r="K189" s="1149"/>
      <c r="L189" s="1149"/>
      <c r="M189" s="1149"/>
      <c r="N189" s="1149"/>
      <c r="O189" s="1149"/>
      <c r="P189" s="1149"/>
      <c r="Q189" s="1149"/>
      <c r="R189" s="1149"/>
      <c r="S189" s="1149"/>
      <c r="T189" s="1149"/>
      <c r="U189" s="1149"/>
      <c r="V189" s="1149"/>
      <c r="W189" s="1148"/>
      <c r="X189" s="1147"/>
      <c r="Y189" s="1147"/>
      <c r="Z189" s="1147"/>
      <c r="AA189" s="1147"/>
      <c r="AB189" s="1147"/>
      <c r="AC189" s="1147"/>
      <c r="AD189" s="1147"/>
      <c r="AE189" s="1160"/>
      <c r="AF189" s="1160"/>
      <c r="AG189" s="1160"/>
    </row>
    <row r="190" spans="1:33" x14ac:dyDescent="0.3">
      <c r="A190" s="1143" t="s">
        <v>499</v>
      </c>
      <c r="B190" s="1144" t="s">
        <v>513</v>
      </c>
      <c r="C190" s="1146"/>
      <c r="D190" s="1146"/>
      <c r="E190" s="1159"/>
      <c r="F190" s="1149"/>
      <c r="G190" s="1149"/>
      <c r="H190" s="1149"/>
      <c r="I190" s="1149"/>
      <c r="J190" s="1149"/>
      <c r="K190" s="1149"/>
      <c r="L190" s="1149"/>
      <c r="M190" s="1149"/>
      <c r="N190" s="1149"/>
      <c r="O190" s="1149"/>
      <c r="P190" s="1149"/>
      <c r="Q190" s="1149"/>
      <c r="R190" s="1149"/>
      <c r="S190" s="1149"/>
      <c r="T190" s="1149"/>
      <c r="U190" s="1149"/>
      <c r="V190" s="1149"/>
      <c r="W190" s="1149"/>
      <c r="X190" s="1148"/>
      <c r="Y190" s="1147"/>
      <c r="Z190" s="1147"/>
      <c r="AA190" s="1147"/>
      <c r="AB190" s="1147"/>
      <c r="AC190" s="1147"/>
      <c r="AD190" s="1147"/>
      <c r="AE190" s="1160"/>
      <c r="AF190" s="1160"/>
      <c r="AG190" s="1160"/>
    </row>
    <row r="191" spans="1:33" x14ac:dyDescent="0.3">
      <c r="A191" s="1143" t="s">
        <v>499</v>
      </c>
      <c r="B191" s="1144" t="s">
        <v>514</v>
      </c>
      <c r="C191" s="1146">
        <f>'F5'!E24</f>
        <v>0</v>
      </c>
      <c r="D191" s="1146"/>
      <c r="E191" s="1159">
        <f>'F5'!O78</f>
        <v>5.28E-2</v>
      </c>
      <c r="F191" s="1149"/>
      <c r="G191" s="1149"/>
      <c r="H191" s="1149"/>
      <c r="I191" s="1149"/>
      <c r="J191" s="1149"/>
      <c r="K191" s="1149"/>
      <c r="L191" s="1149"/>
      <c r="M191" s="1149"/>
      <c r="N191" s="1149"/>
      <c r="O191" s="1149"/>
      <c r="P191" s="1149"/>
      <c r="Q191" s="1149"/>
      <c r="R191" s="1149"/>
      <c r="S191" s="1149"/>
      <c r="T191" s="1149"/>
      <c r="U191" s="1149"/>
      <c r="V191" s="1149"/>
      <c r="W191" s="1149"/>
      <c r="X191" s="1149"/>
      <c r="Y191" s="1148">
        <f>$C191*$E191</f>
        <v>0</v>
      </c>
      <c r="Z191" s="1148">
        <f t="shared" ref="Z191:AD196" si="12">$C191*$E191</f>
        <v>0</v>
      </c>
      <c r="AA191" s="1148">
        <f t="shared" si="12"/>
        <v>0</v>
      </c>
      <c r="AB191" s="1148">
        <f t="shared" si="12"/>
        <v>0</v>
      </c>
      <c r="AC191" s="1148">
        <f t="shared" si="12"/>
        <v>0</v>
      </c>
      <c r="AD191" s="1148">
        <f t="shared" si="12"/>
        <v>0</v>
      </c>
      <c r="AE191" s="1160">
        <f t="array" ref="AE191">SUM(Y191:AD191)</f>
        <v>0</v>
      </c>
      <c r="AF191" s="1160"/>
      <c r="AG191" s="1160">
        <f>C191*0.9-AE191</f>
        <v>0</v>
      </c>
    </row>
    <row r="192" spans="1:33" x14ac:dyDescent="0.3">
      <c r="A192" s="1143" t="s">
        <v>499</v>
      </c>
      <c r="B192" s="1144" t="s">
        <v>914</v>
      </c>
      <c r="C192" s="1150">
        <f>'F5.1 (N)'!$E$24</f>
        <v>0</v>
      </c>
      <c r="D192" s="1146"/>
      <c r="E192" s="1162">
        <f>'F5.1 (N)'!$AC$52</f>
        <v>4.2200000000000001E-2</v>
      </c>
      <c r="F192" s="1149"/>
      <c r="G192" s="1149"/>
      <c r="H192" s="1149"/>
      <c r="I192" s="1149"/>
      <c r="J192" s="1149"/>
      <c r="K192" s="1149"/>
      <c r="L192" s="1149"/>
      <c r="M192" s="1149"/>
      <c r="N192" s="1149"/>
      <c r="O192" s="1149"/>
      <c r="P192" s="1149"/>
      <c r="Q192" s="1149"/>
      <c r="R192" s="1149"/>
      <c r="S192" s="1149"/>
      <c r="T192" s="1149"/>
      <c r="U192" s="1149"/>
      <c r="V192" s="1149"/>
      <c r="W192" s="1149"/>
      <c r="X192" s="1149"/>
      <c r="Y192" s="1149"/>
      <c r="Z192" s="1148">
        <f t="shared" si="12"/>
        <v>0</v>
      </c>
      <c r="AA192" s="1148">
        <f t="shared" si="12"/>
        <v>0</v>
      </c>
      <c r="AB192" s="1148">
        <f t="shared" si="12"/>
        <v>0</v>
      </c>
      <c r="AC192" s="1148">
        <f t="shared" si="12"/>
        <v>0</v>
      </c>
      <c r="AD192" s="1148">
        <f t="shared" si="12"/>
        <v>0</v>
      </c>
      <c r="AE192" s="1146">
        <f>SUM(Z192:AD192)</f>
        <v>0</v>
      </c>
      <c r="AF192" s="1146"/>
      <c r="AG192" s="1160">
        <f t="shared" ref="AG192:AG196" si="13">C192*0.9-AE192</f>
        <v>0</v>
      </c>
    </row>
    <row r="193" spans="1:33" x14ac:dyDescent="0.3">
      <c r="A193" s="1143" t="s">
        <v>499</v>
      </c>
      <c r="B193" s="1144" t="s">
        <v>915</v>
      </c>
      <c r="C193" s="1146">
        <f>'F5.1 (N)'!$J$24</f>
        <v>0</v>
      </c>
      <c r="D193" s="1146"/>
      <c r="E193" s="1162">
        <f>'F5.1 (N)'!$AC$52</f>
        <v>4.2200000000000001E-2</v>
      </c>
      <c r="F193" s="1149"/>
      <c r="G193" s="1149"/>
      <c r="H193" s="1149"/>
      <c r="I193" s="1149"/>
      <c r="J193" s="1149"/>
      <c r="K193" s="1149"/>
      <c r="L193" s="1149"/>
      <c r="M193" s="1149"/>
      <c r="N193" s="1149"/>
      <c r="O193" s="1149"/>
      <c r="P193" s="1149"/>
      <c r="Q193" s="1149"/>
      <c r="R193" s="1149"/>
      <c r="S193" s="1149"/>
      <c r="T193" s="1149"/>
      <c r="U193" s="1149"/>
      <c r="V193" s="1149"/>
      <c r="W193" s="1149"/>
      <c r="X193" s="1149"/>
      <c r="Y193" s="1149"/>
      <c r="Z193" s="1149"/>
      <c r="AA193" s="1148">
        <f t="shared" si="12"/>
        <v>0</v>
      </c>
      <c r="AB193" s="1148">
        <f t="shared" si="12"/>
        <v>0</v>
      </c>
      <c r="AC193" s="1148">
        <f t="shared" si="12"/>
        <v>0</v>
      </c>
      <c r="AD193" s="1148">
        <f t="shared" si="12"/>
        <v>0</v>
      </c>
      <c r="AE193" s="1146">
        <f>SUM(AA193:AD193)</f>
        <v>0</v>
      </c>
      <c r="AF193" s="1146"/>
      <c r="AG193" s="1160">
        <f t="shared" si="13"/>
        <v>0</v>
      </c>
    </row>
    <row r="194" spans="1:33" x14ac:dyDescent="0.3">
      <c r="A194" s="1143" t="s">
        <v>499</v>
      </c>
      <c r="B194" s="1144" t="s">
        <v>916</v>
      </c>
      <c r="C194" s="1146">
        <f>'F5.1 (N)'!$O$24</f>
        <v>0</v>
      </c>
      <c r="D194" s="1146"/>
      <c r="E194" s="1162">
        <f>'F5.1 (N)'!$AC$52</f>
        <v>4.2200000000000001E-2</v>
      </c>
      <c r="F194" s="1149"/>
      <c r="G194" s="1149"/>
      <c r="H194" s="1149"/>
      <c r="I194" s="1149"/>
      <c r="J194" s="1149"/>
      <c r="K194" s="1149"/>
      <c r="L194" s="1149"/>
      <c r="M194" s="1149"/>
      <c r="N194" s="1149"/>
      <c r="O194" s="1149"/>
      <c r="P194" s="1149"/>
      <c r="Q194" s="1149"/>
      <c r="R194" s="1149"/>
      <c r="S194" s="1149"/>
      <c r="T194" s="1149"/>
      <c r="U194" s="1149"/>
      <c r="V194" s="1149"/>
      <c r="W194" s="1149"/>
      <c r="X194" s="1149"/>
      <c r="Y194" s="1149"/>
      <c r="Z194" s="1149"/>
      <c r="AA194" s="1149"/>
      <c r="AB194" s="1148">
        <f t="shared" si="12"/>
        <v>0</v>
      </c>
      <c r="AC194" s="1148">
        <f t="shared" si="12"/>
        <v>0</v>
      </c>
      <c r="AD194" s="1148">
        <f t="shared" si="12"/>
        <v>0</v>
      </c>
      <c r="AE194" s="1146">
        <f>SUM(AB194:AD194)</f>
        <v>0</v>
      </c>
      <c r="AF194" s="1146"/>
      <c r="AG194" s="1160">
        <f t="shared" si="13"/>
        <v>0</v>
      </c>
    </row>
    <row r="195" spans="1:33" x14ac:dyDescent="0.3">
      <c r="A195" s="1143" t="s">
        <v>499</v>
      </c>
      <c r="B195" s="1144" t="s">
        <v>917</v>
      </c>
      <c r="C195" s="1146">
        <f>'F5.1 (N)'!$T$24</f>
        <v>0</v>
      </c>
      <c r="D195" s="1146"/>
      <c r="E195" s="1162">
        <f>'F5.1 (N)'!$AC$52</f>
        <v>4.2200000000000001E-2</v>
      </c>
      <c r="F195" s="1149"/>
      <c r="G195" s="1149"/>
      <c r="H195" s="1149"/>
      <c r="I195" s="1149"/>
      <c r="J195" s="1149"/>
      <c r="K195" s="1149"/>
      <c r="L195" s="1149"/>
      <c r="M195" s="1149"/>
      <c r="N195" s="1149"/>
      <c r="O195" s="1149"/>
      <c r="P195" s="1149"/>
      <c r="Q195" s="1149"/>
      <c r="R195" s="1149"/>
      <c r="S195" s="1149"/>
      <c r="T195" s="1149"/>
      <c r="U195" s="1149"/>
      <c r="V195" s="1149"/>
      <c r="W195" s="1149"/>
      <c r="X195" s="1149"/>
      <c r="Y195" s="1149"/>
      <c r="Z195" s="1149"/>
      <c r="AA195" s="1149"/>
      <c r="AB195" s="1149"/>
      <c r="AC195" s="1148">
        <f t="shared" si="12"/>
        <v>0</v>
      </c>
      <c r="AD195" s="1148">
        <f t="shared" si="12"/>
        <v>0</v>
      </c>
      <c r="AE195" s="1146">
        <f>SUM(AC195:AD195)</f>
        <v>0</v>
      </c>
      <c r="AF195" s="1146"/>
      <c r="AG195" s="1160">
        <f t="shared" si="13"/>
        <v>0</v>
      </c>
    </row>
    <row r="196" spans="1:33" x14ac:dyDescent="0.3">
      <c r="A196" s="1143" t="s">
        <v>499</v>
      </c>
      <c r="B196" s="1144" t="s">
        <v>918</v>
      </c>
      <c r="C196" s="1146">
        <f>'F5.1 (N)'!$Y$24</f>
        <v>0</v>
      </c>
      <c r="D196" s="1146"/>
      <c r="E196" s="1162">
        <f>'F5.1 (N)'!$AC$52</f>
        <v>4.2200000000000001E-2</v>
      </c>
      <c r="F196" s="1149"/>
      <c r="G196" s="1149"/>
      <c r="H196" s="1149"/>
      <c r="I196" s="1149"/>
      <c r="J196" s="1149"/>
      <c r="K196" s="1149"/>
      <c r="L196" s="1149"/>
      <c r="M196" s="1149"/>
      <c r="N196" s="1149"/>
      <c r="O196" s="1149"/>
      <c r="P196" s="1149"/>
      <c r="Q196" s="1149"/>
      <c r="R196" s="1149"/>
      <c r="S196" s="1149"/>
      <c r="T196" s="1149"/>
      <c r="U196" s="1149"/>
      <c r="V196" s="1149"/>
      <c r="W196" s="1149"/>
      <c r="X196" s="1149"/>
      <c r="Y196" s="1149"/>
      <c r="Z196" s="1149"/>
      <c r="AA196" s="1149"/>
      <c r="AB196" s="1149"/>
      <c r="AC196" s="1149"/>
      <c r="AD196" s="1148">
        <f t="shared" si="12"/>
        <v>0</v>
      </c>
      <c r="AE196" s="1146">
        <f>AD196</f>
        <v>0</v>
      </c>
      <c r="AF196" s="1146"/>
      <c r="AG196" s="1160">
        <f t="shared" si="13"/>
        <v>0</v>
      </c>
    </row>
    <row r="197" spans="1:33" x14ac:dyDescent="0.3">
      <c r="A197" s="1151" t="s">
        <v>355</v>
      </c>
      <c r="B197" s="1152" t="s">
        <v>267</v>
      </c>
      <c r="C197" s="1153"/>
      <c r="D197" s="1153"/>
      <c r="E197" s="1153"/>
      <c r="F197" s="1153"/>
      <c r="G197" s="1153"/>
      <c r="H197" s="1153"/>
      <c r="I197" s="1153"/>
      <c r="J197" s="1153"/>
      <c r="K197" s="1153"/>
      <c r="L197" s="1153"/>
      <c r="M197" s="1153"/>
      <c r="N197" s="1153"/>
      <c r="O197" s="1153"/>
      <c r="P197" s="1153"/>
      <c r="Q197" s="1153"/>
      <c r="R197" s="1153"/>
      <c r="S197" s="1153"/>
      <c r="T197" s="1153"/>
      <c r="U197" s="1153"/>
      <c r="V197" s="1153"/>
      <c r="W197" s="1153"/>
      <c r="X197" s="1153"/>
      <c r="Y197" s="1153">
        <f>SUM(Y191)</f>
        <v>0</v>
      </c>
      <c r="Z197" s="1153">
        <f>SUM(Z191:Z192)</f>
        <v>0</v>
      </c>
      <c r="AA197" s="1153">
        <f>SUM(AA191:AA193)</f>
        <v>0</v>
      </c>
      <c r="AB197" s="1153">
        <f>SUM(AB191:AB194)</f>
        <v>0</v>
      </c>
      <c r="AC197" s="1153">
        <f>SUM(AC191:AC195)</f>
        <v>0</v>
      </c>
      <c r="AD197" s="1153">
        <f>SUM(AD191:AD196)</f>
        <v>0</v>
      </c>
      <c r="AE197" s="1163">
        <f>SUM(AE191:AE196)</f>
        <v>0</v>
      </c>
      <c r="AF197" s="1163"/>
      <c r="AG197" s="1163">
        <f>SUM(AG191:AG196)</f>
        <v>0</v>
      </c>
    </row>
    <row r="198" spans="1:33" x14ac:dyDescent="0.3">
      <c r="C198" s="1165"/>
    </row>
    <row r="199" spans="1:33" x14ac:dyDescent="0.3">
      <c r="C199" s="1154"/>
    </row>
    <row r="201" spans="1:33" x14ac:dyDescent="0.3">
      <c r="B201" s="1138" t="s">
        <v>510</v>
      </c>
      <c r="F201" s="1139" t="s">
        <v>10</v>
      </c>
    </row>
    <row r="202" spans="1:33" ht="26.15" customHeight="1" x14ac:dyDescent="0.3">
      <c r="A202" s="1140"/>
      <c r="B202" s="1158" t="s">
        <v>398</v>
      </c>
      <c r="C202" s="1619" t="s">
        <v>481</v>
      </c>
      <c r="D202" s="1619" t="s">
        <v>482</v>
      </c>
      <c r="E202" s="1619" t="s">
        <v>545</v>
      </c>
      <c r="F202" s="1621" t="s">
        <v>546</v>
      </c>
      <c r="G202" s="1622"/>
      <c r="H202" s="1622"/>
      <c r="I202" s="1622"/>
      <c r="J202" s="1622"/>
      <c r="K202" s="1622"/>
      <c r="L202" s="1622"/>
      <c r="M202" s="1622"/>
      <c r="N202" s="1622"/>
      <c r="O202" s="1622"/>
      <c r="P202" s="1622"/>
      <c r="Q202" s="1622"/>
      <c r="R202" s="1622"/>
      <c r="S202" s="1622"/>
      <c r="T202" s="1622"/>
      <c r="U202" s="1622"/>
      <c r="V202" s="1622"/>
      <c r="W202" s="1622"/>
      <c r="X202" s="1622"/>
      <c r="Y202" s="1622"/>
      <c r="Z202" s="1622"/>
      <c r="AA202" s="1622"/>
      <c r="AB202" s="1622"/>
      <c r="AC202" s="1622"/>
      <c r="AD202" s="1623"/>
      <c r="AE202" s="1141" t="s">
        <v>504</v>
      </c>
      <c r="AF202" s="1141" t="s">
        <v>497</v>
      </c>
      <c r="AG202" s="1141" t="s">
        <v>505</v>
      </c>
    </row>
    <row r="203" spans="1:33" ht="13" customHeight="1" x14ac:dyDescent="0.3">
      <c r="A203" s="1140"/>
      <c r="B203" s="1158"/>
      <c r="C203" s="1620"/>
      <c r="D203" s="1620"/>
      <c r="E203" s="1620"/>
      <c r="F203" s="1142" t="s">
        <v>483</v>
      </c>
      <c r="G203" s="1142" t="s">
        <v>484</v>
      </c>
      <c r="H203" s="1142" t="s">
        <v>485</v>
      </c>
      <c r="I203" s="1142" t="s">
        <v>486</v>
      </c>
      <c r="J203" s="1142" t="s">
        <v>487</v>
      </c>
      <c r="K203" s="1142" t="s">
        <v>488</v>
      </c>
      <c r="L203" s="1142" t="s">
        <v>489</v>
      </c>
      <c r="M203" s="1142" t="s">
        <v>490</v>
      </c>
      <c r="N203" s="1142" t="s">
        <v>491</v>
      </c>
      <c r="O203" s="1142" t="s">
        <v>492</v>
      </c>
      <c r="P203" s="1142" t="s">
        <v>493</v>
      </c>
      <c r="Q203" s="1142" t="s">
        <v>494</v>
      </c>
      <c r="R203" s="1142" t="s">
        <v>495</v>
      </c>
      <c r="S203" s="1142" t="s">
        <v>496</v>
      </c>
      <c r="T203" s="1142" t="s">
        <v>314</v>
      </c>
      <c r="U203" s="1142" t="s">
        <v>473</v>
      </c>
      <c r="V203" s="1142" t="s">
        <v>474</v>
      </c>
      <c r="W203" s="1142" t="s">
        <v>475</v>
      </c>
      <c r="X203" s="1142" t="s">
        <v>476</v>
      </c>
      <c r="Y203" s="1142" t="s">
        <v>477</v>
      </c>
      <c r="Z203" s="1142" t="s">
        <v>849</v>
      </c>
      <c r="AA203" s="1142" t="s">
        <v>850</v>
      </c>
      <c r="AB203" s="1142" t="s">
        <v>851</v>
      </c>
      <c r="AC203" s="1142" t="s">
        <v>852</v>
      </c>
      <c r="AD203" s="1142" t="s">
        <v>853</v>
      </c>
      <c r="AE203" s="1141"/>
      <c r="AF203" s="1141"/>
      <c r="AG203" s="1141"/>
    </row>
    <row r="204" spans="1:33" x14ac:dyDescent="0.3">
      <c r="A204" s="1143" t="s">
        <v>498</v>
      </c>
      <c r="B204" s="1144">
        <v>2005</v>
      </c>
      <c r="C204" s="1143"/>
      <c r="D204" s="1143"/>
      <c r="E204" s="1159"/>
      <c r="F204" s="1147"/>
      <c r="G204" s="1147"/>
      <c r="H204" s="1147"/>
      <c r="I204" s="1147"/>
      <c r="J204" s="1147"/>
      <c r="K204" s="1147"/>
      <c r="L204" s="1147"/>
      <c r="M204" s="1147"/>
      <c r="N204" s="1147"/>
      <c r="O204" s="1147"/>
      <c r="P204" s="1147"/>
      <c r="Q204" s="1147"/>
      <c r="R204" s="1147"/>
      <c r="S204" s="1147"/>
      <c r="T204" s="1147"/>
      <c r="U204" s="1147"/>
      <c r="V204" s="1147"/>
      <c r="W204" s="1147"/>
      <c r="X204" s="1147"/>
      <c r="Y204" s="1147"/>
      <c r="Z204" s="1147"/>
      <c r="AA204" s="1147"/>
      <c r="AB204" s="1147"/>
      <c r="AC204" s="1147"/>
      <c r="AD204" s="1147"/>
      <c r="AE204" s="1160"/>
      <c r="AF204" s="1160"/>
      <c r="AG204" s="1160"/>
    </row>
    <row r="205" spans="1:33" x14ac:dyDescent="0.3">
      <c r="A205" s="1143" t="s">
        <v>499</v>
      </c>
      <c r="B205" s="1144" t="s">
        <v>483</v>
      </c>
      <c r="C205" s="1143"/>
      <c r="D205" s="1143"/>
      <c r="E205" s="1159"/>
      <c r="F205" s="1148"/>
      <c r="G205" s="1147"/>
      <c r="H205" s="1147"/>
      <c r="I205" s="1147"/>
      <c r="J205" s="1147"/>
      <c r="K205" s="1147"/>
      <c r="L205" s="1147"/>
      <c r="M205" s="1147"/>
      <c r="N205" s="1147"/>
      <c r="O205" s="1147"/>
      <c r="P205" s="1147"/>
      <c r="Q205" s="1147"/>
      <c r="R205" s="1147"/>
      <c r="S205" s="1147"/>
      <c r="T205" s="1147"/>
      <c r="U205" s="1147"/>
      <c r="V205" s="1147"/>
      <c r="W205" s="1147"/>
      <c r="X205" s="1147"/>
      <c r="Y205" s="1147"/>
      <c r="Z205" s="1147"/>
      <c r="AA205" s="1147"/>
      <c r="AB205" s="1147"/>
      <c r="AC205" s="1147"/>
      <c r="AD205" s="1147"/>
      <c r="AE205" s="1160"/>
      <c r="AF205" s="1160"/>
      <c r="AG205" s="1160"/>
    </row>
    <row r="206" spans="1:33" x14ac:dyDescent="0.3">
      <c r="A206" s="1143" t="s">
        <v>499</v>
      </c>
      <c r="B206" s="1144" t="s">
        <v>484</v>
      </c>
      <c r="C206" s="1143"/>
      <c r="D206" s="1143"/>
      <c r="E206" s="1159"/>
      <c r="F206" s="1149"/>
      <c r="G206" s="1148"/>
      <c r="H206" s="1147"/>
      <c r="I206" s="1147"/>
      <c r="J206" s="1147"/>
      <c r="K206" s="1147"/>
      <c r="L206" s="1147"/>
      <c r="M206" s="1147"/>
      <c r="N206" s="1147"/>
      <c r="O206" s="1147"/>
      <c r="P206" s="1147"/>
      <c r="Q206" s="1147"/>
      <c r="R206" s="1147"/>
      <c r="S206" s="1147"/>
      <c r="T206" s="1147"/>
      <c r="U206" s="1147"/>
      <c r="V206" s="1147"/>
      <c r="W206" s="1147"/>
      <c r="X206" s="1147"/>
      <c r="Y206" s="1147"/>
      <c r="Z206" s="1147"/>
      <c r="AA206" s="1147"/>
      <c r="AB206" s="1147"/>
      <c r="AC206" s="1147"/>
      <c r="AD206" s="1147"/>
      <c r="AE206" s="1160"/>
      <c r="AF206" s="1160"/>
      <c r="AG206" s="1160"/>
    </row>
    <row r="207" spans="1:33" x14ac:dyDescent="0.3">
      <c r="A207" s="1143" t="s">
        <v>499</v>
      </c>
      <c r="B207" s="1144" t="s">
        <v>485</v>
      </c>
      <c r="C207" s="1143"/>
      <c r="D207" s="1143"/>
      <c r="E207" s="1159"/>
      <c r="F207" s="1149"/>
      <c r="G207" s="1149"/>
      <c r="H207" s="1148"/>
      <c r="I207" s="1147"/>
      <c r="J207" s="1147"/>
      <c r="K207" s="1147"/>
      <c r="L207" s="1147"/>
      <c r="M207" s="1147"/>
      <c r="N207" s="1147"/>
      <c r="O207" s="1147"/>
      <c r="P207" s="1147"/>
      <c r="Q207" s="1147"/>
      <c r="R207" s="1147"/>
      <c r="S207" s="1147"/>
      <c r="T207" s="1147"/>
      <c r="U207" s="1147"/>
      <c r="V207" s="1147"/>
      <c r="W207" s="1147"/>
      <c r="X207" s="1147"/>
      <c r="Y207" s="1147"/>
      <c r="Z207" s="1147"/>
      <c r="AA207" s="1147"/>
      <c r="AB207" s="1147"/>
      <c r="AC207" s="1147"/>
      <c r="AD207" s="1147"/>
      <c r="AE207" s="1160"/>
      <c r="AF207" s="1160"/>
      <c r="AG207" s="1160"/>
    </row>
    <row r="208" spans="1:33" x14ac:dyDescent="0.3">
      <c r="A208" s="1143" t="s">
        <v>499</v>
      </c>
      <c r="B208" s="1144" t="s">
        <v>486</v>
      </c>
      <c r="C208" s="1143"/>
      <c r="D208" s="1143"/>
      <c r="E208" s="1159"/>
      <c r="F208" s="1149"/>
      <c r="G208" s="1149"/>
      <c r="H208" s="1149"/>
      <c r="I208" s="1148"/>
      <c r="J208" s="1147"/>
      <c r="K208" s="1147"/>
      <c r="L208" s="1147"/>
      <c r="M208" s="1147"/>
      <c r="N208" s="1147"/>
      <c r="O208" s="1147"/>
      <c r="P208" s="1147"/>
      <c r="Q208" s="1147"/>
      <c r="R208" s="1147"/>
      <c r="S208" s="1147"/>
      <c r="T208" s="1147"/>
      <c r="U208" s="1147"/>
      <c r="V208" s="1147"/>
      <c r="W208" s="1147"/>
      <c r="X208" s="1147"/>
      <c r="Y208" s="1147"/>
      <c r="Z208" s="1147"/>
      <c r="AA208" s="1147"/>
      <c r="AB208" s="1147"/>
      <c r="AC208" s="1147"/>
      <c r="AD208" s="1147"/>
      <c r="AE208" s="1160"/>
      <c r="AF208" s="1160"/>
      <c r="AG208" s="1160"/>
    </row>
    <row r="209" spans="1:33" x14ac:dyDescent="0.3">
      <c r="A209" s="1143" t="s">
        <v>499</v>
      </c>
      <c r="B209" s="1144" t="s">
        <v>487</v>
      </c>
      <c r="C209" s="1143"/>
      <c r="D209" s="1143"/>
      <c r="E209" s="1159"/>
      <c r="F209" s="1149"/>
      <c r="G209" s="1149"/>
      <c r="H209" s="1149"/>
      <c r="I209" s="1149"/>
      <c r="J209" s="1148"/>
      <c r="K209" s="1147"/>
      <c r="L209" s="1147"/>
      <c r="M209" s="1147"/>
      <c r="N209" s="1147"/>
      <c r="O209" s="1147"/>
      <c r="P209" s="1147"/>
      <c r="Q209" s="1147"/>
      <c r="R209" s="1147"/>
      <c r="S209" s="1147"/>
      <c r="T209" s="1147"/>
      <c r="U209" s="1147"/>
      <c r="V209" s="1147"/>
      <c r="W209" s="1147"/>
      <c r="X209" s="1147"/>
      <c r="Y209" s="1147"/>
      <c r="Z209" s="1147"/>
      <c r="AA209" s="1147"/>
      <c r="AB209" s="1147"/>
      <c r="AC209" s="1147"/>
      <c r="AD209" s="1147"/>
      <c r="AE209" s="1160"/>
      <c r="AF209" s="1160"/>
      <c r="AG209" s="1160"/>
    </row>
    <row r="210" spans="1:33" x14ac:dyDescent="0.3">
      <c r="A210" s="1143" t="s">
        <v>499</v>
      </c>
      <c r="B210" s="1144" t="s">
        <v>488</v>
      </c>
      <c r="C210" s="1143"/>
      <c r="D210" s="1143"/>
      <c r="E210" s="1159"/>
      <c r="F210" s="1149"/>
      <c r="G210" s="1149"/>
      <c r="H210" s="1149"/>
      <c r="I210" s="1149"/>
      <c r="J210" s="1149"/>
      <c r="K210" s="1148"/>
      <c r="L210" s="1147"/>
      <c r="M210" s="1147"/>
      <c r="N210" s="1147"/>
      <c r="O210" s="1147"/>
      <c r="P210" s="1147"/>
      <c r="Q210" s="1147"/>
      <c r="R210" s="1147"/>
      <c r="S210" s="1147"/>
      <c r="T210" s="1147"/>
      <c r="U210" s="1147"/>
      <c r="V210" s="1147"/>
      <c r="W210" s="1147"/>
      <c r="X210" s="1147"/>
      <c r="Y210" s="1147"/>
      <c r="Z210" s="1147"/>
      <c r="AA210" s="1147"/>
      <c r="AB210" s="1147"/>
      <c r="AC210" s="1147"/>
      <c r="AD210" s="1147"/>
      <c r="AE210" s="1160"/>
      <c r="AF210" s="1160"/>
      <c r="AG210" s="1160"/>
    </row>
    <row r="211" spans="1:33" x14ac:dyDescent="0.3">
      <c r="A211" s="1143" t="s">
        <v>499</v>
      </c>
      <c r="B211" s="1144" t="s">
        <v>489</v>
      </c>
      <c r="C211" s="1143"/>
      <c r="D211" s="1143"/>
      <c r="E211" s="1159"/>
      <c r="F211" s="1149"/>
      <c r="G211" s="1149"/>
      <c r="H211" s="1149"/>
      <c r="I211" s="1149"/>
      <c r="J211" s="1149"/>
      <c r="K211" s="1149"/>
      <c r="L211" s="1148"/>
      <c r="M211" s="1147"/>
      <c r="N211" s="1147"/>
      <c r="O211" s="1147"/>
      <c r="P211" s="1147"/>
      <c r="Q211" s="1147"/>
      <c r="R211" s="1147"/>
      <c r="S211" s="1147"/>
      <c r="T211" s="1147"/>
      <c r="U211" s="1147"/>
      <c r="V211" s="1147"/>
      <c r="W211" s="1147"/>
      <c r="X211" s="1147"/>
      <c r="Y211" s="1147"/>
      <c r="Z211" s="1147"/>
      <c r="AA211" s="1147"/>
      <c r="AB211" s="1147"/>
      <c r="AC211" s="1147"/>
      <c r="AD211" s="1147"/>
      <c r="AE211" s="1160"/>
      <c r="AF211" s="1160"/>
      <c r="AG211" s="1160"/>
    </row>
    <row r="212" spans="1:33" x14ac:dyDescent="0.3">
      <c r="A212" s="1143" t="s">
        <v>499</v>
      </c>
      <c r="B212" s="1144" t="s">
        <v>490</v>
      </c>
      <c r="C212" s="1143"/>
      <c r="D212" s="1143"/>
      <c r="E212" s="1159"/>
      <c r="F212" s="1149"/>
      <c r="G212" s="1149"/>
      <c r="H212" s="1149"/>
      <c r="I212" s="1149"/>
      <c r="J212" s="1149"/>
      <c r="K212" s="1149"/>
      <c r="L212" s="1149"/>
      <c r="M212" s="1148"/>
      <c r="N212" s="1147"/>
      <c r="O212" s="1147"/>
      <c r="P212" s="1147"/>
      <c r="Q212" s="1147"/>
      <c r="R212" s="1147"/>
      <c r="S212" s="1147"/>
      <c r="T212" s="1147"/>
      <c r="U212" s="1147"/>
      <c r="V212" s="1147"/>
      <c r="W212" s="1147"/>
      <c r="X212" s="1147"/>
      <c r="Y212" s="1147"/>
      <c r="Z212" s="1147"/>
      <c r="AA212" s="1147"/>
      <c r="AB212" s="1147"/>
      <c r="AC212" s="1147"/>
      <c r="AD212" s="1147"/>
      <c r="AE212" s="1160"/>
      <c r="AF212" s="1160"/>
      <c r="AG212" s="1160"/>
    </row>
    <row r="213" spans="1:33" x14ac:dyDescent="0.3">
      <c r="A213" s="1143" t="s">
        <v>499</v>
      </c>
      <c r="B213" s="1144" t="s">
        <v>491</v>
      </c>
      <c r="C213" s="1143"/>
      <c r="D213" s="1143"/>
      <c r="E213" s="1159"/>
      <c r="F213" s="1149"/>
      <c r="G213" s="1149"/>
      <c r="H213" s="1149"/>
      <c r="I213" s="1149"/>
      <c r="J213" s="1149"/>
      <c r="K213" s="1149"/>
      <c r="L213" s="1149"/>
      <c r="M213" s="1149"/>
      <c r="N213" s="1148"/>
      <c r="O213" s="1147"/>
      <c r="P213" s="1147"/>
      <c r="Q213" s="1147"/>
      <c r="R213" s="1147"/>
      <c r="S213" s="1147"/>
      <c r="T213" s="1147"/>
      <c r="U213" s="1147"/>
      <c r="V213" s="1147"/>
      <c r="W213" s="1147"/>
      <c r="X213" s="1147"/>
      <c r="Y213" s="1147"/>
      <c r="Z213" s="1147"/>
      <c r="AA213" s="1147"/>
      <c r="AB213" s="1147"/>
      <c r="AC213" s="1147"/>
      <c r="AD213" s="1147"/>
      <c r="AE213" s="1160"/>
      <c r="AF213" s="1160"/>
      <c r="AG213" s="1160"/>
    </row>
    <row r="214" spans="1:33" x14ac:dyDescent="0.3">
      <c r="A214" s="1143" t="s">
        <v>499</v>
      </c>
      <c r="B214" s="1144" t="s">
        <v>492</v>
      </c>
      <c r="C214" s="1146"/>
      <c r="D214" s="1143"/>
      <c r="E214" s="1159"/>
      <c r="F214" s="1149"/>
      <c r="G214" s="1149"/>
      <c r="H214" s="1149"/>
      <c r="I214" s="1149"/>
      <c r="J214" s="1149"/>
      <c r="K214" s="1149"/>
      <c r="L214" s="1149"/>
      <c r="M214" s="1149"/>
      <c r="N214" s="1149"/>
      <c r="O214" s="1148"/>
      <c r="P214" s="1147"/>
      <c r="Q214" s="1147"/>
      <c r="R214" s="1147"/>
      <c r="S214" s="1147"/>
      <c r="T214" s="1147"/>
      <c r="U214" s="1147"/>
      <c r="V214" s="1147"/>
      <c r="W214" s="1147"/>
      <c r="X214" s="1147"/>
      <c r="Y214" s="1147"/>
      <c r="Z214" s="1147"/>
      <c r="AA214" s="1147"/>
      <c r="AB214" s="1147"/>
      <c r="AC214" s="1147"/>
      <c r="AD214" s="1147"/>
      <c r="AE214" s="1160"/>
      <c r="AF214" s="1160"/>
      <c r="AG214" s="1160"/>
    </row>
    <row r="215" spans="1:33" x14ac:dyDescent="0.3">
      <c r="A215" s="1143" t="s">
        <v>499</v>
      </c>
      <c r="B215" s="1144" t="s">
        <v>493</v>
      </c>
      <c r="C215" s="1146"/>
      <c r="D215" s="1143"/>
      <c r="E215" s="1159"/>
      <c r="F215" s="1149"/>
      <c r="G215" s="1149"/>
      <c r="H215" s="1149"/>
      <c r="I215" s="1149"/>
      <c r="J215" s="1149"/>
      <c r="K215" s="1149"/>
      <c r="L215" s="1149"/>
      <c r="M215" s="1149"/>
      <c r="N215" s="1149"/>
      <c r="O215" s="1149"/>
      <c r="P215" s="1148"/>
      <c r="Q215" s="1147"/>
      <c r="R215" s="1147"/>
      <c r="S215" s="1147"/>
      <c r="T215" s="1147"/>
      <c r="U215" s="1147"/>
      <c r="V215" s="1147"/>
      <c r="W215" s="1147"/>
      <c r="X215" s="1147"/>
      <c r="Y215" s="1147"/>
      <c r="Z215" s="1147"/>
      <c r="AA215" s="1147"/>
      <c r="AB215" s="1147"/>
      <c r="AC215" s="1147"/>
      <c r="AD215" s="1147"/>
      <c r="AE215" s="1160"/>
      <c r="AF215" s="1160"/>
      <c r="AG215" s="1160"/>
    </row>
    <row r="216" spans="1:33" x14ac:dyDescent="0.3">
      <c r="A216" s="1143" t="s">
        <v>499</v>
      </c>
      <c r="B216" s="1144" t="s">
        <v>494</v>
      </c>
      <c r="C216" s="1146"/>
      <c r="D216" s="1146"/>
      <c r="E216" s="1159"/>
      <c r="F216" s="1149"/>
      <c r="G216" s="1149"/>
      <c r="H216" s="1149"/>
      <c r="I216" s="1149"/>
      <c r="J216" s="1149"/>
      <c r="K216" s="1149"/>
      <c r="L216" s="1149"/>
      <c r="M216" s="1149"/>
      <c r="N216" s="1149"/>
      <c r="O216" s="1149"/>
      <c r="P216" s="1149"/>
      <c r="Q216" s="1148"/>
      <c r="R216" s="1147"/>
      <c r="S216" s="1147"/>
      <c r="T216" s="1147"/>
      <c r="U216" s="1147"/>
      <c r="V216" s="1147"/>
      <c r="W216" s="1147"/>
      <c r="X216" s="1147"/>
      <c r="Y216" s="1147"/>
      <c r="Z216" s="1147"/>
      <c r="AA216" s="1147"/>
      <c r="AB216" s="1147"/>
      <c r="AC216" s="1147"/>
      <c r="AD216" s="1147"/>
      <c r="AE216" s="1160"/>
      <c r="AF216" s="1160"/>
      <c r="AG216" s="1160"/>
    </row>
    <row r="217" spans="1:33" x14ac:dyDescent="0.3">
      <c r="A217" s="1143" t="s">
        <v>499</v>
      </c>
      <c r="B217" s="1144" t="s">
        <v>495</v>
      </c>
      <c r="C217" s="1146"/>
      <c r="D217" s="1146"/>
      <c r="E217" s="1159"/>
      <c r="F217" s="1149"/>
      <c r="G217" s="1149"/>
      <c r="H217" s="1149"/>
      <c r="I217" s="1149"/>
      <c r="J217" s="1149"/>
      <c r="K217" s="1149"/>
      <c r="L217" s="1149"/>
      <c r="M217" s="1149"/>
      <c r="N217" s="1149"/>
      <c r="O217" s="1149"/>
      <c r="P217" s="1149"/>
      <c r="Q217" s="1149"/>
      <c r="R217" s="1148"/>
      <c r="S217" s="1147"/>
      <c r="T217" s="1147"/>
      <c r="U217" s="1147"/>
      <c r="V217" s="1147"/>
      <c r="W217" s="1147"/>
      <c r="X217" s="1147"/>
      <c r="Y217" s="1147"/>
      <c r="Z217" s="1147"/>
      <c r="AA217" s="1147"/>
      <c r="AB217" s="1147"/>
      <c r="AC217" s="1147"/>
      <c r="AD217" s="1147"/>
      <c r="AE217" s="1160"/>
      <c r="AF217" s="1160"/>
      <c r="AG217" s="1160"/>
    </row>
    <row r="218" spans="1:33" x14ac:dyDescent="0.3">
      <c r="A218" s="1143" t="s">
        <v>499</v>
      </c>
      <c r="B218" s="1144" t="s">
        <v>496</v>
      </c>
      <c r="C218" s="1146"/>
      <c r="D218" s="1146"/>
      <c r="E218" s="1159"/>
      <c r="F218" s="1149"/>
      <c r="G218" s="1149"/>
      <c r="H218" s="1149"/>
      <c r="I218" s="1149"/>
      <c r="J218" s="1149"/>
      <c r="K218" s="1149"/>
      <c r="L218" s="1149"/>
      <c r="M218" s="1149"/>
      <c r="N218" s="1149"/>
      <c r="O218" s="1149"/>
      <c r="P218" s="1149"/>
      <c r="Q218" s="1149"/>
      <c r="R218" s="1149"/>
      <c r="S218" s="1148"/>
      <c r="T218" s="1147"/>
      <c r="U218" s="1147"/>
      <c r="V218" s="1147"/>
      <c r="W218" s="1147"/>
      <c r="X218" s="1147"/>
      <c r="Y218" s="1147"/>
      <c r="Z218" s="1147"/>
      <c r="AA218" s="1147"/>
      <c r="AB218" s="1147"/>
      <c r="AC218" s="1147"/>
      <c r="AD218" s="1147"/>
      <c r="AE218" s="1160"/>
      <c r="AF218" s="1160"/>
      <c r="AG218" s="1160"/>
    </row>
    <row r="219" spans="1:33" x14ac:dyDescent="0.3">
      <c r="A219" s="1143" t="s">
        <v>499</v>
      </c>
      <c r="B219" s="1144" t="s">
        <v>500</v>
      </c>
      <c r="C219" s="1146"/>
      <c r="D219" s="1146"/>
      <c r="E219" s="1162"/>
      <c r="F219" s="1149"/>
      <c r="G219" s="1149"/>
      <c r="H219" s="1149"/>
      <c r="I219" s="1149"/>
      <c r="J219" s="1149"/>
      <c r="K219" s="1149"/>
      <c r="L219" s="1149"/>
      <c r="M219" s="1149"/>
      <c r="N219" s="1149"/>
      <c r="O219" s="1149"/>
      <c r="P219" s="1149"/>
      <c r="Q219" s="1149"/>
      <c r="R219" s="1149"/>
      <c r="S219" s="1149"/>
      <c r="T219" s="1148"/>
      <c r="U219" s="1147"/>
      <c r="V219" s="1147"/>
      <c r="W219" s="1147"/>
      <c r="X219" s="1147"/>
      <c r="Y219" s="1147"/>
      <c r="Z219" s="1147"/>
      <c r="AA219" s="1147"/>
      <c r="AB219" s="1147"/>
      <c r="AC219" s="1147"/>
      <c r="AD219" s="1147"/>
      <c r="AE219" s="1160"/>
      <c r="AF219" s="1160"/>
      <c r="AG219" s="1160"/>
    </row>
    <row r="220" spans="1:33" x14ac:dyDescent="0.3">
      <c r="A220" s="1143" t="s">
        <v>499</v>
      </c>
      <c r="B220" s="1144" t="s">
        <v>501</v>
      </c>
      <c r="C220" s="1146"/>
      <c r="D220" s="1146"/>
      <c r="E220" s="1162"/>
      <c r="F220" s="1149"/>
      <c r="G220" s="1149"/>
      <c r="H220" s="1149"/>
      <c r="I220" s="1149"/>
      <c r="J220" s="1149"/>
      <c r="K220" s="1149"/>
      <c r="L220" s="1149"/>
      <c r="M220" s="1149"/>
      <c r="N220" s="1149"/>
      <c r="O220" s="1149"/>
      <c r="P220" s="1149"/>
      <c r="Q220" s="1149"/>
      <c r="R220" s="1149"/>
      <c r="S220" s="1149"/>
      <c r="T220" s="1149"/>
      <c r="U220" s="1148"/>
      <c r="V220" s="1147"/>
      <c r="W220" s="1147"/>
      <c r="X220" s="1147"/>
      <c r="Y220" s="1147"/>
      <c r="Z220" s="1147"/>
      <c r="AA220" s="1147"/>
      <c r="AB220" s="1147"/>
      <c r="AC220" s="1147"/>
      <c r="AD220" s="1147"/>
      <c r="AE220" s="1160"/>
      <c r="AF220" s="1160"/>
      <c r="AG220" s="1160"/>
    </row>
    <row r="221" spans="1:33" x14ac:dyDescent="0.3">
      <c r="A221" s="1143" t="s">
        <v>499</v>
      </c>
      <c r="B221" s="1144" t="s">
        <v>502</v>
      </c>
      <c r="C221" s="1146"/>
      <c r="D221" s="1146"/>
      <c r="E221" s="1162"/>
      <c r="F221" s="1149"/>
      <c r="G221" s="1149"/>
      <c r="H221" s="1149"/>
      <c r="I221" s="1149"/>
      <c r="J221" s="1149"/>
      <c r="K221" s="1149"/>
      <c r="L221" s="1149"/>
      <c r="M221" s="1149"/>
      <c r="N221" s="1149"/>
      <c r="O221" s="1149"/>
      <c r="P221" s="1149"/>
      <c r="Q221" s="1149"/>
      <c r="R221" s="1149"/>
      <c r="S221" s="1149"/>
      <c r="T221" s="1149"/>
      <c r="U221" s="1149"/>
      <c r="V221" s="1148"/>
      <c r="W221" s="1147"/>
      <c r="X221" s="1147"/>
      <c r="Y221" s="1147"/>
      <c r="Z221" s="1147"/>
      <c r="AA221" s="1147"/>
      <c r="AB221" s="1147"/>
      <c r="AC221" s="1147"/>
      <c r="AD221" s="1147"/>
      <c r="AE221" s="1160"/>
      <c r="AF221" s="1160"/>
      <c r="AG221" s="1160"/>
    </row>
    <row r="222" spans="1:33" x14ac:dyDescent="0.3">
      <c r="A222" s="1143" t="s">
        <v>499</v>
      </c>
      <c r="B222" s="1144" t="s">
        <v>512</v>
      </c>
      <c r="C222" s="1146"/>
      <c r="D222" s="1146"/>
      <c r="E222" s="1162"/>
      <c r="F222" s="1149"/>
      <c r="G222" s="1149"/>
      <c r="H222" s="1149"/>
      <c r="I222" s="1149"/>
      <c r="J222" s="1149"/>
      <c r="K222" s="1149"/>
      <c r="L222" s="1149"/>
      <c r="M222" s="1149"/>
      <c r="N222" s="1149"/>
      <c r="O222" s="1149"/>
      <c r="P222" s="1149"/>
      <c r="Q222" s="1149"/>
      <c r="R222" s="1149"/>
      <c r="S222" s="1149"/>
      <c r="T222" s="1149"/>
      <c r="U222" s="1149"/>
      <c r="V222" s="1149"/>
      <c r="W222" s="1148"/>
      <c r="X222" s="1147"/>
      <c r="Y222" s="1147"/>
      <c r="Z222" s="1147"/>
      <c r="AA222" s="1147"/>
      <c r="AB222" s="1147"/>
      <c r="AC222" s="1147"/>
      <c r="AD222" s="1147"/>
      <c r="AE222" s="1160"/>
      <c r="AF222" s="1160"/>
      <c r="AG222" s="1160"/>
    </row>
    <row r="223" spans="1:33" x14ac:dyDescent="0.3">
      <c r="A223" s="1143" t="s">
        <v>499</v>
      </c>
      <c r="B223" s="1144" t="s">
        <v>513</v>
      </c>
      <c r="C223" s="1146"/>
      <c r="D223" s="1146"/>
      <c r="E223" s="1162"/>
      <c r="F223" s="1149"/>
      <c r="G223" s="1149"/>
      <c r="H223" s="1149"/>
      <c r="I223" s="1149"/>
      <c r="J223" s="1149"/>
      <c r="K223" s="1149"/>
      <c r="L223" s="1149"/>
      <c r="M223" s="1149"/>
      <c r="N223" s="1149"/>
      <c r="O223" s="1149"/>
      <c r="P223" s="1149"/>
      <c r="Q223" s="1149"/>
      <c r="R223" s="1149"/>
      <c r="S223" s="1149"/>
      <c r="T223" s="1149"/>
      <c r="U223" s="1149"/>
      <c r="V223" s="1149"/>
      <c r="W223" s="1149"/>
      <c r="X223" s="1148"/>
      <c r="Y223" s="1147"/>
      <c r="Z223" s="1147"/>
      <c r="AA223" s="1147"/>
      <c r="AB223" s="1147"/>
      <c r="AC223" s="1147"/>
      <c r="AD223" s="1147"/>
      <c r="AE223" s="1160"/>
      <c r="AF223" s="1160"/>
      <c r="AG223" s="1160"/>
    </row>
    <row r="224" spans="1:33" x14ac:dyDescent="0.3">
      <c r="A224" s="1143" t="s">
        <v>499</v>
      </c>
      <c r="B224" s="1144" t="s">
        <v>514</v>
      </c>
      <c r="C224" s="1146">
        <f>'F5'!E25</f>
        <v>0</v>
      </c>
      <c r="D224" s="1146"/>
      <c r="E224" s="1162">
        <f>'F5'!O79</f>
        <v>9.5000000000000001E-2</v>
      </c>
      <c r="F224" s="1149"/>
      <c r="G224" s="1149"/>
      <c r="H224" s="1149"/>
      <c r="I224" s="1149"/>
      <c r="J224" s="1149"/>
      <c r="K224" s="1149"/>
      <c r="L224" s="1149"/>
      <c r="M224" s="1149"/>
      <c r="N224" s="1149"/>
      <c r="O224" s="1149"/>
      <c r="P224" s="1149"/>
      <c r="Q224" s="1149"/>
      <c r="R224" s="1149"/>
      <c r="S224" s="1149"/>
      <c r="T224" s="1149"/>
      <c r="U224" s="1149"/>
      <c r="V224" s="1149"/>
      <c r="W224" s="1149"/>
      <c r="X224" s="1149"/>
      <c r="Y224" s="1148">
        <f>$C224*$E224</f>
        <v>0</v>
      </c>
      <c r="Z224" s="1148">
        <f t="shared" ref="Z224:AD229" si="14">$C224*$E224</f>
        <v>0</v>
      </c>
      <c r="AA224" s="1148">
        <f t="shared" si="14"/>
        <v>0</v>
      </c>
      <c r="AB224" s="1148">
        <f t="shared" si="14"/>
        <v>0</v>
      </c>
      <c r="AC224" s="1148">
        <f t="shared" si="14"/>
        <v>0</v>
      </c>
      <c r="AD224" s="1148">
        <f t="shared" si="14"/>
        <v>0</v>
      </c>
      <c r="AE224" s="1160">
        <f>SUM(Y224:AD224)</f>
        <v>0</v>
      </c>
      <c r="AF224" s="1160"/>
      <c r="AG224" s="1160">
        <f>C224*0.9-AE224</f>
        <v>0</v>
      </c>
    </row>
    <row r="225" spans="1:33" x14ac:dyDescent="0.3">
      <c r="A225" s="1143" t="s">
        <v>499</v>
      </c>
      <c r="B225" s="1144" t="s">
        <v>914</v>
      </c>
      <c r="C225" s="1150">
        <f>'F5.1 (N)'!$E$25</f>
        <v>0</v>
      </c>
      <c r="D225" s="1146"/>
      <c r="E225" s="1162">
        <f>'F5.1 (N)'!$AC$53</f>
        <v>9.5000000000000001E-2</v>
      </c>
      <c r="F225" s="1149"/>
      <c r="G225" s="1149"/>
      <c r="H225" s="1149"/>
      <c r="I225" s="1149"/>
      <c r="J225" s="1149"/>
      <c r="K225" s="1149"/>
      <c r="L225" s="1149"/>
      <c r="M225" s="1149"/>
      <c r="N225" s="1149"/>
      <c r="O225" s="1149"/>
      <c r="P225" s="1149"/>
      <c r="Q225" s="1149"/>
      <c r="R225" s="1149"/>
      <c r="S225" s="1149"/>
      <c r="T225" s="1149"/>
      <c r="U225" s="1149"/>
      <c r="V225" s="1149"/>
      <c r="W225" s="1149"/>
      <c r="X225" s="1149"/>
      <c r="Y225" s="1149"/>
      <c r="Z225" s="1148">
        <f t="shared" si="14"/>
        <v>0</v>
      </c>
      <c r="AA225" s="1148">
        <f t="shared" si="14"/>
        <v>0</v>
      </c>
      <c r="AB225" s="1148">
        <f t="shared" si="14"/>
        <v>0</v>
      </c>
      <c r="AC225" s="1148">
        <f t="shared" si="14"/>
        <v>0</v>
      </c>
      <c r="AD225" s="1148">
        <f t="shared" si="14"/>
        <v>0</v>
      </c>
      <c r="AE225" s="1146">
        <f>SUM(Z225:AD225)</f>
        <v>0</v>
      </c>
      <c r="AF225" s="1146"/>
      <c r="AG225" s="1160">
        <f t="shared" ref="AG225:AG229" si="15">C225*0.9-AE225</f>
        <v>0</v>
      </c>
    </row>
    <row r="226" spans="1:33" x14ac:dyDescent="0.3">
      <c r="A226" s="1143" t="s">
        <v>499</v>
      </c>
      <c r="B226" s="1144" t="s">
        <v>915</v>
      </c>
      <c r="C226" s="1146">
        <f>'F5.1 (N)'!$J$25</f>
        <v>0</v>
      </c>
      <c r="D226" s="1146"/>
      <c r="E226" s="1162">
        <f>'F5.1 (N)'!$AC$53</f>
        <v>9.5000000000000001E-2</v>
      </c>
      <c r="F226" s="1149"/>
      <c r="G226" s="1149"/>
      <c r="H226" s="1149"/>
      <c r="I226" s="1149"/>
      <c r="J226" s="1149"/>
      <c r="K226" s="1149"/>
      <c r="L226" s="1149"/>
      <c r="M226" s="1149"/>
      <c r="N226" s="1149"/>
      <c r="O226" s="1149"/>
      <c r="P226" s="1149"/>
      <c r="Q226" s="1149"/>
      <c r="R226" s="1149"/>
      <c r="S226" s="1149"/>
      <c r="T226" s="1149"/>
      <c r="U226" s="1149"/>
      <c r="V226" s="1149"/>
      <c r="W226" s="1149"/>
      <c r="X226" s="1149"/>
      <c r="Y226" s="1149"/>
      <c r="Z226" s="1149"/>
      <c r="AA226" s="1148">
        <f t="shared" si="14"/>
        <v>0</v>
      </c>
      <c r="AB226" s="1148">
        <f t="shared" si="14"/>
        <v>0</v>
      </c>
      <c r="AC226" s="1148">
        <f t="shared" si="14"/>
        <v>0</v>
      </c>
      <c r="AD226" s="1148">
        <f t="shared" si="14"/>
        <v>0</v>
      </c>
      <c r="AE226" s="1146">
        <f>SUM(AA226:AD226)</f>
        <v>0</v>
      </c>
      <c r="AF226" s="1146"/>
      <c r="AG226" s="1160">
        <f t="shared" si="15"/>
        <v>0</v>
      </c>
    </row>
    <row r="227" spans="1:33" x14ac:dyDescent="0.3">
      <c r="A227" s="1143" t="s">
        <v>499</v>
      </c>
      <c r="B227" s="1144" t="s">
        <v>916</v>
      </c>
      <c r="C227" s="1146">
        <f>'F5.1 (N)'!$O$25</f>
        <v>0</v>
      </c>
      <c r="D227" s="1146"/>
      <c r="E227" s="1162">
        <f>'F5.1 (N)'!$AC$53</f>
        <v>9.5000000000000001E-2</v>
      </c>
      <c r="F227" s="1149"/>
      <c r="G227" s="1149"/>
      <c r="H227" s="1149"/>
      <c r="I227" s="1149"/>
      <c r="J227" s="1149"/>
      <c r="K227" s="1149"/>
      <c r="L227" s="1149"/>
      <c r="M227" s="1149"/>
      <c r="N227" s="1149"/>
      <c r="O227" s="1149"/>
      <c r="P227" s="1149"/>
      <c r="Q227" s="1149"/>
      <c r="R227" s="1149"/>
      <c r="S227" s="1149"/>
      <c r="T227" s="1149"/>
      <c r="U227" s="1149"/>
      <c r="V227" s="1149"/>
      <c r="W227" s="1149"/>
      <c r="X227" s="1149"/>
      <c r="Y227" s="1149"/>
      <c r="Z227" s="1149"/>
      <c r="AA227" s="1149"/>
      <c r="AB227" s="1148">
        <f t="shared" si="14"/>
        <v>0</v>
      </c>
      <c r="AC227" s="1148">
        <f t="shared" si="14"/>
        <v>0</v>
      </c>
      <c r="AD227" s="1148">
        <f t="shared" si="14"/>
        <v>0</v>
      </c>
      <c r="AE227" s="1146">
        <f>SUM(AB227:AD227)</f>
        <v>0</v>
      </c>
      <c r="AF227" s="1146"/>
      <c r="AG227" s="1160">
        <f t="shared" si="15"/>
        <v>0</v>
      </c>
    </row>
    <row r="228" spans="1:33" x14ac:dyDescent="0.3">
      <c r="A228" s="1143" t="s">
        <v>499</v>
      </c>
      <c r="B228" s="1144" t="s">
        <v>917</v>
      </c>
      <c r="C228" s="1146">
        <f>'F5.1 (N)'!$T$25</f>
        <v>0</v>
      </c>
      <c r="D228" s="1146"/>
      <c r="E228" s="1162">
        <f>'F5.1 (N)'!$AC$53</f>
        <v>9.5000000000000001E-2</v>
      </c>
      <c r="F228" s="1149"/>
      <c r="G228" s="1149"/>
      <c r="H228" s="1149"/>
      <c r="I228" s="1149"/>
      <c r="J228" s="1149"/>
      <c r="K228" s="1149"/>
      <c r="L228" s="1149"/>
      <c r="M228" s="1149"/>
      <c r="N228" s="1149"/>
      <c r="O228" s="1149"/>
      <c r="P228" s="1149"/>
      <c r="Q228" s="1149"/>
      <c r="R228" s="1149"/>
      <c r="S228" s="1149"/>
      <c r="T228" s="1149"/>
      <c r="U228" s="1149"/>
      <c r="V228" s="1149"/>
      <c r="W228" s="1149"/>
      <c r="X228" s="1149"/>
      <c r="Y228" s="1149"/>
      <c r="Z228" s="1149"/>
      <c r="AA228" s="1149"/>
      <c r="AB228" s="1149"/>
      <c r="AC228" s="1148">
        <f t="shared" si="14"/>
        <v>0</v>
      </c>
      <c r="AD228" s="1148">
        <f t="shared" si="14"/>
        <v>0</v>
      </c>
      <c r="AE228" s="1146">
        <f>SUM(AC228:AD228)</f>
        <v>0</v>
      </c>
      <c r="AF228" s="1146"/>
      <c r="AG228" s="1160">
        <f t="shared" si="15"/>
        <v>0</v>
      </c>
    </row>
    <row r="229" spans="1:33" x14ac:dyDescent="0.3">
      <c r="A229" s="1143" t="s">
        <v>499</v>
      </c>
      <c r="B229" s="1144" t="s">
        <v>918</v>
      </c>
      <c r="C229" s="1146">
        <f>'F5.1 (N)'!$Y$25</f>
        <v>0</v>
      </c>
      <c r="D229" s="1146"/>
      <c r="E229" s="1162">
        <f>'F5.1 (N)'!$AC$53</f>
        <v>9.5000000000000001E-2</v>
      </c>
      <c r="F229" s="1149"/>
      <c r="G229" s="1149"/>
      <c r="H229" s="1149"/>
      <c r="I229" s="1149"/>
      <c r="J229" s="1149"/>
      <c r="K229" s="1149"/>
      <c r="L229" s="1149"/>
      <c r="M229" s="1149"/>
      <c r="N229" s="1149"/>
      <c r="O229" s="1149"/>
      <c r="P229" s="1149"/>
      <c r="Q229" s="1149"/>
      <c r="R229" s="1149"/>
      <c r="S229" s="1149"/>
      <c r="T229" s="1149"/>
      <c r="U229" s="1149"/>
      <c r="V229" s="1149"/>
      <c r="W229" s="1149"/>
      <c r="X229" s="1149"/>
      <c r="Y229" s="1149"/>
      <c r="Z229" s="1149"/>
      <c r="AA229" s="1149"/>
      <c r="AB229" s="1149"/>
      <c r="AC229" s="1149"/>
      <c r="AD229" s="1148">
        <f t="shared" si="14"/>
        <v>0</v>
      </c>
      <c r="AE229" s="1146">
        <f>AD229</f>
        <v>0</v>
      </c>
      <c r="AF229" s="1146"/>
      <c r="AG229" s="1160">
        <f t="shared" si="15"/>
        <v>0</v>
      </c>
    </row>
    <row r="230" spans="1:33" x14ac:dyDescent="0.3">
      <c r="A230" s="1151"/>
      <c r="B230" s="1152" t="s">
        <v>267</v>
      </c>
      <c r="C230" s="1153"/>
      <c r="D230" s="1153"/>
      <c r="E230" s="1153"/>
      <c r="F230" s="1153"/>
      <c r="G230" s="1153"/>
      <c r="H230" s="1153"/>
      <c r="I230" s="1153"/>
      <c r="J230" s="1153"/>
      <c r="K230" s="1153"/>
      <c r="L230" s="1153"/>
      <c r="M230" s="1153"/>
      <c r="N230" s="1153"/>
      <c r="O230" s="1153"/>
      <c r="P230" s="1153"/>
      <c r="Q230" s="1153"/>
      <c r="R230" s="1153"/>
      <c r="S230" s="1153"/>
      <c r="T230" s="1153"/>
      <c r="U230" s="1153"/>
      <c r="V230" s="1153"/>
      <c r="W230" s="1153"/>
      <c r="X230" s="1153"/>
      <c r="Y230" s="1153">
        <f>SUM(Y224)</f>
        <v>0</v>
      </c>
      <c r="Z230" s="1153">
        <f>SUM(Z224:Z225)</f>
        <v>0</v>
      </c>
      <c r="AA230" s="1153">
        <f>SUM(AA224:AA226)</f>
        <v>0</v>
      </c>
      <c r="AB230" s="1153">
        <f>SUM(AB224:AB227)</f>
        <v>0</v>
      </c>
      <c r="AC230" s="1153">
        <f>SUM(AC224:AC228)</f>
        <v>0</v>
      </c>
      <c r="AD230" s="1153">
        <f>SUM(AD224:AD229)</f>
        <v>0</v>
      </c>
      <c r="AE230" s="1163">
        <f>SUM(AE224:AE229)</f>
        <v>0</v>
      </c>
      <c r="AF230" s="1163"/>
      <c r="AG230" s="1163">
        <f>SUM(AG224:AG229)</f>
        <v>0</v>
      </c>
    </row>
    <row r="231" spans="1:33" x14ac:dyDescent="0.3">
      <c r="C231" s="1165"/>
    </row>
    <row r="234" spans="1:33" x14ac:dyDescent="0.3">
      <c r="B234" s="1138" t="s">
        <v>511</v>
      </c>
      <c r="F234" s="1139" t="s">
        <v>10</v>
      </c>
    </row>
    <row r="235" spans="1:33" ht="26.15" customHeight="1" x14ac:dyDescent="0.3">
      <c r="A235" s="1140"/>
      <c r="B235" s="1158" t="s">
        <v>398</v>
      </c>
      <c r="C235" s="1619" t="s">
        <v>481</v>
      </c>
      <c r="D235" s="1619" t="s">
        <v>482</v>
      </c>
      <c r="E235" s="1619" t="s">
        <v>545</v>
      </c>
      <c r="F235" s="1621" t="s">
        <v>546</v>
      </c>
      <c r="G235" s="1622"/>
      <c r="H235" s="1622"/>
      <c r="I235" s="1622"/>
      <c r="J235" s="1622"/>
      <c r="K235" s="1622"/>
      <c r="L235" s="1622"/>
      <c r="M235" s="1622"/>
      <c r="N235" s="1622"/>
      <c r="O235" s="1622"/>
      <c r="P235" s="1622"/>
      <c r="Q235" s="1622"/>
      <c r="R235" s="1622"/>
      <c r="S235" s="1622"/>
      <c r="T235" s="1622"/>
      <c r="U235" s="1622"/>
      <c r="V235" s="1622"/>
      <c r="W235" s="1622"/>
      <c r="X235" s="1622"/>
      <c r="Y235" s="1622"/>
      <c r="Z235" s="1622"/>
      <c r="AA235" s="1622"/>
      <c r="AB235" s="1622"/>
      <c r="AC235" s="1622"/>
      <c r="AD235" s="1623"/>
      <c r="AE235" s="1141" t="s">
        <v>504</v>
      </c>
      <c r="AF235" s="1141" t="s">
        <v>497</v>
      </c>
      <c r="AG235" s="1141" t="s">
        <v>505</v>
      </c>
    </row>
    <row r="236" spans="1:33" ht="13" customHeight="1" x14ac:dyDescent="0.3">
      <c r="A236" s="1140"/>
      <c r="B236" s="1158"/>
      <c r="C236" s="1620"/>
      <c r="D236" s="1620"/>
      <c r="E236" s="1620"/>
      <c r="F236" s="1142" t="s">
        <v>483</v>
      </c>
      <c r="G236" s="1142" t="s">
        <v>484</v>
      </c>
      <c r="H236" s="1142" t="s">
        <v>485</v>
      </c>
      <c r="I236" s="1142" t="s">
        <v>486</v>
      </c>
      <c r="J236" s="1142" t="s">
        <v>487</v>
      </c>
      <c r="K236" s="1142" t="s">
        <v>488</v>
      </c>
      <c r="L236" s="1142" t="s">
        <v>489</v>
      </c>
      <c r="M236" s="1142" t="s">
        <v>490</v>
      </c>
      <c r="N236" s="1142" t="s">
        <v>491</v>
      </c>
      <c r="O236" s="1142" t="s">
        <v>492</v>
      </c>
      <c r="P236" s="1142" t="s">
        <v>493</v>
      </c>
      <c r="Q236" s="1142" t="s">
        <v>494</v>
      </c>
      <c r="R236" s="1142" t="s">
        <v>495</v>
      </c>
      <c r="S236" s="1142" t="s">
        <v>496</v>
      </c>
      <c r="T236" s="1142" t="s">
        <v>314</v>
      </c>
      <c r="U236" s="1142" t="s">
        <v>473</v>
      </c>
      <c r="V236" s="1142" t="s">
        <v>474</v>
      </c>
      <c r="W236" s="1142" t="s">
        <v>475</v>
      </c>
      <c r="X236" s="1142" t="s">
        <v>476</v>
      </c>
      <c r="Y236" s="1142" t="s">
        <v>477</v>
      </c>
      <c r="Z236" s="1142" t="s">
        <v>849</v>
      </c>
      <c r="AA236" s="1142" t="s">
        <v>850</v>
      </c>
      <c r="AB236" s="1142" t="s">
        <v>851</v>
      </c>
      <c r="AC236" s="1142" t="s">
        <v>852</v>
      </c>
      <c r="AD236" s="1142" t="s">
        <v>853</v>
      </c>
      <c r="AE236" s="1141"/>
      <c r="AF236" s="1141"/>
      <c r="AG236" s="1141"/>
    </row>
    <row r="237" spans="1:33" x14ac:dyDescent="0.3">
      <c r="A237" s="1143" t="s">
        <v>498</v>
      </c>
      <c r="B237" s="1144">
        <v>2005</v>
      </c>
      <c r="C237" s="1143"/>
      <c r="D237" s="1143"/>
      <c r="E237" s="1159"/>
      <c r="F237" s="1147"/>
      <c r="G237" s="1147"/>
      <c r="H237" s="1147"/>
      <c r="I237" s="1147"/>
      <c r="J237" s="1147"/>
      <c r="K237" s="1147"/>
      <c r="L237" s="1147"/>
      <c r="M237" s="1147"/>
      <c r="N237" s="1147"/>
      <c r="O237" s="1147"/>
      <c r="P237" s="1147"/>
      <c r="Q237" s="1147"/>
      <c r="R237" s="1147"/>
      <c r="S237" s="1147"/>
      <c r="T237" s="1147"/>
      <c r="U237" s="1147"/>
      <c r="V237" s="1147"/>
      <c r="W237" s="1147"/>
      <c r="X237" s="1147"/>
      <c r="Y237" s="1147"/>
      <c r="Z237" s="1147"/>
      <c r="AA237" s="1147"/>
      <c r="AB237" s="1147"/>
      <c r="AC237" s="1147"/>
      <c r="AD237" s="1147"/>
      <c r="AE237" s="1160"/>
      <c r="AF237" s="1160"/>
      <c r="AG237" s="1160"/>
    </row>
    <row r="238" spans="1:33" x14ac:dyDescent="0.3">
      <c r="A238" s="1143" t="s">
        <v>499</v>
      </c>
      <c r="B238" s="1144" t="s">
        <v>483</v>
      </c>
      <c r="C238" s="1143"/>
      <c r="D238" s="1143"/>
      <c r="E238" s="1159"/>
      <c r="F238" s="1148"/>
      <c r="G238" s="1147"/>
      <c r="H238" s="1147"/>
      <c r="I238" s="1147"/>
      <c r="J238" s="1147"/>
      <c r="K238" s="1147"/>
      <c r="L238" s="1147"/>
      <c r="M238" s="1147"/>
      <c r="N238" s="1147"/>
      <c r="O238" s="1147"/>
      <c r="P238" s="1147"/>
      <c r="Q238" s="1147"/>
      <c r="R238" s="1147"/>
      <c r="S238" s="1147"/>
      <c r="T238" s="1147"/>
      <c r="U238" s="1147"/>
      <c r="V238" s="1147"/>
      <c r="W238" s="1147"/>
      <c r="X238" s="1147"/>
      <c r="Y238" s="1147"/>
      <c r="Z238" s="1147"/>
      <c r="AA238" s="1147"/>
      <c r="AB238" s="1147"/>
      <c r="AC238" s="1147"/>
      <c r="AD238" s="1147"/>
      <c r="AE238" s="1160"/>
      <c r="AF238" s="1160"/>
      <c r="AG238" s="1160"/>
    </row>
    <row r="239" spans="1:33" x14ac:dyDescent="0.3">
      <c r="A239" s="1143" t="s">
        <v>499</v>
      </c>
      <c r="B239" s="1144" t="s">
        <v>484</v>
      </c>
      <c r="C239" s="1143"/>
      <c r="D239" s="1143"/>
      <c r="E239" s="1159"/>
      <c r="F239" s="1149"/>
      <c r="G239" s="1148"/>
      <c r="H239" s="1147"/>
      <c r="I239" s="1147"/>
      <c r="J239" s="1147"/>
      <c r="K239" s="1147"/>
      <c r="L239" s="1147"/>
      <c r="M239" s="1147"/>
      <c r="N239" s="1147"/>
      <c r="O239" s="1147"/>
      <c r="P239" s="1147"/>
      <c r="Q239" s="1147"/>
      <c r="R239" s="1147"/>
      <c r="S239" s="1147"/>
      <c r="T239" s="1147"/>
      <c r="U239" s="1147"/>
      <c r="V239" s="1147"/>
      <c r="W239" s="1147"/>
      <c r="X239" s="1147"/>
      <c r="Y239" s="1147"/>
      <c r="Z239" s="1147"/>
      <c r="AA239" s="1147"/>
      <c r="AB239" s="1147"/>
      <c r="AC239" s="1147"/>
      <c r="AD239" s="1147"/>
      <c r="AE239" s="1160"/>
      <c r="AF239" s="1160"/>
      <c r="AG239" s="1160"/>
    </row>
    <row r="240" spans="1:33" x14ac:dyDescent="0.3">
      <c r="A240" s="1143" t="s">
        <v>499</v>
      </c>
      <c r="B240" s="1144" t="s">
        <v>485</v>
      </c>
      <c r="C240" s="1143"/>
      <c r="D240" s="1143"/>
      <c r="E240" s="1159"/>
      <c r="F240" s="1149"/>
      <c r="G240" s="1149"/>
      <c r="H240" s="1148"/>
      <c r="I240" s="1147"/>
      <c r="J240" s="1147"/>
      <c r="K240" s="1147"/>
      <c r="L240" s="1147"/>
      <c r="M240" s="1147"/>
      <c r="N240" s="1147"/>
      <c r="O240" s="1147"/>
      <c r="P240" s="1147"/>
      <c r="Q240" s="1147"/>
      <c r="R240" s="1147"/>
      <c r="S240" s="1147"/>
      <c r="T240" s="1147"/>
      <c r="U240" s="1147"/>
      <c r="V240" s="1147"/>
      <c r="W240" s="1147"/>
      <c r="X240" s="1147"/>
      <c r="Y240" s="1147"/>
      <c r="Z240" s="1147"/>
      <c r="AA240" s="1147"/>
      <c r="AB240" s="1147"/>
      <c r="AC240" s="1147"/>
      <c r="AD240" s="1147"/>
      <c r="AE240" s="1160"/>
      <c r="AF240" s="1160"/>
      <c r="AG240" s="1160"/>
    </row>
    <row r="241" spans="1:33" x14ac:dyDescent="0.3">
      <c r="A241" s="1143" t="s">
        <v>499</v>
      </c>
      <c r="B241" s="1144" t="s">
        <v>486</v>
      </c>
      <c r="C241" s="1143"/>
      <c r="D241" s="1143"/>
      <c r="E241" s="1159"/>
      <c r="F241" s="1149"/>
      <c r="G241" s="1149"/>
      <c r="H241" s="1149"/>
      <c r="I241" s="1148"/>
      <c r="J241" s="1147"/>
      <c r="K241" s="1147"/>
      <c r="L241" s="1147"/>
      <c r="M241" s="1147"/>
      <c r="N241" s="1147"/>
      <c r="O241" s="1147"/>
      <c r="P241" s="1147"/>
      <c r="Q241" s="1147"/>
      <c r="R241" s="1147"/>
      <c r="S241" s="1147"/>
      <c r="T241" s="1147"/>
      <c r="U241" s="1147"/>
      <c r="V241" s="1147"/>
      <c r="W241" s="1147"/>
      <c r="X241" s="1147"/>
      <c r="Y241" s="1147"/>
      <c r="Z241" s="1147"/>
      <c r="AA241" s="1147"/>
      <c r="AB241" s="1147"/>
      <c r="AC241" s="1147"/>
      <c r="AD241" s="1147"/>
      <c r="AE241" s="1160"/>
      <c r="AF241" s="1160"/>
      <c r="AG241" s="1160"/>
    </row>
    <row r="242" spans="1:33" x14ac:dyDescent="0.3">
      <c r="A242" s="1143" t="s">
        <v>499</v>
      </c>
      <c r="B242" s="1144" t="s">
        <v>487</v>
      </c>
      <c r="C242" s="1143"/>
      <c r="D242" s="1143"/>
      <c r="E242" s="1159"/>
      <c r="F242" s="1149"/>
      <c r="G242" s="1149"/>
      <c r="H242" s="1149"/>
      <c r="I242" s="1149"/>
      <c r="J242" s="1148"/>
      <c r="K242" s="1147"/>
      <c r="L242" s="1147"/>
      <c r="M242" s="1147"/>
      <c r="N242" s="1147"/>
      <c r="O242" s="1147"/>
      <c r="P242" s="1147"/>
      <c r="Q242" s="1147"/>
      <c r="R242" s="1147"/>
      <c r="S242" s="1147"/>
      <c r="T242" s="1147"/>
      <c r="U242" s="1147"/>
      <c r="V242" s="1147"/>
      <c r="W242" s="1147"/>
      <c r="X242" s="1147"/>
      <c r="Y242" s="1147"/>
      <c r="Z242" s="1147"/>
      <c r="AA242" s="1147"/>
      <c r="AB242" s="1147"/>
      <c r="AC242" s="1147"/>
      <c r="AD242" s="1147"/>
      <c r="AE242" s="1160"/>
      <c r="AF242" s="1160"/>
      <c r="AG242" s="1160"/>
    </row>
    <row r="243" spans="1:33" x14ac:dyDescent="0.3">
      <c r="A243" s="1143" t="s">
        <v>499</v>
      </c>
      <c r="B243" s="1144" t="s">
        <v>488</v>
      </c>
      <c r="C243" s="1143"/>
      <c r="D243" s="1143"/>
      <c r="E243" s="1159"/>
      <c r="F243" s="1149"/>
      <c r="G243" s="1149"/>
      <c r="H243" s="1149"/>
      <c r="I243" s="1149"/>
      <c r="J243" s="1149"/>
      <c r="K243" s="1148"/>
      <c r="L243" s="1147"/>
      <c r="M243" s="1147"/>
      <c r="N243" s="1147"/>
      <c r="O243" s="1147"/>
      <c r="P243" s="1147"/>
      <c r="Q243" s="1147"/>
      <c r="R243" s="1147"/>
      <c r="S243" s="1147"/>
      <c r="T243" s="1147"/>
      <c r="U243" s="1147"/>
      <c r="V243" s="1147"/>
      <c r="W243" s="1147"/>
      <c r="X243" s="1147"/>
      <c r="Y243" s="1147"/>
      <c r="Z243" s="1147"/>
      <c r="AA243" s="1147"/>
      <c r="AB243" s="1147"/>
      <c r="AC243" s="1147"/>
      <c r="AD243" s="1147"/>
      <c r="AE243" s="1160"/>
      <c r="AF243" s="1160"/>
      <c r="AG243" s="1160"/>
    </row>
    <row r="244" spans="1:33" x14ac:dyDescent="0.3">
      <c r="A244" s="1143" t="s">
        <v>499</v>
      </c>
      <c r="B244" s="1144" t="s">
        <v>489</v>
      </c>
      <c r="C244" s="1143"/>
      <c r="D244" s="1143"/>
      <c r="E244" s="1159"/>
      <c r="F244" s="1149"/>
      <c r="G244" s="1149"/>
      <c r="H244" s="1149"/>
      <c r="I244" s="1149"/>
      <c r="J244" s="1149"/>
      <c r="K244" s="1149"/>
      <c r="L244" s="1148"/>
      <c r="M244" s="1147"/>
      <c r="N244" s="1147"/>
      <c r="O244" s="1147"/>
      <c r="P244" s="1147"/>
      <c r="Q244" s="1147"/>
      <c r="R244" s="1147"/>
      <c r="S244" s="1147"/>
      <c r="T244" s="1147"/>
      <c r="U244" s="1147"/>
      <c r="V244" s="1147"/>
      <c r="W244" s="1147"/>
      <c r="X244" s="1147"/>
      <c r="Y244" s="1147"/>
      <c r="Z244" s="1147"/>
      <c r="AA244" s="1147"/>
      <c r="AB244" s="1147"/>
      <c r="AC244" s="1147"/>
      <c r="AD244" s="1147"/>
      <c r="AE244" s="1160"/>
      <c r="AF244" s="1160"/>
      <c r="AG244" s="1160"/>
    </row>
    <row r="245" spans="1:33" x14ac:dyDescent="0.3">
      <c r="A245" s="1143" t="s">
        <v>499</v>
      </c>
      <c r="B245" s="1144" t="s">
        <v>490</v>
      </c>
      <c r="C245" s="1143"/>
      <c r="D245" s="1143"/>
      <c r="E245" s="1159"/>
      <c r="F245" s="1149"/>
      <c r="G245" s="1149"/>
      <c r="H245" s="1149"/>
      <c r="I245" s="1149"/>
      <c r="J245" s="1149"/>
      <c r="K245" s="1149"/>
      <c r="L245" s="1149"/>
      <c r="M245" s="1148"/>
      <c r="N245" s="1147"/>
      <c r="O245" s="1147"/>
      <c r="P245" s="1147"/>
      <c r="Q245" s="1147"/>
      <c r="R245" s="1147"/>
      <c r="S245" s="1147"/>
      <c r="T245" s="1147"/>
      <c r="U245" s="1147"/>
      <c r="V245" s="1147"/>
      <c r="W245" s="1147"/>
      <c r="X245" s="1147"/>
      <c r="Y245" s="1147"/>
      <c r="Z245" s="1147"/>
      <c r="AA245" s="1147"/>
      <c r="AB245" s="1147"/>
      <c r="AC245" s="1147"/>
      <c r="AD245" s="1147"/>
      <c r="AE245" s="1160"/>
      <c r="AF245" s="1160"/>
      <c r="AG245" s="1160"/>
    </row>
    <row r="246" spans="1:33" x14ac:dyDescent="0.3">
      <c r="A246" s="1143" t="s">
        <v>499</v>
      </c>
      <c r="B246" s="1144" t="s">
        <v>491</v>
      </c>
      <c r="C246" s="1143"/>
      <c r="D246" s="1143"/>
      <c r="E246" s="1159"/>
      <c r="F246" s="1149"/>
      <c r="G246" s="1149"/>
      <c r="H246" s="1149"/>
      <c r="I246" s="1149"/>
      <c r="J246" s="1149"/>
      <c r="K246" s="1149"/>
      <c r="L246" s="1149"/>
      <c r="M246" s="1149"/>
      <c r="N246" s="1148"/>
      <c r="O246" s="1147"/>
      <c r="P246" s="1147"/>
      <c r="Q246" s="1147"/>
      <c r="R246" s="1147"/>
      <c r="S246" s="1147"/>
      <c r="T246" s="1147"/>
      <c r="U246" s="1147"/>
      <c r="V246" s="1147"/>
      <c r="W246" s="1147"/>
      <c r="X246" s="1147"/>
      <c r="Y246" s="1147"/>
      <c r="Z246" s="1147"/>
      <c r="AA246" s="1147"/>
      <c r="AB246" s="1147"/>
      <c r="AC246" s="1147"/>
      <c r="AD246" s="1147"/>
      <c r="AE246" s="1160"/>
      <c r="AF246" s="1160"/>
      <c r="AG246" s="1160"/>
    </row>
    <row r="247" spans="1:33" x14ac:dyDescent="0.3">
      <c r="A247" s="1143" t="s">
        <v>499</v>
      </c>
      <c r="B247" s="1144" t="s">
        <v>492</v>
      </c>
      <c r="C247" s="1146"/>
      <c r="D247" s="1143"/>
      <c r="E247" s="1159"/>
      <c r="F247" s="1149"/>
      <c r="G247" s="1149"/>
      <c r="H247" s="1149"/>
      <c r="I247" s="1149"/>
      <c r="J247" s="1149"/>
      <c r="K247" s="1149"/>
      <c r="L247" s="1149"/>
      <c r="M247" s="1149"/>
      <c r="N247" s="1149"/>
      <c r="O247" s="1148"/>
      <c r="P247" s="1147"/>
      <c r="Q247" s="1147"/>
      <c r="R247" s="1147"/>
      <c r="S247" s="1147"/>
      <c r="T247" s="1147"/>
      <c r="U247" s="1147"/>
      <c r="V247" s="1147"/>
      <c r="W247" s="1147"/>
      <c r="X247" s="1147"/>
      <c r="Y247" s="1147"/>
      <c r="Z247" s="1147"/>
      <c r="AA247" s="1147"/>
      <c r="AB247" s="1147"/>
      <c r="AC247" s="1147"/>
      <c r="AD247" s="1147"/>
      <c r="AE247" s="1160"/>
      <c r="AF247" s="1160"/>
      <c r="AG247" s="1160"/>
    </row>
    <row r="248" spans="1:33" x14ac:dyDescent="0.3">
      <c r="A248" s="1143" t="s">
        <v>499</v>
      </c>
      <c r="B248" s="1144" t="s">
        <v>493</v>
      </c>
      <c r="C248" s="1146"/>
      <c r="D248" s="1143"/>
      <c r="E248" s="1159"/>
      <c r="F248" s="1149"/>
      <c r="G248" s="1149"/>
      <c r="H248" s="1149"/>
      <c r="I248" s="1149"/>
      <c r="J248" s="1149"/>
      <c r="K248" s="1149"/>
      <c r="L248" s="1149"/>
      <c r="M248" s="1149"/>
      <c r="N248" s="1149"/>
      <c r="O248" s="1149"/>
      <c r="P248" s="1148"/>
      <c r="Q248" s="1147"/>
      <c r="R248" s="1147"/>
      <c r="S248" s="1147"/>
      <c r="T248" s="1147"/>
      <c r="U248" s="1147"/>
      <c r="V248" s="1147"/>
      <c r="W248" s="1147"/>
      <c r="X248" s="1147"/>
      <c r="Y248" s="1147"/>
      <c r="Z248" s="1147"/>
      <c r="AA248" s="1147"/>
      <c r="AB248" s="1147"/>
      <c r="AC248" s="1147"/>
      <c r="AD248" s="1147"/>
      <c r="AE248" s="1160"/>
      <c r="AF248" s="1160"/>
      <c r="AG248" s="1160"/>
    </row>
    <row r="249" spans="1:33" x14ac:dyDescent="0.3">
      <c r="A249" s="1143" t="s">
        <v>499</v>
      </c>
      <c r="B249" s="1144" t="s">
        <v>494</v>
      </c>
      <c r="C249" s="1146"/>
      <c r="D249" s="1146"/>
      <c r="E249" s="1159"/>
      <c r="F249" s="1149"/>
      <c r="G249" s="1149"/>
      <c r="H249" s="1149"/>
      <c r="I249" s="1149"/>
      <c r="J249" s="1149"/>
      <c r="K249" s="1149"/>
      <c r="L249" s="1149"/>
      <c r="M249" s="1149"/>
      <c r="N249" s="1149"/>
      <c r="O249" s="1149"/>
      <c r="P249" s="1149"/>
      <c r="Q249" s="1148"/>
      <c r="R249" s="1147"/>
      <c r="S249" s="1147"/>
      <c r="T249" s="1147"/>
      <c r="U249" s="1147"/>
      <c r="V249" s="1147"/>
      <c r="W249" s="1147"/>
      <c r="X249" s="1147"/>
      <c r="Y249" s="1147"/>
      <c r="Z249" s="1147"/>
      <c r="AA249" s="1147"/>
      <c r="AB249" s="1147"/>
      <c r="AC249" s="1147"/>
      <c r="AD249" s="1147"/>
      <c r="AE249" s="1160"/>
      <c r="AF249" s="1160"/>
      <c r="AG249" s="1160"/>
    </row>
    <row r="250" spans="1:33" x14ac:dyDescent="0.3">
      <c r="A250" s="1143" t="s">
        <v>499</v>
      </c>
      <c r="B250" s="1144" t="s">
        <v>495</v>
      </c>
      <c r="C250" s="1146"/>
      <c r="D250" s="1146"/>
      <c r="E250" s="1159"/>
      <c r="F250" s="1149"/>
      <c r="G250" s="1149"/>
      <c r="H250" s="1149"/>
      <c r="I250" s="1149"/>
      <c r="J250" s="1149"/>
      <c r="K250" s="1149"/>
      <c r="L250" s="1149"/>
      <c r="M250" s="1149"/>
      <c r="N250" s="1149"/>
      <c r="O250" s="1149"/>
      <c r="P250" s="1149"/>
      <c r="Q250" s="1149"/>
      <c r="R250" s="1148"/>
      <c r="S250" s="1147"/>
      <c r="T250" s="1147"/>
      <c r="U250" s="1147"/>
      <c r="V250" s="1147"/>
      <c r="W250" s="1147"/>
      <c r="X250" s="1147"/>
      <c r="Y250" s="1147"/>
      <c r="Z250" s="1147"/>
      <c r="AA250" s="1147"/>
      <c r="AB250" s="1147"/>
      <c r="AC250" s="1147"/>
      <c r="AD250" s="1147"/>
      <c r="AE250" s="1160"/>
      <c r="AF250" s="1160"/>
      <c r="AG250" s="1160"/>
    </row>
    <row r="251" spans="1:33" x14ac:dyDescent="0.3">
      <c r="A251" s="1143" t="s">
        <v>499</v>
      </c>
      <c r="B251" s="1144" t="s">
        <v>496</v>
      </c>
      <c r="C251" s="1146"/>
      <c r="D251" s="1146"/>
      <c r="E251" s="1159"/>
      <c r="F251" s="1149"/>
      <c r="G251" s="1149"/>
      <c r="H251" s="1149"/>
      <c r="I251" s="1149"/>
      <c r="J251" s="1149"/>
      <c r="K251" s="1149"/>
      <c r="L251" s="1149"/>
      <c r="M251" s="1149"/>
      <c r="N251" s="1149"/>
      <c r="O251" s="1149"/>
      <c r="P251" s="1149"/>
      <c r="Q251" s="1149"/>
      <c r="R251" s="1149"/>
      <c r="S251" s="1148"/>
      <c r="T251" s="1147"/>
      <c r="U251" s="1147"/>
      <c r="V251" s="1147"/>
      <c r="W251" s="1147"/>
      <c r="X251" s="1147"/>
      <c r="Y251" s="1147"/>
      <c r="Z251" s="1147"/>
      <c r="AA251" s="1147"/>
      <c r="AB251" s="1147"/>
      <c r="AC251" s="1147"/>
      <c r="AD251" s="1147"/>
      <c r="AE251" s="1160"/>
      <c r="AF251" s="1160"/>
      <c r="AG251" s="1160"/>
    </row>
    <row r="252" spans="1:33" x14ac:dyDescent="0.3">
      <c r="A252" s="1143" t="s">
        <v>499</v>
      </c>
      <c r="B252" s="1144" t="s">
        <v>500</v>
      </c>
      <c r="C252" s="1146"/>
      <c r="D252" s="1146"/>
      <c r="E252" s="1162"/>
      <c r="F252" s="1149"/>
      <c r="G252" s="1149"/>
      <c r="H252" s="1149"/>
      <c r="I252" s="1149"/>
      <c r="J252" s="1149"/>
      <c r="K252" s="1149"/>
      <c r="L252" s="1149"/>
      <c r="M252" s="1149"/>
      <c r="N252" s="1149"/>
      <c r="O252" s="1149"/>
      <c r="P252" s="1149"/>
      <c r="Q252" s="1149"/>
      <c r="R252" s="1149"/>
      <c r="S252" s="1149"/>
      <c r="T252" s="1148"/>
      <c r="U252" s="1147"/>
      <c r="V252" s="1147"/>
      <c r="W252" s="1147"/>
      <c r="X252" s="1147"/>
      <c r="Y252" s="1147"/>
      <c r="Z252" s="1147"/>
      <c r="AA252" s="1147"/>
      <c r="AB252" s="1147"/>
      <c r="AC252" s="1147"/>
      <c r="AD252" s="1147"/>
      <c r="AE252" s="1160"/>
      <c r="AF252" s="1160"/>
      <c r="AG252" s="1160"/>
    </row>
    <row r="253" spans="1:33" x14ac:dyDescent="0.3">
      <c r="A253" s="1143" t="s">
        <v>499</v>
      </c>
      <c r="B253" s="1144" t="s">
        <v>501</v>
      </c>
      <c r="C253" s="1146"/>
      <c r="D253" s="1146"/>
      <c r="E253" s="1162"/>
      <c r="F253" s="1149"/>
      <c r="G253" s="1149"/>
      <c r="H253" s="1149"/>
      <c r="I253" s="1149"/>
      <c r="J253" s="1149"/>
      <c r="K253" s="1149"/>
      <c r="L253" s="1149"/>
      <c r="M253" s="1149"/>
      <c r="N253" s="1149"/>
      <c r="O253" s="1149"/>
      <c r="P253" s="1149"/>
      <c r="Q253" s="1149"/>
      <c r="R253" s="1149"/>
      <c r="S253" s="1149"/>
      <c r="T253" s="1149"/>
      <c r="U253" s="1148"/>
      <c r="V253" s="1147"/>
      <c r="W253" s="1147"/>
      <c r="X253" s="1147"/>
      <c r="Y253" s="1147"/>
      <c r="Z253" s="1147"/>
      <c r="AA253" s="1147"/>
      <c r="AB253" s="1147"/>
      <c r="AC253" s="1147"/>
      <c r="AD253" s="1147"/>
      <c r="AE253" s="1160"/>
      <c r="AF253" s="1160"/>
      <c r="AG253" s="1160"/>
    </row>
    <row r="254" spans="1:33" x14ac:dyDescent="0.3">
      <c r="A254" s="1143" t="s">
        <v>499</v>
      </c>
      <c r="B254" s="1144" t="s">
        <v>502</v>
      </c>
      <c r="C254" s="1146"/>
      <c r="D254" s="1146"/>
      <c r="E254" s="1162"/>
      <c r="F254" s="1149"/>
      <c r="G254" s="1149"/>
      <c r="H254" s="1149"/>
      <c r="I254" s="1149"/>
      <c r="J254" s="1149"/>
      <c r="K254" s="1149"/>
      <c r="L254" s="1149"/>
      <c r="M254" s="1149"/>
      <c r="N254" s="1149"/>
      <c r="O254" s="1149"/>
      <c r="P254" s="1149"/>
      <c r="Q254" s="1149"/>
      <c r="R254" s="1149"/>
      <c r="S254" s="1149"/>
      <c r="T254" s="1149"/>
      <c r="U254" s="1149"/>
      <c r="V254" s="1148"/>
      <c r="W254" s="1147"/>
      <c r="X254" s="1147"/>
      <c r="Y254" s="1147"/>
      <c r="Z254" s="1147"/>
      <c r="AA254" s="1147"/>
      <c r="AB254" s="1147"/>
      <c r="AC254" s="1147"/>
      <c r="AD254" s="1147"/>
      <c r="AE254" s="1160"/>
      <c r="AF254" s="1160"/>
      <c r="AG254" s="1160"/>
    </row>
    <row r="255" spans="1:33" x14ac:dyDescent="0.3">
      <c r="A255" s="1143" t="s">
        <v>499</v>
      </c>
      <c r="B255" s="1144" t="s">
        <v>512</v>
      </c>
      <c r="C255" s="1146"/>
      <c r="D255" s="1146"/>
      <c r="E255" s="1162"/>
      <c r="F255" s="1149"/>
      <c r="G255" s="1149"/>
      <c r="H255" s="1149"/>
      <c r="I255" s="1149"/>
      <c r="J255" s="1149"/>
      <c r="K255" s="1149"/>
      <c r="L255" s="1149"/>
      <c r="M255" s="1149"/>
      <c r="N255" s="1149"/>
      <c r="O255" s="1149"/>
      <c r="P255" s="1149"/>
      <c r="Q255" s="1149"/>
      <c r="R255" s="1149"/>
      <c r="S255" s="1149"/>
      <c r="T255" s="1149"/>
      <c r="U255" s="1149"/>
      <c r="V255" s="1149"/>
      <c r="W255" s="1148"/>
      <c r="X255" s="1147"/>
      <c r="Y255" s="1147"/>
      <c r="Z255" s="1147"/>
      <c r="AA255" s="1147"/>
      <c r="AB255" s="1147"/>
      <c r="AC255" s="1147"/>
      <c r="AD255" s="1147"/>
      <c r="AE255" s="1160"/>
      <c r="AF255" s="1160"/>
      <c r="AG255" s="1160"/>
    </row>
    <row r="256" spans="1:33" x14ac:dyDescent="0.3">
      <c r="A256" s="1143" t="s">
        <v>499</v>
      </c>
      <c r="B256" s="1144" t="s">
        <v>513</v>
      </c>
      <c r="C256" s="1146"/>
      <c r="D256" s="1146"/>
      <c r="E256" s="1162"/>
      <c r="F256" s="1149"/>
      <c r="G256" s="1149"/>
      <c r="H256" s="1149"/>
      <c r="I256" s="1149"/>
      <c r="J256" s="1149"/>
      <c r="K256" s="1149"/>
      <c r="L256" s="1149"/>
      <c r="M256" s="1149"/>
      <c r="N256" s="1149"/>
      <c r="O256" s="1149"/>
      <c r="P256" s="1149"/>
      <c r="Q256" s="1149"/>
      <c r="R256" s="1149"/>
      <c r="S256" s="1149"/>
      <c r="T256" s="1149"/>
      <c r="U256" s="1149"/>
      <c r="V256" s="1149"/>
      <c r="W256" s="1149"/>
      <c r="X256" s="1148"/>
      <c r="Y256" s="1147"/>
      <c r="Z256" s="1147"/>
      <c r="AA256" s="1147"/>
      <c r="AB256" s="1147"/>
      <c r="AC256" s="1147"/>
      <c r="AD256" s="1147"/>
      <c r="AE256" s="1160"/>
      <c r="AF256" s="1160"/>
      <c r="AG256" s="1160"/>
    </row>
    <row r="257" spans="1:33" x14ac:dyDescent="0.3">
      <c r="A257" s="1143" t="s">
        <v>499</v>
      </c>
      <c r="B257" s="1144" t="s">
        <v>514</v>
      </c>
      <c r="C257" s="1146">
        <f>'F5'!E26</f>
        <v>0</v>
      </c>
      <c r="D257" s="1146"/>
      <c r="E257" s="1162">
        <f>'F5'!O80</f>
        <v>6.3299999999999995E-2</v>
      </c>
      <c r="F257" s="1149"/>
      <c r="G257" s="1149"/>
      <c r="H257" s="1149"/>
      <c r="I257" s="1149"/>
      <c r="J257" s="1149"/>
      <c r="K257" s="1149"/>
      <c r="L257" s="1149"/>
      <c r="M257" s="1149"/>
      <c r="N257" s="1149"/>
      <c r="O257" s="1149"/>
      <c r="P257" s="1149"/>
      <c r="Q257" s="1149"/>
      <c r="R257" s="1149"/>
      <c r="S257" s="1149"/>
      <c r="T257" s="1149"/>
      <c r="U257" s="1149"/>
      <c r="V257" s="1149"/>
      <c r="W257" s="1149"/>
      <c r="X257" s="1149"/>
      <c r="Y257" s="1148">
        <f>$C257*$E257</f>
        <v>0</v>
      </c>
      <c r="Z257" s="1148">
        <f t="shared" ref="Z257:AD262" si="16">$C257*$E257</f>
        <v>0</v>
      </c>
      <c r="AA257" s="1148">
        <f t="shared" si="16"/>
        <v>0</v>
      </c>
      <c r="AB257" s="1148">
        <f t="shared" si="16"/>
        <v>0</v>
      </c>
      <c r="AC257" s="1148">
        <f t="shared" si="16"/>
        <v>0</v>
      </c>
      <c r="AD257" s="1148">
        <f t="shared" si="16"/>
        <v>0</v>
      </c>
      <c r="AE257" s="1160">
        <f t="array" ref="AE257">SUM(Y257:AD257)</f>
        <v>0</v>
      </c>
      <c r="AF257" s="1160"/>
      <c r="AG257" s="1160">
        <f>C257*0.9-AE257</f>
        <v>0</v>
      </c>
    </row>
    <row r="258" spans="1:33" x14ac:dyDescent="0.3">
      <c r="A258" s="1143" t="s">
        <v>499</v>
      </c>
      <c r="B258" s="1144" t="s">
        <v>914</v>
      </c>
      <c r="C258" s="1150">
        <f>'F5.1 (N)'!$E$26</f>
        <v>0</v>
      </c>
      <c r="D258" s="1146"/>
      <c r="E258" s="1162">
        <f>'F5.1 (N)'!$AC$54</f>
        <v>6.3299999999999995E-2</v>
      </c>
      <c r="F258" s="1149"/>
      <c r="G258" s="1149"/>
      <c r="H258" s="1149"/>
      <c r="I258" s="1149"/>
      <c r="J258" s="1149"/>
      <c r="K258" s="1149"/>
      <c r="L258" s="1149"/>
      <c r="M258" s="1149"/>
      <c r="N258" s="1149"/>
      <c r="O258" s="1149"/>
      <c r="P258" s="1149"/>
      <c r="Q258" s="1149"/>
      <c r="R258" s="1149"/>
      <c r="S258" s="1149"/>
      <c r="T258" s="1149"/>
      <c r="U258" s="1149"/>
      <c r="V258" s="1149"/>
      <c r="W258" s="1149"/>
      <c r="X258" s="1149"/>
      <c r="Y258" s="1149"/>
      <c r="Z258" s="1148">
        <f t="shared" si="16"/>
        <v>0</v>
      </c>
      <c r="AA258" s="1148">
        <f t="shared" si="16"/>
        <v>0</v>
      </c>
      <c r="AB258" s="1148">
        <f t="shared" si="16"/>
        <v>0</v>
      </c>
      <c r="AC258" s="1148">
        <f t="shared" si="16"/>
        <v>0</v>
      </c>
      <c r="AD258" s="1148">
        <f t="shared" si="16"/>
        <v>0</v>
      </c>
      <c r="AE258" s="1146">
        <f>SUM(Z258:AD258)</f>
        <v>0</v>
      </c>
      <c r="AF258" s="1146"/>
      <c r="AG258" s="1160">
        <f t="shared" ref="AG258:AG262" si="17">C258*0.9-AE258</f>
        <v>0</v>
      </c>
    </row>
    <row r="259" spans="1:33" x14ac:dyDescent="0.3">
      <c r="A259" s="1143" t="s">
        <v>499</v>
      </c>
      <c r="B259" s="1144" t="s">
        <v>915</v>
      </c>
      <c r="C259" s="1146">
        <f>'F5.1 (N)'!$J$26</f>
        <v>0</v>
      </c>
      <c r="D259" s="1146"/>
      <c r="E259" s="1162">
        <f>'F5.1 (N)'!$AC$54</f>
        <v>6.3299999999999995E-2</v>
      </c>
      <c r="F259" s="1149"/>
      <c r="G259" s="1149"/>
      <c r="H259" s="1149"/>
      <c r="I259" s="1149"/>
      <c r="J259" s="1149"/>
      <c r="K259" s="1149"/>
      <c r="L259" s="1149"/>
      <c r="M259" s="1149"/>
      <c r="N259" s="1149"/>
      <c r="O259" s="1149"/>
      <c r="P259" s="1149"/>
      <c r="Q259" s="1149"/>
      <c r="R259" s="1149"/>
      <c r="S259" s="1149"/>
      <c r="T259" s="1149"/>
      <c r="U259" s="1149"/>
      <c r="V259" s="1149"/>
      <c r="W259" s="1149"/>
      <c r="X259" s="1149"/>
      <c r="Y259" s="1149"/>
      <c r="Z259" s="1149"/>
      <c r="AA259" s="1148">
        <f t="shared" si="16"/>
        <v>0</v>
      </c>
      <c r="AB259" s="1148">
        <f t="shared" si="16"/>
        <v>0</v>
      </c>
      <c r="AC259" s="1148">
        <f t="shared" si="16"/>
        <v>0</v>
      </c>
      <c r="AD259" s="1148">
        <f t="shared" si="16"/>
        <v>0</v>
      </c>
      <c r="AE259" s="1146">
        <f>SUM(AA259:AD259)</f>
        <v>0</v>
      </c>
      <c r="AF259" s="1146"/>
      <c r="AG259" s="1160">
        <f t="shared" si="17"/>
        <v>0</v>
      </c>
    </row>
    <row r="260" spans="1:33" x14ac:dyDescent="0.3">
      <c r="A260" s="1143" t="s">
        <v>499</v>
      </c>
      <c r="B260" s="1144" t="s">
        <v>916</v>
      </c>
      <c r="C260" s="1146">
        <f>'F5.1 (N)'!$O$26</f>
        <v>0</v>
      </c>
      <c r="D260" s="1146"/>
      <c r="E260" s="1162">
        <f>'F5.1 (N)'!$AC$54</f>
        <v>6.3299999999999995E-2</v>
      </c>
      <c r="F260" s="1149"/>
      <c r="G260" s="1149"/>
      <c r="H260" s="1149"/>
      <c r="I260" s="1149"/>
      <c r="J260" s="1149"/>
      <c r="K260" s="1149"/>
      <c r="L260" s="1149"/>
      <c r="M260" s="1149"/>
      <c r="N260" s="1149"/>
      <c r="O260" s="1149"/>
      <c r="P260" s="1149"/>
      <c r="Q260" s="1149"/>
      <c r="R260" s="1149"/>
      <c r="S260" s="1149"/>
      <c r="T260" s="1149"/>
      <c r="U260" s="1149"/>
      <c r="V260" s="1149"/>
      <c r="W260" s="1149"/>
      <c r="X260" s="1149"/>
      <c r="Y260" s="1149"/>
      <c r="Z260" s="1149"/>
      <c r="AA260" s="1149"/>
      <c r="AB260" s="1148">
        <f t="shared" si="16"/>
        <v>0</v>
      </c>
      <c r="AC260" s="1148">
        <f t="shared" si="16"/>
        <v>0</v>
      </c>
      <c r="AD260" s="1148">
        <f t="shared" si="16"/>
        <v>0</v>
      </c>
      <c r="AE260" s="1146">
        <f>SUM(AB260:AD260)</f>
        <v>0</v>
      </c>
      <c r="AF260" s="1146"/>
      <c r="AG260" s="1160">
        <f t="shared" si="17"/>
        <v>0</v>
      </c>
    </row>
    <row r="261" spans="1:33" x14ac:dyDescent="0.3">
      <c r="A261" s="1143" t="s">
        <v>499</v>
      </c>
      <c r="B261" s="1144" t="s">
        <v>917</v>
      </c>
      <c r="C261" s="1146">
        <f>'F5.1 (N)'!$T$26</f>
        <v>0</v>
      </c>
      <c r="D261" s="1146"/>
      <c r="E261" s="1162">
        <f>'F5.1 (N)'!$AC$54</f>
        <v>6.3299999999999995E-2</v>
      </c>
      <c r="F261" s="1149"/>
      <c r="G261" s="1149"/>
      <c r="H261" s="1149"/>
      <c r="I261" s="1149"/>
      <c r="J261" s="1149"/>
      <c r="K261" s="1149"/>
      <c r="L261" s="1149"/>
      <c r="M261" s="1149"/>
      <c r="N261" s="1149"/>
      <c r="O261" s="1149"/>
      <c r="P261" s="1149"/>
      <c r="Q261" s="1149"/>
      <c r="R261" s="1149"/>
      <c r="S261" s="1149"/>
      <c r="T261" s="1149"/>
      <c r="U261" s="1149"/>
      <c r="V261" s="1149"/>
      <c r="W261" s="1149"/>
      <c r="X261" s="1149"/>
      <c r="Y261" s="1149"/>
      <c r="Z261" s="1149"/>
      <c r="AA261" s="1149"/>
      <c r="AB261" s="1149"/>
      <c r="AC261" s="1148">
        <f t="shared" si="16"/>
        <v>0</v>
      </c>
      <c r="AD261" s="1148">
        <f t="shared" si="16"/>
        <v>0</v>
      </c>
      <c r="AE261" s="1146">
        <f>SUM(AC261:AD261)</f>
        <v>0</v>
      </c>
      <c r="AF261" s="1146"/>
      <c r="AG261" s="1160">
        <f t="shared" si="17"/>
        <v>0</v>
      </c>
    </row>
    <row r="262" spans="1:33" x14ac:dyDescent="0.3">
      <c r="A262" s="1143" t="s">
        <v>499</v>
      </c>
      <c r="B262" s="1144" t="s">
        <v>918</v>
      </c>
      <c r="C262" s="1146">
        <f>'F5.1 (N)'!$Y$26</f>
        <v>0</v>
      </c>
      <c r="D262" s="1146"/>
      <c r="E262" s="1162">
        <f>'F5.1 (N)'!$AC$54</f>
        <v>6.3299999999999995E-2</v>
      </c>
      <c r="F262" s="1149"/>
      <c r="G262" s="1149"/>
      <c r="H262" s="1149"/>
      <c r="I262" s="1149"/>
      <c r="J262" s="1149"/>
      <c r="K262" s="1149"/>
      <c r="L262" s="1149"/>
      <c r="M262" s="1149"/>
      <c r="N262" s="1149"/>
      <c r="O262" s="1149"/>
      <c r="P262" s="1149"/>
      <c r="Q262" s="1149"/>
      <c r="R262" s="1149"/>
      <c r="S262" s="1149"/>
      <c r="T262" s="1149"/>
      <c r="U262" s="1149"/>
      <c r="V262" s="1149"/>
      <c r="W262" s="1149"/>
      <c r="X262" s="1149"/>
      <c r="Y262" s="1149"/>
      <c r="Z262" s="1149"/>
      <c r="AA262" s="1149"/>
      <c r="AB262" s="1149"/>
      <c r="AC262" s="1149"/>
      <c r="AD262" s="1148">
        <f t="shared" si="16"/>
        <v>0</v>
      </c>
      <c r="AE262" s="1146">
        <f>AD262</f>
        <v>0</v>
      </c>
      <c r="AF262" s="1146"/>
      <c r="AG262" s="1160">
        <f t="shared" si="17"/>
        <v>0</v>
      </c>
    </row>
    <row r="263" spans="1:33" x14ac:dyDescent="0.3">
      <c r="A263" s="1151"/>
      <c r="B263" s="1152" t="s">
        <v>267</v>
      </c>
      <c r="C263" s="1153"/>
      <c r="D263" s="1153"/>
      <c r="E263" s="1153"/>
      <c r="F263" s="1153"/>
      <c r="G263" s="1153"/>
      <c r="H263" s="1153"/>
      <c r="I263" s="1153"/>
      <c r="J263" s="1153"/>
      <c r="K263" s="1153"/>
      <c r="L263" s="1153"/>
      <c r="M263" s="1153"/>
      <c r="N263" s="1153"/>
      <c r="O263" s="1153"/>
      <c r="P263" s="1153"/>
      <c r="Q263" s="1153"/>
      <c r="R263" s="1153"/>
      <c r="S263" s="1153"/>
      <c r="T263" s="1153"/>
      <c r="U263" s="1153"/>
      <c r="V263" s="1153"/>
      <c r="W263" s="1153"/>
      <c r="X263" s="1153"/>
      <c r="Y263" s="1153">
        <f>SUM(Y257)</f>
        <v>0</v>
      </c>
      <c r="Z263" s="1153">
        <f>SUM(Z257:Z258)</f>
        <v>0</v>
      </c>
      <c r="AA263" s="1153">
        <f>SUM(AA257:AA259)</f>
        <v>0</v>
      </c>
      <c r="AB263" s="1153">
        <f>SUM(AB257:AB260)</f>
        <v>0</v>
      </c>
      <c r="AC263" s="1153">
        <f>SUM(AC257:AC261)</f>
        <v>0</v>
      </c>
      <c r="AD263" s="1153">
        <f>SUM(AD257:AD262)</f>
        <v>0</v>
      </c>
      <c r="AE263" s="1163">
        <f>SUM(AE257:AE262)</f>
        <v>0</v>
      </c>
      <c r="AF263" s="1163"/>
      <c r="AG263" s="1163">
        <f>SUM(AG257:AG262)</f>
        <v>0</v>
      </c>
    </row>
    <row r="264" spans="1:33" x14ac:dyDescent="0.3">
      <c r="C264" s="1165"/>
    </row>
    <row r="267" spans="1:33" x14ac:dyDescent="0.3">
      <c r="B267" s="1138" t="s">
        <v>256</v>
      </c>
      <c r="F267" s="1139" t="s">
        <v>10</v>
      </c>
    </row>
    <row r="268" spans="1:33" ht="26.15" customHeight="1" x14ac:dyDescent="0.3">
      <c r="A268" s="1140"/>
      <c r="B268" s="1158" t="s">
        <v>398</v>
      </c>
      <c r="C268" s="1619" t="s">
        <v>481</v>
      </c>
      <c r="D268" s="1619" t="s">
        <v>482</v>
      </c>
      <c r="E268" s="1619" t="s">
        <v>545</v>
      </c>
      <c r="F268" s="1621" t="s">
        <v>546</v>
      </c>
      <c r="G268" s="1622"/>
      <c r="H268" s="1622"/>
      <c r="I268" s="1622"/>
      <c r="J268" s="1622"/>
      <c r="K268" s="1622"/>
      <c r="L268" s="1622"/>
      <c r="M268" s="1622"/>
      <c r="N268" s="1622"/>
      <c r="O268" s="1622"/>
      <c r="P268" s="1622"/>
      <c r="Q268" s="1622"/>
      <c r="R268" s="1622"/>
      <c r="S268" s="1622"/>
      <c r="T268" s="1622"/>
      <c r="U268" s="1622"/>
      <c r="V268" s="1622"/>
      <c r="W268" s="1622"/>
      <c r="X268" s="1622"/>
      <c r="Y268" s="1622"/>
      <c r="Z268" s="1622"/>
      <c r="AA268" s="1622"/>
      <c r="AB268" s="1622"/>
      <c r="AC268" s="1622"/>
      <c r="AD268" s="1623"/>
      <c r="AE268" s="1141" t="s">
        <v>504</v>
      </c>
      <c r="AF268" s="1141" t="s">
        <v>497</v>
      </c>
      <c r="AG268" s="1141" t="s">
        <v>505</v>
      </c>
    </row>
    <row r="269" spans="1:33" ht="13" customHeight="1" x14ac:dyDescent="0.3">
      <c r="A269" s="1140"/>
      <c r="B269" s="1158"/>
      <c r="C269" s="1620"/>
      <c r="D269" s="1620"/>
      <c r="E269" s="1620"/>
      <c r="F269" s="1142" t="s">
        <v>483</v>
      </c>
      <c r="G269" s="1142" t="s">
        <v>484</v>
      </c>
      <c r="H269" s="1142" t="s">
        <v>485</v>
      </c>
      <c r="I269" s="1142" t="s">
        <v>486</v>
      </c>
      <c r="J269" s="1142" t="s">
        <v>487</v>
      </c>
      <c r="K269" s="1142" t="s">
        <v>488</v>
      </c>
      <c r="L269" s="1142" t="s">
        <v>489</v>
      </c>
      <c r="M269" s="1142" t="s">
        <v>490</v>
      </c>
      <c r="N269" s="1142" t="s">
        <v>491</v>
      </c>
      <c r="O269" s="1142" t="s">
        <v>492</v>
      </c>
      <c r="P269" s="1142" t="s">
        <v>493</v>
      </c>
      <c r="Q269" s="1142" t="s">
        <v>494</v>
      </c>
      <c r="R269" s="1142" t="s">
        <v>495</v>
      </c>
      <c r="S269" s="1142" t="s">
        <v>496</v>
      </c>
      <c r="T269" s="1142" t="s">
        <v>314</v>
      </c>
      <c r="U269" s="1142" t="s">
        <v>473</v>
      </c>
      <c r="V269" s="1142" t="s">
        <v>474</v>
      </c>
      <c r="W269" s="1142" t="s">
        <v>475</v>
      </c>
      <c r="X269" s="1142" t="s">
        <v>476</v>
      </c>
      <c r="Y269" s="1142" t="s">
        <v>477</v>
      </c>
      <c r="Z269" s="1142" t="s">
        <v>849</v>
      </c>
      <c r="AA269" s="1142" t="s">
        <v>850</v>
      </c>
      <c r="AB269" s="1142" t="s">
        <v>851</v>
      </c>
      <c r="AC269" s="1142" t="s">
        <v>852</v>
      </c>
      <c r="AD269" s="1142" t="s">
        <v>853</v>
      </c>
      <c r="AE269" s="1141"/>
      <c r="AF269" s="1141"/>
      <c r="AG269" s="1141"/>
    </row>
    <row r="270" spans="1:33" x14ac:dyDescent="0.3">
      <c r="A270" s="1143" t="s">
        <v>498</v>
      </c>
      <c r="B270" s="1144">
        <v>2005</v>
      </c>
      <c r="C270" s="1143"/>
      <c r="D270" s="1143"/>
      <c r="E270" s="1159"/>
      <c r="F270" s="1147"/>
      <c r="G270" s="1147"/>
      <c r="H270" s="1147"/>
      <c r="I270" s="1147"/>
      <c r="J270" s="1147"/>
      <c r="K270" s="1147"/>
      <c r="L270" s="1147"/>
      <c r="M270" s="1147"/>
      <c r="N270" s="1147"/>
      <c r="O270" s="1147"/>
      <c r="P270" s="1147"/>
      <c r="Q270" s="1147"/>
      <c r="R270" s="1147"/>
      <c r="S270" s="1147"/>
      <c r="T270" s="1147"/>
      <c r="U270" s="1147"/>
      <c r="V270" s="1147"/>
      <c r="W270" s="1147"/>
      <c r="X270" s="1147"/>
      <c r="Y270" s="1147"/>
      <c r="Z270" s="1147"/>
      <c r="AA270" s="1147"/>
      <c r="AB270" s="1147"/>
      <c r="AC270" s="1147"/>
      <c r="AD270" s="1147"/>
      <c r="AE270" s="1160"/>
      <c r="AF270" s="1160"/>
      <c r="AG270" s="1160"/>
    </row>
    <row r="271" spans="1:33" x14ac:dyDescent="0.3">
      <c r="A271" s="1143" t="s">
        <v>499</v>
      </c>
      <c r="B271" s="1144" t="s">
        <v>483</v>
      </c>
      <c r="C271" s="1143"/>
      <c r="D271" s="1143"/>
      <c r="E271" s="1159"/>
      <c r="F271" s="1148"/>
      <c r="G271" s="1147"/>
      <c r="H271" s="1147"/>
      <c r="I271" s="1147"/>
      <c r="J271" s="1147"/>
      <c r="K271" s="1147"/>
      <c r="L271" s="1147"/>
      <c r="M271" s="1147"/>
      <c r="N271" s="1147"/>
      <c r="O271" s="1147"/>
      <c r="P271" s="1147"/>
      <c r="Q271" s="1147"/>
      <c r="R271" s="1147"/>
      <c r="S271" s="1147"/>
      <c r="T271" s="1147"/>
      <c r="U271" s="1147"/>
      <c r="V271" s="1147"/>
      <c r="W271" s="1147"/>
      <c r="X271" s="1147"/>
      <c r="Y271" s="1147"/>
      <c r="Z271" s="1147"/>
      <c r="AA271" s="1147"/>
      <c r="AB271" s="1147"/>
      <c r="AC271" s="1147"/>
      <c r="AD271" s="1147"/>
      <c r="AE271" s="1160"/>
      <c r="AF271" s="1160"/>
      <c r="AG271" s="1160"/>
    </row>
    <row r="272" spans="1:33" x14ac:dyDescent="0.3">
      <c r="A272" s="1143" t="s">
        <v>499</v>
      </c>
      <c r="B272" s="1144" t="s">
        <v>484</v>
      </c>
      <c r="C272" s="1143"/>
      <c r="D272" s="1143"/>
      <c r="E272" s="1159"/>
      <c r="F272" s="1149"/>
      <c r="G272" s="1148"/>
      <c r="H272" s="1147"/>
      <c r="I272" s="1147"/>
      <c r="J272" s="1147"/>
      <c r="K272" s="1147"/>
      <c r="L272" s="1147"/>
      <c r="M272" s="1147"/>
      <c r="N272" s="1147"/>
      <c r="O272" s="1147"/>
      <c r="P272" s="1147"/>
      <c r="Q272" s="1147"/>
      <c r="R272" s="1147"/>
      <c r="S272" s="1147"/>
      <c r="T272" s="1147"/>
      <c r="U272" s="1147"/>
      <c r="V272" s="1147"/>
      <c r="W272" s="1147"/>
      <c r="X272" s="1147"/>
      <c r="Y272" s="1147"/>
      <c r="Z272" s="1147"/>
      <c r="AA272" s="1147"/>
      <c r="AB272" s="1147"/>
      <c r="AC272" s="1147"/>
      <c r="AD272" s="1147"/>
      <c r="AE272" s="1160"/>
      <c r="AF272" s="1160"/>
      <c r="AG272" s="1160"/>
    </row>
    <row r="273" spans="1:33" x14ac:dyDescent="0.3">
      <c r="A273" s="1143" t="s">
        <v>499</v>
      </c>
      <c r="B273" s="1144" t="s">
        <v>485</v>
      </c>
      <c r="C273" s="1143"/>
      <c r="D273" s="1143"/>
      <c r="E273" s="1159"/>
      <c r="F273" s="1149"/>
      <c r="G273" s="1149"/>
      <c r="H273" s="1148"/>
      <c r="I273" s="1147"/>
      <c r="J273" s="1147"/>
      <c r="K273" s="1147"/>
      <c r="L273" s="1147"/>
      <c r="M273" s="1147"/>
      <c r="N273" s="1147"/>
      <c r="O273" s="1147"/>
      <c r="P273" s="1147"/>
      <c r="Q273" s="1147"/>
      <c r="R273" s="1147"/>
      <c r="S273" s="1147"/>
      <c r="T273" s="1147"/>
      <c r="U273" s="1147"/>
      <c r="V273" s="1147"/>
      <c r="W273" s="1147"/>
      <c r="X273" s="1147"/>
      <c r="Y273" s="1147"/>
      <c r="Z273" s="1147"/>
      <c r="AA273" s="1147"/>
      <c r="AB273" s="1147"/>
      <c r="AC273" s="1147"/>
      <c r="AD273" s="1147"/>
      <c r="AE273" s="1160"/>
      <c r="AF273" s="1160"/>
      <c r="AG273" s="1160"/>
    </row>
    <row r="274" spans="1:33" x14ac:dyDescent="0.3">
      <c r="A274" s="1143" t="s">
        <v>499</v>
      </c>
      <c r="B274" s="1144" t="s">
        <v>486</v>
      </c>
      <c r="C274" s="1143"/>
      <c r="D274" s="1143"/>
      <c r="E274" s="1159"/>
      <c r="F274" s="1149"/>
      <c r="G274" s="1149"/>
      <c r="H274" s="1149"/>
      <c r="I274" s="1148"/>
      <c r="J274" s="1147"/>
      <c r="K274" s="1147"/>
      <c r="L274" s="1147"/>
      <c r="M274" s="1147"/>
      <c r="N274" s="1147"/>
      <c r="O274" s="1147"/>
      <c r="P274" s="1147"/>
      <c r="Q274" s="1147"/>
      <c r="R274" s="1147"/>
      <c r="S274" s="1147"/>
      <c r="T274" s="1147"/>
      <c r="U274" s="1147"/>
      <c r="V274" s="1147"/>
      <c r="W274" s="1147"/>
      <c r="X274" s="1147"/>
      <c r="Y274" s="1147"/>
      <c r="Z274" s="1147"/>
      <c r="AA274" s="1147"/>
      <c r="AB274" s="1147"/>
      <c r="AC274" s="1147"/>
      <c r="AD274" s="1147"/>
      <c r="AE274" s="1160"/>
      <c r="AF274" s="1160"/>
      <c r="AG274" s="1160"/>
    </row>
    <row r="275" spans="1:33" x14ac:dyDescent="0.3">
      <c r="A275" s="1143" t="s">
        <v>499</v>
      </c>
      <c r="B275" s="1144" t="s">
        <v>487</v>
      </c>
      <c r="C275" s="1143"/>
      <c r="D275" s="1143"/>
      <c r="E275" s="1159"/>
      <c r="F275" s="1149"/>
      <c r="G275" s="1149"/>
      <c r="H275" s="1149"/>
      <c r="I275" s="1149"/>
      <c r="J275" s="1148"/>
      <c r="K275" s="1147"/>
      <c r="L275" s="1147"/>
      <c r="M275" s="1147"/>
      <c r="N275" s="1147"/>
      <c r="O275" s="1147"/>
      <c r="P275" s="1147"/>
      <c r="Q275" s="1147"/>
      <c r="R275" s="1147"/>
      <c r="S275" s="1147"/>
      <c r="T275" s="1147"/>
      <c r="U275" s="1147"/>
      <c r="V275" s="1147"/>
      <c r="W275" s="1147"/>
      <c r="X275" s="1147"/>
      <c r="Y275" s="1147"/>
      <c r="Z275" s="1147"/>
      <c r="AA275" s="1147"/>
      <c r="AB275" s="1147"/>
      <c r="AC275" s="1147"/>
      <c r="AD275" s="1147"/>
      <c r="AE275" s="1160"/>
      <c r="AF275" s="1160"/>
      <c r="AG275" s="1160"/>
    </row>
    <row r="276" spans="1:33" x14ac:dyDescent="0.3">
      <c r="A276" s="1143" t="s">
        <v>499</v>
      </c>
      <c r="B276" s="1144" t="s">
        <v>488</v>
      </c>
      <c r="C276" s="1143"/>
      <c r="D276" s="1143"/>
      <c r="E276" s="1159"/>
      <c r="F276" s="1149"/>
      <c r="G276" s="1149"/>
      <c r="H276" s="1149"/>
      <c r="I276" s="1149"/>
      <c r="J276" s="1149"/>
      <c r="K276" s="1148"/>
      <c r="L276" s="1147"/>
      <c r="M276" s="1147"/>
      <c r="N276" s="1147"/>
      <c r="O276" s="1147"/>
      <c r="P276" s="1147"/>
      <c r="Q276" s="1147"/>
      <c r="R276" s="1147"/>
      <c r="S276" s="1147"/>
      <c r="T276" s="1147"/>
      <c r="U276" s="1147"/>
      <c r="V276" s="1147"/>
      <c r="W276" s="1147"/>
      <c r="X276" s="1147"/>
      <c r="Y276" s="1147"/>
      <c r="Z276" s="1147"/>
      <c r="AA276" s="1147"/>
      <c r="AB276" s="1147"/>
      <c r="AC276" s="1147"/>
      <c r="AD276" s="1147"/>
      <c r="AE276" s="1160"/>
      <c r="AF276" s="1160"/>
      <c r="AG276" s="1160"/>
    </row>
    <row r="277" spans="1:33" x14ac:dyDescent="0.3">
      <c r="A277" s="1143" t="s">
        <v>499</v>
      </c>
      <c r="B277" s="1144" t="s">
        <v>489</v>
      </c>
      <c r="C277" s="1143"/>
      <c r="D277" s="1143"/>
      <c r="E277" s="1159"/>
      <c r="F277" s="1149"/>
      <c r="G277" s="1149"/>
      <c r="H277" s="1149"/>
      <c r="I277" s="1149"/>
      <c r="J277" s="1149"/>
      <c r="K277" s="1149"/>
      <c r="L277" s="1148"/>
      <c r="M277" s="1147"/>
      <c r="N277" s="1147"/>
      <c r="O277" s="1147"/>
      <c r="P277" s="1147"/>
      <c r="Q277" s="1147"/>
      <c r="R277" s="1147"/>
      <c r="S277" s="1147"/>
      <c r="T277" s="1147"/>
      <c r="U277" s="1147"/>
      <c r="V277" s="1147"/>
      <c r="W277" s="1147"/>
      <c r="X277" s="1147"/>
      <c r="Y277" s="1147"/>
      <c r="Z277" s="1147"/>
      <c r="AA277" s="1147"/>
      <c r="AB277" s="1147"/>
      <c r="AC277" s="1147"/>
      <c r="AD277" s="1147"/>
      <c r="AE277" s="1160"/>
      <c r="AF277" s="1160"/>
      <c r="AG277" s="1160"/>
    </row>
    <row r="278" spans="1:33" x14ac:dyDescent="0.3">
      <c r="A278" s="1143" t="s">
        <v>499</v>
      </c>
      <c r="B278" s="1144" t="s">
        <v>490</v>
      </c>
      <c r="C278" s="1143"/>
      <c r="D278" s="1143"/>
      <c r="E278" s="1159"/>
      <c r="F278" s="1149"/>
      <c r="G278" s="1149"/>
      <c r="H278" s="1149"/>
      <c r="I278" s="1149"/>
      <c r="J278" s="1149"/>
      <c r="K278" s="1149"/>
      <c r="L278" s="1149"/>
      <c r="M278" s="1148"/>
      <c r="N278" s="1147"/>
      <c r="O278" s="1147"/>
      <c r="P278" s="1147"/>
      <c r="Q278" s="1147"/>
      <c r="R278" s="1147"/>
      <c r="S278" s="1147"/>
      <c r="T278" s="1147"/>
      <c r="U278" s="1147"/>
      <c r="V278" s="1147"/>
      <c r="W278" s="1147"/>
      <c r="X278" s="1147"/>
      <c r="Y278" s="1147"/>
      <c r="Z278" s="1147"/>
      <c r="AA278" s="1147"/>
      <c r="AB278" s="1147"/>
      <c r="AC278" s="1147"/>
      <c r="AD278" s="1147"/>
      <c r="AE278" s="1160"/>
      <c r="AF278" s="1160"/>
      <c r="AG278" s="1160"/>
    </row>
    <row r="279" spans="1:33" x14ac:dyDescent="0.3">
      <c r="A279" s="1143" t="s">
        <v>499</v>
      </c>
      <c r="B279" s="1144" t="s">
        <v>491</v>
      </c>
      <c r="C279" s="1143"/>
      <c r="D279" s="1143"/>
      <c r="E279" s="1159"/>
      <c r="F279" s="1149"/>
      <c r="G279" s="1149"/>
      <c r="H279" s="1149"/>
      <c r="I279" s="1149"/>
      <c r="J279" s="1149"/>
      <c r="K279" s="1149"/>
      <c r="L279" s="1149"/>
      <c r="M279" s="1149"/>
      <c r="N279" s="1148"/>
      <c r="O279" s="1147"/>
      <c r="P279" s="1147"/>
      <c r="Q279" s="1147"/>
      <c r="R279" s="1147"/>
      <c r="S279" s="1147"/>
      <c r="T279" s="1147"/>
      <c r="U279" s="1147"/>
      <c r="V279" s="1147"/>
      <c r="W279" s="1147"/>
      <c r="X279" s="1147"/>
      <c r="Y279" s="1147"/>
      <c r="Z279" s="1147"/>
      <c r="AA279" s="1147"/>
      <c r="AB279" s="1147"/>
      <c r="AC279" s="1147"/>
      <c r="AD279" s="1147"/>
      <c r="AE279" s="1160"/>
      <c r="AF279" s="1160"/>
      <c r="AG279" s="1160"/>
    </row>
    <row r="280" spans="1:33" x14ac:dyDescent="0.3">
      <c r="A280" s="1143" t="s">
        <v>499</v>
      </c>
      <c r="B280" s="1144" t="s">
        <v>492</v>
      </c>
      <c r="C280" s="1146"/>
      <c r="D280" s="1143"/>
      <c r="E280" s="1159"/>
      <c r="F280" s="1149"/>
      <c r="G280" s="1149"/>
      <c r="H280" s="1149"/>
      <c r="I280" s="1149"/>
      <c r="J280" s="1149"/>
      <c r="K280" s="1149"/>
      <c r="L280" s="1149"/>
      <c r="M280" s="1149"/>
      <c r="N280" s="1149"/>
      <c r="O280" s="1148"/>
      <c r="P280" s="1147"/>
      <c r="Q280" s="1147"/>
      <c r="R280" s="1147"/>
      <c r="S280" s="1147"/>
      <c r="T280" s="1147"/>
      <c r="U280" s="1147"/>
      <c r="V280" s="1147"/>
      <c r="W280" s="1147"/>
      <c r="X280" s="1147"/>
      <c r="Y280" s="1147"/>
      <c r="Z280" s="1147"/>
      <c r="AA280" s="1147"/>
      <c r="AB280" s="1147"/>
      <c r="AC280" s="1147"/>
      <c r="AD280" s="1147"/>
      <c r="AE280" s="1160"/>
      <c r="AF280" s="1160"/>
      <c r="AG280" s="1160"/>
    </row>
    <row r="281" spans="1:33" x14ac:dyDescent="0.3">
      <c r="A281" s="1143" t="s">
        <v>499</v>
      </c>
      <c r="B281" s="1144" t="s">
        <v>493</v>
      </c>
      <c r="C281" s="1146"/>
      <c r="D281" s="1143"/>
      <c r="E281" s="1159"/>
      <c r="F281" s="1149"/>
      <c r="G281" s="1149"/>
      <c r="H281" s="1149"/>
      <c r="I281" s="1149"/>
      <c r="J281" s="1149"/>
      <c r="K281" s="1149"/>
      <c r="L281" s="1149"/>
      <c r="M281" s="1149"/>
      <c r="N281" s="1149"/>
      <c r="O281" s="1149"/>
      <c r="P281" s="1148"/>
      <c r="Q281" s="1147"/>
      <c r="R281" s="1147"/>
      <c r="S281" s="1147"/>
      <c r="T281" s="1147"/>
      <c r="U281" s="1147"/>
      <c r="V281" s="1147"/>
      <c r="W281" s="1147"/>
      <c r="X281" s="1147"/>
      <c r="Y281" s="1147"/>
      <c r="Z281" s="1147"/>
      <c r="AA281" s="1147"/>
      <c r="AB281" s="1147"/>
      <c r="AC281" s="1147"/>
      <c r="AD281" s="1147"/>
      <c r="AE281" s="1160"/>
      <c r="AF281" s="1160"/>
      <c r="AG281" s="1160"/>
    </row>
    <row r="282" spans="1:33" x14ac:dyDescent="0.3">
      <c r="A282" s="1143" t="s">
        <v>499</v>
      </c>
      <c r="B282" s="1144" t="s">
        <v>494</v>
      </c>
      <c r="C282" s="1146"/>
      <c r="D282" s="1146"/>
      <c r="E282" s="1159"/>
      <c r="F282" s="1149"/>
      <c r="G282" s="1149"/>
      <c r="H282" s="1149"/>
      <c r="I282" s="1149"/>
      <c r="J282" s="1149"/>
      <c r="K282" s="1149"/>
      <c r="L282" s="1149"/>
      <c r="M282" s="1149"/>
      <c r="N282" s="1149"/>
      <c r="O282" s="1149"/>
      <c r="P282" s="1149"/>
      <c r="Q282" s="1148"/>
      <c r="R282" s="1147"/>
      <c r="S282" s="1147"/>
      <c r="T282" s="1147"/>
      <c r="U282" s="1147"/>
      <c r="V282" s="1147"/>
      <c r="W282" s="1147"/>
      <c r="X282" s="1147"/>
      <c r="Y282" s="1147"/>
      <c r="Z282" s="1147"/>
      <c r="AA282" s="1147"/>
      <c r="AB282" s="1147"/>
      <c r="AC282" s="1147"/>
      <c r="AD282" s="1147"/>
      <c r="AE282" s="1160"/>
      <c r="AF282" s="1160"/>
      <c r="AG282" s="1160"/>
    </row>
    <row r="283" spans="1:33" x14ac:dyDescent="0.3">
      <c r="A283" s="1143" t="s">
        <v>499</v>
      </c>
      <c r="B283" s="1144" t="s">
        <v>495</v>
      </c>
      <c r="C283" s="1146"/>
      <c r="D283" s="1146"/>
      <c r="E283" s="1159"/>
      <c r="F283" s="1149"/>
      <c r="G283" s="1149"/>
      <c r="H283" s="1149"/>
      <c r="I283" s="1149"/>
      <c r="J283" s="1149"/>
      <c r="K283" s="1149"/>
      <c r="L283" s="1149"/>
      <c r="M283" s="1149"/>
      <c r="N283" s="1149"/>
      <c r="O283" s="1149"/>
      <c r="P283" s="1149"/>
      <c r="Q283" s="1149"/>
      <c r="R283" s="1148"/>
      <c r="S283" s="1147"/>
      <c r="T283" s="1147"/>
      <c r="U283" s="1147"/>
      <c r="V283" s="1147"/>
      <c r="W283" s="1147"/>
      <c r="X283" s="1147"/>
      <c r="Y283" s="1147"/>
      <c r="Z283" s="1147"/>
      <c r="AA283" s="1147"/>
      <c r="AB283" s="1147"/>
      <c r="AC283" s="1147"/>
      <c r="AD283" s="1147"/>
      <c r="AE283" s="1160"/>
      <c r="AF283" s="1160"/>
      <c r="AG283" s="1160"/>
    </row>
    <row r="284" spans="1:33" x14ac:dyDescent="0.3">
      <c r="A284" s="1143" t="s">
        <v>499</v>
      </c>
      <c r="B284" s="1144" t="s">
        <v>496</v>
      </c>
      <c r="C284" s="1146"/>
      <c r="D284" s="1146"/>
      <c r="E284" s="1159"/>
      <c r="F284" s="1149"/>
      <c r="G284" s="1149"/>
      <c r="H284" s="1149"/>
      <c r="I284" s="1149"/>
      <c r="J284" s="1149"/>
      <c r="K284" s="1149"/>
      <c r="L284" s="1149"/>
      <c r="M284" s="1149"/>
      <c r="N284" s="1149"/>
      <c r="O284" s="1149"/>
      <c r="P284" s="1149"/>
      <c r="Q284" s="1149"/>
      <c r="R284" s="1149"/>
      <c r="S284" s="1148"/>
      <c r="T284" s="1147"/>
      <c r="U284" s="1147"/>
      <c r="V284" s="1147"/>
      <c r="W284" s="1147"/>
      <c r="X284" s="1147"/>
      <c r="Y284" s="1147"/>
      <c r="Z284" s="1147"/>
      <c r="AA284" s="1147"/>
      <c r="AB284" s="1147"/>
      <c r="AC284" s="1147"/>
      <c r="AD284" s="1147"/>
      <c r="AE284" s="1160"/>
      <c r="AF284" s="1160"/>
      <c r="AG284" s="1160"/>
    </row>
    <row r="285" spans="1:33" x14ac:dyDescent="0.3">
      <c r="A285" s="1143" t="s">
        <v>499</v>
      </c>
      <c r="B285" s="1144" t="s">
        <v>500</v>
      </c>
      <c r="C285" s="1146"/>
      <c r="D285" s="1146"/>
      <c r="E285" s="1162"/>
      <c r="F285" s="1149"/>
      <c r="G285" s="1149"/>
      <c r="H285" s="1149"/>
      <c r="I285" s="1149"/>
      <c r="J285" s="1149"/>
      <c r="K285" s="1149"/>
      <c r="L285" s="1149"/>
      <c r="M285" s="1149"/>
      <c r="N285" s="1149"/>
      <c r="O285" s="1149"/>
      <c r="P285" s="1149"/>
      <c r="Q285" s="1149"/>
      <c r="R285" s="1149"/>
      <c r="S285" s="1149"/>
      <c r="T285" s="1148"/>
      <c r="U285" s="1147"/>
      <c r="V285" s="1147"/>
      <c r="W285" s="1147"/>
      <c r="X285" s="1147"/>
      <c r="Y285" s="1147"/>
      <c r="Z285" s="1147"/>
      <c r="AA285" s="1147"/>
      <c r="AB285" s="1147"/>
      <c r="AC285" s="1147"/>
      <c r="AD285" s="1147"/>
      <c r="AE285" s="1160"/>
      <c r="AF285" s="1160"/>
      <c r="AG285" s="1160"/>
    </row>
    <row r="286" spans="1:33" x14ac:dyDescent="0.3">
      <c r="A286" s="1143" t="s">
        <v>499</v>
      </c>
      <c r="B286" s="1144" t="s">
        <v>501</v>
      </c>
      <c r="C286" s="1146"/>
      <c r="D286" s="1146"/>
      <c r="E286" s="1162"/>
      <c r="F286" s="1149"/>
      <c r="G286" s="1149"/>
      <c r="H286" s="1149"/>
      <c r="I286" s="1149"/>
      <c r="J286" s="1149"/>
      <c r="K286" s="1149"/>
      <c r="L286" s="1149"/>
      <c r="M286" s="1149"/>
      <c r="N286" s="1149"/>
      <c r="O286" s="1149"/>
      <c r="P286" s="1149"/>
      <c r="Q286" s="1149"/>
      <c r="R286" s="1149"/>
      <c r="S286" s="1149"/>
      <c r="T286" s="1149"/>
      <c r="U286" s="1148"/>
      <c r="V286" s="1147"/>
      <c r="W286" s="1147"/>
      <c r="X286" s="1147"/>
      <c r="Y286" s="1147"/>
      <c r="Z286" s="1147"/>
      <c r="AA286" s="1147"/>
      <c r="AB286" s="1147"/>
      <c r="AC286" s="1147"/>
      <c r="AD286" s="1147"/>
      <c r="AE286" s="1160"/>
      <c r="AF286" s="1160"/>
      <c r="AG286" s="1160"/>
    </row>
    <row r="287" spans="1:33" x14ac:dyDescent="0.3">
      <c r="A287" s="1143" t="s">
        <v>499</v>
      </c>
      <c r="B287" s="1144" t="s">
        <v>502</v>
      </c>
      <c r="C287" s="1146"/>
      <c r="D287" s="1146"/>
      <c r="E287" s="1162"/>
      <c r="F287" s="1149"/>
      <c r="G287" s="1149"/>
      <c r="H287" s="1149"/>
      <c r="I287" s="1149"/>
      <c r="J287" s="1149"/>
      <c r="K287" s="1149"/>
      <c r="L287" s="1149"/>
      <c r="M287" s="1149"/>
      <c r="N287" s="1149"/>
      <c r="O287" s="1149"/>
      <c r="P287" s="1149"/>
      <c r="Q287" s="1149"/>
      <c r="R287" s="1149"/>
      <c r="S287" s="1149"/>
      <c r="T287" s="1149"/>
      <c r="U287" s="1149"/>
      <c r="V287" s="1148"/>
      <c r="W287" s="1147"/>
      <c r="X287" s="1147"/>
      <c r="Y287" s="1147"/>
      <c r="Z287" s="1147"/>
      <c r="AA287" s="1147"/>
      <c r="AB287" s="1147"/>
      <c r="AC287" s="1147"/>
      <c r="AD287" s="1147"/>
      <c r="AE287" s="1160"/>
      <c r="AF287" s="1160"/>
      <c r="AG287" s="1160"/>
    </row>
    <row r="288" spans="1:33" x14ac:dyDescent="0.3">
      <c r="A288" s="1143" t="s">
        <v>499</v>
      </c>
      <c r="B288" s="1144" t="s">
        <v>512</v>
      </c>
      <c r="C288" s="1146"/>
      <c r="D288" s="1146"/>
      <c r="E288" s="1162"/>
      <c r="F288" s="1149"/>
      <c r="G288" s="1149"/>
      <c r="H288" s="1149"/>
      <c r="I288" s="1149"/>
      <c r="J288" s="1149"/>
      <c r="K288" s="1149"/>
      <c r="L288" s="1149"/>
      <c r="M288" s="1149"/>
      <c r="N288" s="1149"/>
      <c r="O288" s="1149"/>
      <c r="P288" s="1149"/>
      <c r="Q288" s="1149"/>
      <c r="R288" s="1149"/>
      <c r="S288" s="1149"/>
      <c r="T288" s="1149"/>
      <c r="U288" s="1149"/>
      <c r="V288" s="1149"/>
      <c r="W288" s="1148"/>
      <c r="X288" s="1147"/>
      <c r="Y288" s="1147"/>
      <c r="Z288" s="1147"/>
      <c r="AA288" s="1147"/>
      <c r="AB288" s="1147"/>
      <c r="AC288" s="1147"/>
      <c r="AD288" s="1147"/>
      <c r="AE288" s="1160"/>
      <c r="AF288" s="1160"/>
      <c r="AG288" s="1160"/>
    </row>
    <row r="289" spans="1:33" x14ac:dyDescent="0.3">
      <c r="A289" s="1143" t="s">
        <v>499</v>
      </c>
      <c r="B289" s="1144" t="s">
        <v>513</v>
      </c>
      <c r="C289" s="1146"/>
      <c r="D289" s="1146"/>
      <c r="E289" s="1162"/>
      <c r="F289" s="1149"/>
      <c r="G289" s="1149"/>
      <c r="H289" s="1149"/>
      <c r="I289" s="1149"/>
      <c r="J289" s="1149"/>
      <c r="K289" s="1149"/>
      <c r="L289" s="1149"/>
      <c r="M289" s="1149"/>
      <c r="N289" s="1149"/>
      <c r="O289" s="1149"/>
      <c r="P289" s="1149"/>
      <c r="Q289" s="1149"/>
      <c r="R289" s="1149"/>
      <c r="S289" s="1149"/>
      <c r="T289" s="1149"/>
      <c r="U289" s="1149"/>
      <c r="V289" s="1149"/>
      <c r="W289" s="1149"/>
      <c r="X289" s="1148"/>
      <c r="Y289" s="1147"/>
      <c r="Z289" s="1147"/>
      <c r="AA289" s="1147"/>
      <c r="AB289" s="1147"/>
      <c r="AC289" s="1147"/>
      <c r="AD289" s="1147"/>
      <c r="AE289" s="1160"/>
      <c r="AF289" s="1160"/>
      <c r="AG289" s="1160"/>
    </row>
    <row r="290" spans="1:33" x14ac:dyDescent="0.3">
      <c r="A290" s="1143" t="s">
        <v>499</v>
      </c>
      <c r="B290" s="1144" t="s">
        <v>514</v>
      </c>
      <c r="C290" s="1146">
        <f>'F5'!E27</f>
        <v>0</v>
      </c>
      <c r="D290" s="1146"/>
      <c r="E290" s="1162">
        <f>'F5'!O81</f>
        <v>6.3299999999999995E-2</v>
      </c>
      <c r="F290" s="1149"/>
      <c r="G290" s="1149"/>
      <c r="H290" s="1149"/>
      <c r="I290" s="1149"/>
      <c r="J290" s="1149"/>
      <c r="K290" s="1149"/>
      <c r="L290" s="1149"/>
      <c r="M290" s="1149"/>
      <c r="N290" s="1149"/>
      <c r="O290" s="1149"/>
      <c r="P290" s="1149"/>
      <c r="Q290" s="1149"/>
      <c r="R290" s="1149"/>
      <c r="S290" s="1149"/>
      <c r="T290" s="1149"/>
      <c r="U290" s="1149"/>
      <c r="V290" s="1149"/>
      <c r="W290" s="1149"/>
      <c r="X290" s="1149"/>
      <c r="Y290" s="1148">
        <f>$C290*$E290</f>
        <v>0</v>
      </c>
      <c r="Z290" s="1148">
        <f t="shared" ref="Z290:AD295" si="18">$C290*$E290</f>
        <v>0</v>
      </c>
      <c r="AA290" s="1148">
        <f t="shared" si="18"/>
        <v>0</v>
      </c>
      <c r="AB290" s="1148">
        <f t="shared" si="18"/>
        <v>0</v>
      </c>
      <c r="AC290" s="1148">
        <f t="shared" si="18"/>
        <v>0</v>
      </c>
      <c r="AD290" s="1148">
        <f t="shared" si="18"/>
        <v>0</v>
      </c>
      <c r="AE290" s="1160">
        <f>SUM(Y290:AD290)</f>
        <v>0</v>
      </c>
      <c r="AF290" s="1160"/>
      <c r="AG290" s="1160">
        <f>C290*0.9-AE290</f>
        <v>0</v>
      </c>
    </row>
    <row r="291" spans="1:33" x14ac:dyDescent="0.3">
      <c r="A291" s="1143" t="s">
        <v>499</v>
      </c>
      <c r="B291" s="1144" t="s">
        <v>914</v>
      </c>
      <c r="C291" s="1150">
        <f>'F5.1 (N)'!$E$27</f>
        <v>0</v>
      </c>
      <c r="D291" s="1146"/>
      <c r="E291" s="1162">
        <f>'F5.1 (N)'!$AC$55</f>
        <v>6.3299999999999995E-2</v>
      </c>
      <c r="F291" s="1149"/>
      <c r="G291" s="1149"/>
      <c r="H291" s="1149"/>
      <c r="I291" s="1149"/>
      <c r="J291" s="1149"/>
      <c r="K291" s="1149"/>
      <c r="L291" s="1149"/>
      <c r="M291" s="1149"/>
      <c r="N291" s="1149"/>
      <c r="O291" s="1149"/>
      <c r="P291" s="1149"/>
      <c r="Q291" s="1149"/>
      <c r="R291" s="1149"/>
      <c r="S291" s="1149"/>
      <c r="T291" s="1149"/>
      <c r="U291" s="1149"/>
      <c r="V291" s="1149"/>
      <c r="W291" s="1149"/>
      <c r="X291" s="1149"/>
      <c r="Y291" s="1149"/>
      <c r="Z291" s="1148">
        <f t="shared" si="18"/>
        <v>0</v>
      </c>
      <c r="AA291" s="1148">
        <f t="shared" si="18"/>
        <v>0</v>
      </c>
      <c r="AB291" s="1148">
        <f t="shared" si="18"/>
        <v>0</v>
      </c>
      <c r="AC291" s="1148">
        <f t="shared" si="18"/>
        <v>0</v>
      </c>
      <c r="AD291" s="1148">
        <f t="shared" si="18"/>
        <v>0</v>
      </c>
      <c r="AE291" s="1146">
        <f>SUM(Z291:AD291)</f>
        <v>0</v>
      </c>
      <c r="AF291" s="1146"/>
      <c r="AG291" s="1160">
        <f t="shared" ref="AG291:AG295" si="19">C291*0.9-AE291</f>
        <v>0</v>
      </c>
    </row>
    <row r="292" spans="1:33" x14ac:dyDescent="0.3">
      <c r="A292" s="1143" t="s">
        <v>499</v>
      </c>
      <c r="B292" s="1144" t="s">
        <v>915</v>
      </c>
      <c r="C292" s="1146">
        <f>'F5.1 (N)'!$J$27</f>
        <v>0</v>
      </c>
      <c r="D292" s="1146"/>
      <c r="E292" s="1162">
        <f>'F5.1 (N)'!$AC$55</f>
        <v>6.3299999999999995E-2</v>
      </c>
      <c r="F292" s="1149"/>
      <c r="G292" s="1149"/>
      <c r="H292" s="1149"/>
      <c r="I292" s="1149"/>
      <c r="J292" s="1149"/>
      <c r="K292" s="1149"/>
      <c r="L292" s="1149"/>
      <c r="M292" s="1149"/>
      <c r="N292" s="1149"/>
      <c r="O292" s="1149"/>
      <c r="P292" s="1149"/>
      <c r="Q292" s="1149"/>
      <c r="R292" s="1149"/>
      <c r="S292" s="1149"/>
      <c r="T292" s="1149"/>
      <c r="U292" s="1149"/>
      <c r="V292" s="1149"/>
      <c r="W292" s="1149"/>
      <c r="X292" s="1149"/>
      <c r="Y292" s="1149"/>
      <c r="Z292" s="1149"/>
      <c r="AA292" s="1148">
        <f t="shared" si="18"/>
        <v>0</v>
      </c>
      <c r="AB292" s="1148">
        <f t="shared" si="18"/>
        <v>0</v>
      </c>
      <c r="AC292" s="1148">
        <f t="shared" si="18"/>
        <v>0</v>
      </c>
      <c r="AD292" s="1148">
        <f t="shared" si="18"/>
        <v>0</v>
      </c>
      <c r="AE292" s="1146">
        <f>SUM(AA292:AD292)</f>
        <v>0</v>
      </c>
      <c r="AF292" s="1146"/>
      <c r="AG292" s="1160">
        <f t="shared" si="19"/>
        <v>0</v>
      </c>
    </row>
    <row r="293" spans="1:33" x14ac:dyDescent="0.3">
      <c r="A293" s="1143" t="s">
        <v>499</v>
      </c>
      <c r="B293" s="1144" t="s">
        <v>916</v>
      </c>
      <c r="C293" s="1146">
        <f>'F5.1 (N)'!$O$27</f>
        <v>0</v>
      </c>
      <c r="D293" s="1146"/>
      <c r="E293" s="1162">
        <f>'F5.1 (N)'!$AC$55</f>
        <v>6.3299999999999995E-2</v>
      </c>
      <c r="F293" s="1149"/>
      <c r="G293" s="1149"/>
      <c r="H293" s="1149"/>
      <c r="I293" s="1149"/>
      <c r="J293" s="1149"/>
      <c r="K293" s="1149"/>
      <c r="L293" s="1149"/>
      <c r="M293" s="1149"/>
      <c r="N293" s="1149"/>
      <c r="O293" s="1149"/>
      <c r="P293" s="1149"/>
      <c r="Q293" s="1149"/>
      <c r="R293" s="1149"/>
      <c r="S293" s="1149"/>
      <c r="T293" s="1149"/>
      <c r="U293" s="1149"/>
      <c r="V293" s="1149"/>
      <c r="W293" s="1149"/>
      <c r="X293" s="1149"/>
      <c r="Y293" s="1149"/>
      <c r="Z293" s="1149"/>
      <c r="AA293" s="1149"/>
      <c r="AB293" s="1148">
        <f t="shared" si="18"/>
        <v>0</v>
      </c>
      <c r="AC293" s="1148">
        <f t="shared" si="18"/>
        <v>0</v>
      </c>
      <c r="AD293" s="1148">
        <f t="shared" si="18"/>
        <v>0</v>
      </c>
      <c r="AE293" s="1146">
        <f>SUM(AB293:AD293)</f>
        <v>0</v>
      </c>
      <c r="AF293" s="1146"/>
      <c r="AG293" s="1160">
        <f t="shared" si="19"/>
        <v>0</v>
      </c>
    </row>
    <row r="294" spans="1:33" x14ac:dyDescent="0.3">
      <c r="A294" s="1143" t="s">
        <v>499</v>
      </c>
      <c r="B294" s="1144" t="s">
        <v>917</v>
      </c>
      <c r="C294" s="1146">
        <f>'F5.1 (N)'!$T$27</f>
        <v>0</v>
      </c>
      <c r="D294" s="1146"/>
      <c r="E294" s="1162">
        <f>'F5.1 (N)'!$AC$55</f>
        <v>6.3299999999999995E-2</v>
      </c>
      <c r="F294" s="1149"/>
      <c r="G294" s="1149"/>
      <c r="H294" s="1149"/>
      <c r="I294" s="1149"/>
      <c r="J294" s="1149"/>
      <c r="K294" s="1149"/>
      <c r="L294" s="1149"/>
      <c r="M294" s="1149"/>
      <c r="N294" s="1149"/>
      <c r="O294" s="1149"/>
      <c r="P294" s="1149"/>
      <c r="Q294" s="1149"/>
      <c r="R294" s="1149"/>
      <c r="S294" s="1149"/>
      <c r="T294" s="1149"/>
      <c r="U294" s="1149"/>
      <c r="V294" s="1149"/>
      <c r="W294" s="1149"/>
      <c r="X294" s="1149"/>
      <c r="Y294" s="1149"/>
      <c r="Z294" s="1149"/>
      <c r="AA294" s="1149"/>
      <c r="AB294" s="1149"/>
      <c r="AC294" s="1148">
        <f t="shared" si="18"/>
        <v>0</v>
      </c>
      <c r="AD294" s="1148">
        <f t="shared" si="18"/>
        <v>0</v>
      </c>
      <c r="AE294" s="1146">
        <f>SUM(AC294:AD294)</f>
        <v>0</v>
      </c>
      <c r="AF294" s="1146"/>
      <c r="AG294" s="1160">
        <f t="shared" si="19"/>
        <v>0</v>
      </c>
    </row>
    <row r="295" spans="1:33" x14ac:dyDescent="0.3">
      <c r="A295" s="1143" t="s">
        <v>499</v>
      </c>
      <c r="B295" s="1144" t="s">
        <v>918</v>
      </c>
      <c r="C295" s="1146">
        <f>'F5.1 (N)'!$Y$27</f>
        <v>0</v>
      </c>
      <c r="D295" s="1146"/>
      <c r="E295" s="1162">
        <f>'F5.1 (N)'!$AC$55</f>
        <v>6.3299999999999995E-2</v>
      </c>
      <c r="F295" s="1149"/>
      <c r="G295" s="1149"/>
      <c r="H295" s="1149"/>
      <c r="I295" s="1149"/>
      <c r="J295" s="1149"/>
      <c r="K295" s="1149"/>
      <c r="L295" s="1149"/>
      <c r="M295" s="1149"/>
      <c r="N295" s="1149"/>
      <c r="O295" s="1149"/>
      <c r="P295" s="1149"/>
      <c r="Q295" s="1149"/>
      <c r="R295" s="1149"/>
      <c r="S295" s="1149"/>
      <c r="T295" s="1149"/>
      <c r="U295" s="1149"/>
      <c r="V295" s="1149"/>
      <c r="W295" s="1149"/>
      <c r="X295" s="1149"/>
      <c r="Y295" s="1149"/>
      <c r="Z295" s="1149"/>
      <c r="AA295" s="1149"/>
      <c r="AB295" s="1149"/>
      <c r="AC295" s="1149"/>
      <c r="AD295" s="1148">
        <f t="shared" si="18"/>
        <v>0</v>
      </c>
      <c r="AE295" s="1146">
        <f>AD295</f>
        <v>0</v>
      </c>
      <c r="AF295" s="1146"/>
      <c r="AG295" s="1160">
        <f t="shared" si="19"/>
        <v>0</v>
      </c>
    </row>
    <row r="296" spans="1:33" x14ac:dyDescent="0.3">
      <c r="A296" s="1151"/>
      <c r="B296" s="1152" t="s">
        <v>267</v>
      </c>
      <c r="C296" s="1153"/>
      <c r="D296" s="1153"/>
      <c r="E296" s="1153"/>
      <c r="F296" s="1153"/>
      <c r="G296" s="1153"/>
      <c r="H296" s="1153"/>
      <c r="I296" s="1153"/>
      <c r="J296" s="1153"/>
      <c r="K296" s="1153"/>
      <c r="L296" s="1153"/>
      <c r="M296" s="1153"/>
      <c r="N296" s="1153"/>
      <c r="O296" s="1153"/>
      <c r="P296" s="1153"/>
      <c r="Q296" s="1153"/>
      <c r="R296" s="1153"/>
      <c r="S296" s="1153"/>
      <c r="T296" s="1153"/>
      <c r="U296" s="1153"/>
      <c r="V296" s="1153"/>
      <c r="W296" s="1153"/>
      <c r="X296" s="1153"/>
      <c r="Y296" s="1153">
        <f>SUM(Y290)</f>
        <v>0</v>
      </c>
      <c r="Z296" s="1153">
        <f>SUM(Z290:Z291)</f>
        <v>0</v>
      </c>
      <c r="AA296" s="1153">
        <f>SUM(AA290:AA292)</f>
        <v>0</v>
      </c>
      <c r="AB296" s="1153">
        <f>SUM(AB290:AB293)</f>
        <v>0</v>
      </c>
      <c r="AC296" s="1153">
        <f>SUM(AC290:AC294)</f>
        <v>0</v>
      </c>
      <c r="AD296" s="1153">
        <f>SUM(AD290:AD295)</f>
        <v>0</v>
      </c>
      <c r="AE296" s="1163">
        <f>SUM(AE290:AE295)</f>
        <v>0</v>
      </c>
      <c r="AF296" s="1163"/>
      <c r="AG296" s="1163">
        <f>SUM(AG290:AG295)</f>
        <v>0</v>
      </c>
    </row>
    <row r="297" spans="1:33" x14ac:dyDescent="0.3">
      <c r="C297" s="1165"/>
    </row>
    <row r="300" spans="1:33" x14ac:dyDescent="0.3">
      <c r="B300" s="1138" t="s">
        <v>267</v>
      </c>
      <c r="F300" s="1139" t="s">
        <v>10</v>
      </c>
    </row>
    <row r="301" spans="1:33" ht="26.15" customHeight="1" x14ac:dyDescent="0.3">
      <c r="A301" s="1140"/>
      <c r="B301" s="1158" t="s">
        <v>398</v>
      </c>
      <c r="C301" s="1619" t="s">
        <v>481</v>
      </c>
      <c r="D301" s="1619" t="s">
        <v>482</v>
      </c>
      <c r="E301" s="1619" t="s">
        <v>545</v>
      </c>
      <c r="F301" s="1621" t="s">
        <v>546</v>
      </c>
      <c r="G301" s="1622"/>
      <c r="H301" s="1622"/>
      <c r="I301" s="1622"/>
      <c r="J301" s="1622"/>
      <c r="K301" s="1622"/>
      <c r="L301" s="1622"/>
      <c r="M301" s="1622"/>
      <c r="N301" s="1622"/>
      <c r="O301" s="1622"/>
      <c r="P301" s="1622"/>
      <c r="Q301" s="1622"/>
      <c r="R301" s="1622"/>
      <c r="S301" s="1622"/>
      <c r="T301" s="1622"/>
      <c r="U301" s="1622"/>
      <c r="V301" s="1622"/>
      <c r="W301" s="1622"/>
      <c r="X301" s="1622"/>
      <c r="Y301" s="1622"/>
      <c r="Z301" s="1622"/>
      <c r="AA301" s="1622"/>
      <c r="AB301" s="1622"/>
      <c r="AC301" s="1622"/>
      <c r="AD301" s="1623"/>
      <c r="AE301" s="1141" t="s">
        <v>504</v>
      </c>
      <c r="AF301" s="1141" t="s">
        <v>497</v>
      </c>
      <c r="AG301" s="1141" t="s">
        <v>505</v>
      </c>
    </row>
    <row r="302" spans="1:33" ht="13" customHeight="1" x14ac:dyDescent="0.3">
      <c r="A302" s="1140"/>
      <c r="B302" s="1158"/>
      <c r="C302" s="1620"/>
      <c r="D302" s="1620"/>
      <c r="E302" s="1620"/>
      <c r="F302" s="1142" t="s">
        <v>483</v>
      </c>
      <c r="G302" s="1142" t="s">
        <v>484</v>
      </c>
      <c r="H302" s="1142" t="s">
        <v>485</v>
      </c>
      <c r="I302" s="1142" t="s">
        <v>486</v>
      </c>
      <c r="J302" s="1142" t="s">
        <v>487</v>
      </c>
      <c r="K302" s="1142" t="s">
        <v>488</v>
      </c>
      <c r="L302" s="1142" t="s">
        <v>489</v>
      </c>
      <c r="M302" s="1142" t="s">
        <v>490</v>
      </c>
      <c r="N302" s="1142" t="s">
        <v>491</v>
      </c>
      <c r="O302" s="1142" t="s">
        <v>492</v>
      </c>
      <c r="P302" s="1142" t="s">
        <v>493</v>
      </c>
      <c r="Q302" s="1142" t="s">
        <v>494</v>
      </c>
      <c r="R302" s="1142" t="s">
        <v>495</v>
      </c>
      <c r="S302" s="1142" t="s">
        <v>496</v>
      </c>
      <c r="T302" s="1142" t="s">
        <v>314</v>
      </c>
      <c r="U302" s="1142" t="s">
        <v>473</v>
      </c>
      <c r="V302" s="1142" t="s">
        <v>474</v>
      </c>
      <c r="W302" s="1142" t="s">
        <v>475</v>
      </c>
      <c r="X302" s="1142" t="s">
        <v>476</v>
      </c>
      <c r="Y302" s="1142" t="s">
        <v>477</v>
      </c>
      <c r="Z302" s="1142" t="s">
        <v>849</v>
      </c>
      <c r="AA302" s="1142" t="s">
        <v>850</v>
      </c>
      <c r="AB302" s="1142" t="s">
        <v>851</v>
      </c>
      <c r="AC302" s="1142" t="s">
        <v>852</v>
      </c>
      <c r="AD302" s="1142" t="s">
        <v>853</v>
      </c>
      <c r="AE302" s="1141"/>
      <c r="AF302" s="1141"/>
      <c r="AG302" s="1141"/>
    </row>
    <row r="303" spans="1:33" x14ac:dyDescent="0.3">
      <c r="A303" s="1143" t="s">
        <v>498</v>
      </c>
      <c r="B303" s="1144">
        <v>2005</v>
      </c>
      <c r="C303" s="1168"/>
      <c r="D303" s="1168"/>
      <c r="E303" s="1159"/>
      <c r="F303" s="1147"/>
      <c r="G303" s="1147"/>
      <c r="H303" s="1147"/>
      <c r="I303" s="1147"/>
      <c r="J303" s="1147"/>
      <c r="K303" s="1147"/>
      <c r="L303" s="1147"/>
      <c r="M303" s="1147"/>
      <c r="N303" s="1147"/>
      <c r="O303" s="1147"/>
      <c r="P303" s="1147"/>
      <c r="Q303" s="1147"/>
      <c r="R303" s="1147"/>
      <c r="S303" s="1147"/>
      <c r="T303" s="1147"/>
      <c r="U303" s="1147"/>
      <c r="V303" s="1147"/>
      <c r="W303" s="1147"/>
      <c r="X303" s="1147"/>
      <c r="Y303" s="1147"/>
      <c r="Z303" s="1147"/>
      <c r="AA303" s="1147"/>
      <c r="AB303" s="1147"/>
      <c r="AC303" s="1147"/>
      <c r="AD303" s="1147"/>
      <c r="AE303" s="1160"/>
      <c r="AF303" s="1160"/>
      <c r="AG303" s="1160"/>
    </row>
    <row r="304" spans="1:33" x14ac:dyDescent="0.3">
      <c r="A304" s="1143" t="s">
        <v>499</v>
      </c>
      <c r="B304" s="1144" t="s">
        <v>483</v>
      </c>
      <c r="C304" s="1168"/>
      <c r="D304" s="1168"/>
      <c r="E304" s="1159"/>
      <c r="F304" s="1148"/>
      <c r="G304" s="1147"/>
      <c r="H304" s="1147"/>
      <c r="I304" s="1147"/>
      <c r="J304" s="1147"/>
      <c r="K304" s="1147"/>
      <c r="L304" s="1147"/>
      <c r="M304" s="1147"/>
      <c r="N304" s="1147"/>
      <c r="O304" s="1147"/>
      <c r="P304" s="1147"/>
      <c r="Q304" s="1147"/>
      <c r="R304" s="1147"/>
      <c r="S304" s="1147"/>
      <c r="T304" s="1147"/>
      <c r="U304" s="1147"/>
      <c r="V304" s="1147"/>
      <c r="W304" s="1147"/>
      <c r="X304" s="1147"/>
      <c r="Y304" s="1147"/>
      <c r="Z304" s="1147"/>
      <c r="AA304" s="1147"/>
      <c r="AB304" s="1147"/>
      <c r="AC304" s="1147"/>
      <c r="AD304" s="1147"/>
      <c r="AE304" s="1160"/>
      <c r="AF304" s="1160"/>
      <c r="AG304" s="1160"/>
    </row>
    <row r="305" spans="1:33" x14ac:dyDescent="0.3">
      <c r="A305" s="1143" t="s">
        <v>499</v>
      </c>
      <c r="B305" s="1144" t="s">
        <v>484</v>
      </c>
      <c r="C305" s="1168"/>
      <c r="D305" s="1168"/>
      <c r="E305" s="1159"/>
      <c r="F305" s="1149"/>
      <c r="G305" s="1148"/>
      <c r="H305" s="1147"/>
      <c r="I305" s="1147"/>
      <c r="J305" s="1147"/>
      <c r="K305" s="1147"/>
      <c r="L305" s="1147"/>
      <c r="M305" s="1147"/>
      <c r="N305" s="1147"/>
      <c r="O305" s="1147"/>
      <c r="P305" s="1147"/>
      <c r="Q305" s="1147"/>
      <c r="R305" s="1147"/>
      <c r="S305" s="1147"/>
      <c r="T305" s="1147"/>
      <c r="U305" s="1147"/>
      <c r="V305" s="1147"/>
      <c r="W305" s="1147"/>
      <c r="X305" s="1147"/>
      <c r="Y305" s="1147"/>
      <c r="Z305" s="1147"/>
      <c r="AA305" s="1147"/>
      <c r="AB305" s="1147"/>
      <c r="AC305" s="1147"/>
      <c r="AD305" s="1147"/>
      <c r="AE305" s="1160"/>
      <c r="AF305" s="1160"/>
      <c r="AG305" s="1160"/>
    </row>
    <row r="306" spans="1:33" x14ac:dyDescent="0.3">
      <c r="A306" s="1143" t="s">
        <v>499</v>
      </c>
      <c r="B306" s="1144" t="s">
        <v>485</v>
      </c>
      <c r="C306" s="1168"/>
      <c r="D306" s="1168"/>
      <c r="E306" s="1159"/>
      <c r="F306" s="1149"/>
      <c r="G306" s="1149"/>
      <c r="H306" s="1148"/>
      <c r="I306" s="1147"/>
      <c r="J306" s="1147"/>
      <c r="K306" s="1147"/>
      <c r="L306" s="1147"/>
      <c r="M306" s="1147"/>
      <c r="N306" s="1147"/>
      <c r="O306" s="1147"/>
      <c r="P306" s="1147"/>
      <c r="Q306" s="1147"/>
      <c r="R306" s="1147"/>
      <c r="S306" s="1147"/>
      <c r="T306" s="1147"/>
      <c r="U306" s="1147"/>
      <c r="V306" s="1147"/>
      <c r="W306" s="1147"/>
      <c r="X306" s="1147"/>
      <c r="Y306" s="1147"/>
      <c r="Z306" s="1147"/>
      <c r="AA306" s="1147"/>
      <c r="AB306" s="1147"/>
      <c r="AC306" s="1147"/>
      <c r="AD306" s="1147"/>
      <c r="AE306" s="1160"/>
      <c r="AF306" s="1160"/>
      <c r="AG306" s="1160"/>
    </row>
    <row r="307" spans="1:33" x14ac:dyDescent="0.3">
      <c r="A307" s="1143" t="s">
        <v>499</v>
      </c>
      <c r="B307" s="1144" t="s">
        <v>486</v>
      </c>
      <c r="C307" s="1168"/>
      <c r="D307" s="1168"/>
      <c r="E307" s="1159"/>
      <c r="F307" s="1149"/>
      <c r="G307" s="1149"/>
      <c r="H307" s="1149"/>
      <c r="I307" s="1148"/>
      <c r="J307" s="1147"/>
      <c r="K307" s="1147"/>
      <c r="L307" s="1147"/>
      <c r="M307" s="1147"/>
      <c r="N307" s="1147"/>
      <c r="O307" s="1147"/>
      <c r="P307" s="1147"/>
      <c r="Q307" s="1147"/>
      <c r="R307" s="1147"/>
      <c r="S307" s="1147"/>
      <c r="T307" s="1147"/>
      <c r="U307" s="1147"/>
      <c r="V307" s="1147"/>
      <c r="W307" s="1147"/>
      <c r="X307" s="1147"/>
      <c r="Y307" s="1147"/>
      <c r="Z307" s="1147"/>
      <c r="AA307" s="1147"/>
      <c r="AB307" s="1147"/>
      <c r="AC307" s="1147"/>
      <c r="AD307" s="1147"/>
      <c r="AE307" s="1160"/>
      <c r="AF307" s="1160"/>
      <c r="AG307" s="1160"/>
    </row>
    <row r="308" spans="1:33" x14ac:dyDescent="0.3">
      <c r="A308" s="1143" t="s">
        <v>499</v>
      </c>
      <c r="B308" s="1144" t="s">
        <v>487</v>
      </c>
      <c r="C308" s="1168"/>
      <c r="D308" s="1168"/>
      <c r="E308" s="1159"/>
      <c r="F308" s="1149"/>
      <c r="G308" s="1149"/>
      <c r="H308" s="1149"/>
      <c r="I308" s="1149"/>
      <c r="J308" s="1148"/>
      <c r="K308" s="1147"/>
      <c r="L308" s="1147"/>
      <c r="M308" s="1147"/>
      <c r="N308" s="1147"/>
      <c r="O308" s="1147"/>
      <c r="P308" s="1147"/>
      <c r="Q308" s="1147"/>
      <c r="R308" s="1147"/>
      <c r="S308" s="1147"/>
      <c r="T308" s="1147"/>
      <c r="U308" s="1147"/>
      <c r="V308" s="1147"/>
      <c r="W308" s="1147"/>
      <c r="X308" s="1147"/>
      <c r="Y308" s="1147"/>
      <c r="Z308" s="1147"/>
      <c r="AA308" s="1147"/>
      <c r="AB308" s="1147"/>
      <c r="AC308" s="1147"/>
      <c r="AD308" s="1147"/>
      <c r="AE308" s="1160"/>
      <c r="AF308" s="1160"/>
      <c r="AG308" s="1160"/>
    </row>
    <row r="309" spans="1:33" x14ac:dyDescent="0.3">
      <c r="A309" s="1143" t="s">
        <v>499</v>
      </c>
      <c r="B309" s="1144" t="s">
        <v>488</v>
      </c>
      <c r="C309" s="1168"/>
      <c r="D309" s="1168"/>
      <c r="E309" s="1159"/>
      <c r="F309" s="1149"/>
      <c r="G309" s="1149"/>
      <c r="H309" s="1149"/>
      <c r="I309" s="1149"/>
      <c r="J309" s="1149"/>
      <c r="K309" s="1148"/>
      <c r="L309" s="1147"/>
      <c r="M309" s="1147"/>
      <c r="N309" s="1147"/>
      <c r="O309" s="1147"/>
      <c r="P309" s="1147"/>
      <c r="Q309" s="1147"/>
      <c r="R309" s="1147"/>
      <c r="S309" s="1147"/>
      <c r="T309" s="1147"/>
      <c r="U309" s="1147"/>
      <c r="V309" s="1147"/>
      <c r="W309" s="1147"/>
      <c r="X309" s="1147"/>
      <c r="Y309" s="1147"/>
      <c r="Z309" s="1147"/>
      <c r="AA309" s="1147"/>
      <c r="AB309" s="1147"/>
      <c r="AC309" s="1147"/>
      <c r="AD309" s="1147"/>
      <c r="AE309" s="1160"/>
      <c r="AF309" s="1160"/>
      <c r="AG309" s="1160"/>
    </row>
    <row r="310" spans="1:33" x14ac:dyDescent="0.3">
      <c r="A310" s="1143" t="s">
        <v>499</v>
      </c>
      <c r="B310" s="1144" t="s">
        <v>489</v>
      </c>
      <c r="C310" s="1168"/>
      <c r="D310" s="1168"/>
      <c r="E310" s="1159"/>
      <c r="F310" s="1149"/>
      <c r="G310" s="1149"/>
      <c r="H310" s="1149"/>
      <c r="I310" s="1149"/>
      <c r="J310" s="1149"/>
      <c r="K310" s="1149"/>
      <c r="L310" s="1148"/>
      <c r="M310" s="1147"/>
      <c r="N310" s="1147"/>
      <c r="O310" s="1147"/>
      <c r="P310" s="1147"/>
      <c r="Q310" s="1147"/>
      <c r="R310" s="1147"/>
      <c r="S310" s="1147"/>
      <c r="T310" s="1147"/>
      <c r="U310" s="1147"/>
      <c r="V310" s="1147"/>
      <c r="W310" s="1147"/>
      <c r="X310" s="1147"/>
      <c r="Y310" s="1147"/>
      <c r="Z310" s="1147"/>
      <c r="AA310" s="1147"/>
      <c r="AB310" s="1147"/>
      <c r="AC310" s="1147"/>
      <c r="AD310" s="1147"/>
      <c r="AE310" s="1160"/>
      <c r="AF310" s="1160"/>
      <c r="AG310" s="1160"/>
    </row>
    <row r="311" spans="1:33" x14ac:dyDescent="0.3">
      <c r="A311" s="1143" t="s">
        <v>499</v>
      </c>
      <c r="B311" s="1144" t="s">
        <v>490</v>
      </c>
      <c r="C311" s="1168"/>
      <c r="D311" s="1168"/>
      <c r="E311" s="1159"/>
      <c r="F311" s="1149"/>
      <c r="G311" s="1149"/>
      <c r="H311" s="1149"/>
      <c r="I311" s="1149"/>
      <c r="J311" s="1149"/>
      <c r="K311" s="1149"/>
      <c r="L311" s="1149"/>
      <c r="M311" s="1148"/>
      <c r="N311" s="1147"/>
      <c r="O311" s="1147"/>
      <c r="P311" s="1147"/>
      <c r="Q311" s="1147"/>
      <c r="R311" s="1147"/>
      <c r="S311" s="1147"/>
      <c r="T311" s="1147"/>
      <c r="U311" s="1147"/>
      <c r="V311" s="1147"/>
      <c r="W311" s="1147"/>
      <c r="X311" s="1147"/>
      <c r="Y311" s="1147"/>
      <c r="Z311" s="1147"/>
      <c r="AA311" s="1147"/>
      <c r="AB311" s="1147"/>
      <c r="AC311" s="1147"/>
      <c r="AD311" s="1147"/>
      <c r="AE311" s="1160"/>
      <c r="AF311" s="1160"/>
      <c r="AG311" s="1160"/>
    </row>
    <row r="312" spans="1:33" x14ac:dyDescent="0.3">
      <c r="A312" s="1143" t="s">
        <v>499</v>
      </c>
      <c r="B312" s="1144" t="s">
        <v>491</v>
      </c>
      <c r="C312" s="1168"/>
      <c r="D312" s="1168"/>
      <c r="E312" s="1159"/>
      <c r="F312" s="1149"/>
      <c r="G312" s="1149"/>
      <c r="H312" s="1149"/>
      <c r="I312" s="1149"/>
      <c r="J312" s="1149"/>
      <c r="K312" s="1149"/>
      <c r="L312" s="1149"/>
      <c r="M312" s="1149"/>
      <c r="N312" s="1148"/>
      <c r="O312" s="1147"/>
      <c r="P312" s="1147"/>
      <c r="Q312" s="1147"/>
      <c r="R312" s="1147"/>
      <c r="S312" s="1147"/>
      <c r="T312" s="1147"/>
      <c r="U312" s="1147"/>
      <c r="V312" s="1147"/>
      <c r="W312" s="1147"/>
      <c r="X312" s="1147"/>
      <c r="Y312" s="1147"/>
      <c r="Z312" s="1147"/>
      <c r="AA312" s="1147"/>
      <c r="AB312" s="1147"/>
      <c r="AC312" s="1147"/>
      <c r="AD312" s="1147"/>
      <c r="AE312" s="1160"/>
      <c r="AF312" s="1160"/>
      <c r="AG312" s="1160"/>
    </row>
    <row r="313" spans="1:33" x14ac:dyDescent="0.3">
      <c r="A313" s="1143" t="s">
        <v>499</v>
      </c>
      <c r="B313" s="1144" t="s">
        <v>492</v>
      </c>
      <c r="C313" s="1168"/>
      <c r="D313" s="1168"/>
      <c r="E313" s="1159"/>
      <c r="F313" s="1149"/>
      <c r="G313" s="1149"/>
      <c r="H313" s="1149"/>
      <c r="I313" s="1149"/>
      <c r="J313" s="1149"/>
      <c r="K313" s="1149"/>
      <c r="L313" s="1149"/>
      <c r="M313" s="1149"/>
      <c r="N313" s="1149"/>
      <c r="O313" s="1148"/>
      <c r="P313" s="1147"/>
      <c r="Q313" s="1147"/>
      <c r="R313" s="1147"/>
      <c r="S313" s="1147"/>
      <c r="T313" s="1147"/>
      <c r="U313" s="1147"/>
      <c r="V313" s="1147"/>
      <c r="W313" s="1147"/>
      <c r="X313" s="1147"/>
      <c r="Y313" s="1147"/>
      <c r="Z313" s="1147"/>
      <c r="AA313" s="1147"/>
      <c r="AB313" s="1147"/>
      <c r="AC313" s="1147"/>
      <c r="AD313" s="1147"/>
      <c r="AE313" s="1160"/>
      <c r="AF313" s="1160"/>
      <c r="AG313" s="1160"/>
    </row>
    <row r="314" spans="1:33" x14ac:dyDescent="0.3">
      <c r="A314" s="1143" t="s">
        <v>499</v>
      </c>
      <c r="B314" s="1144" t="s">
        <v>493</v>
      </c>
      <c r="C314" s="1168"/>
      <c r="D314" s="1168"/>
      <c r="E314" s="1159"/>
      <c r="F314" s="1149"/>
      <c r="G314" s="1149"/>
      <c r="H314" s="1149"/>
      <c r="I314" s="1149"/>
      <c r="J314" s="1149"/>
      <c r="K314" s="1149"/>
      <c r="L314" s="1149"/>
      <c r="M314" s="1149"/>
      <c r="N314" s="1149"/>
      <c r="O314" s="1149"/>
      <c r="P314" s="1148"/>
      <c r="Q314" s="1147"/>
      <c r="R314" s="1147"/>
      <c r="S314" s="1147"/>
      <c r="T314" s="1147"/>
      <c r="U314" s="1147"/>
      <c r="V314" s="1147"/>
      <c r="W314" s="1147"/>
      <c r="X314" s="1147"/>
      <c r="Y314" s="1147"/>
      <c r="Z314" s="1147"/>
      <c r="AA314" s="1147"/>
      <c r="AB314" s="1147"/>
      <c r="AC314" s="1147"/>
      <c r="AD314" s="1147"/>
      <c r="AE314" s="1160"/>
      <c r="AF314" s="1160"/>
      <c r="AG314" s="1160"/>
    </row>
    <row r="315" spans="1:33" x14ac:dyDescent="0.3">
      <c r="A315" s="1143" t="s">
        <v>499</v>
      </c>
      <c r="B315" s="1144" t="s">
        <v>494</v>
      </c>
      <c r="C315" s="1168"/>
      <c r="D315" s="1168"/>
      <c r="E315" s="1159"/>
      <c r="F315" s="1149"/>
      <c r="G315" s="1149"/>
      <c r="H315" s="1149"/>
      <c r="I315" s="1149"/>
      <c r="J315" s="1149"/>
      <c r="K315" s="1149"/>
      <c r="L315" s="1149"/>
      <c r="M315" s="1149"/>
      <c r="N315" s="1149"/>
      <c r="O315" s="1149"/>
      <c r="P315" s="1149"/>
      <c r="Q315" s="1148"/>
      <c r="R315" s="1147"/>
      <c r="S315" s="1147"/>
      <c r="T315" s="1147"/>
      <c r="U315" s="1147"/>
      <c r="V315" s="1147"/>
      <c r="W315" s="1147"/>
      <c r="X315" s="1147"/>
      <c r="Y315" s="1147"/>
      <c r="Z315" s="1147"/>
      <c r="AA315" s="1147"/>
      <c r="AB315" s="1147"/>
      <c r="AC315" s="1147"/>
      <c r="AD315" s="1147"/>
      <c r="AE315" s="1160"/>
      <c r="AF315" s="1160"/>
      <c r="AG315" s="1160"/>
    </row>
    <row r="316" spans="1:33" x14ac:dyDescent="0.3">
      <c r="A316" s="1143" t="s">
        <v>499</v>
      </c>
      <c r="B316" s="1144" t="s">
        <v>495</v>
      </c>
      <c r="C316" s="1168"/>
      <c r="D316" s="1168"/>
      <c r="E316" s="1159"/>
      <c r="F316" s="1149"/>
      <c r="G316" s="1149"/>
      <c r="H316" s="1149"/>
      <c r="I316" s="1149"/>
      <c r="J316" s="1149"/>
      <c r="K316" s="1149"/>
      <c r="L316" s="1149"/>
      <c r="M316" s="1149"/>
      <c r="N316" s="1149"/>
      <c r="O316" s="1149"/>
      <c r="P316" s="1149"/>
      <c r="Q316" s="1149"/>
      <c r="R316" s="1148"/>
      <c r="S316" s="1147"/>
      <c r="T316" s="1147"/>
      <c r="U316" s="1147"/>
      <c r="V316" s="1147"/>
      <c r="W316" s="1147"/>
      <c r="X316" s="1147"/>
      <c r="Y316" s="1147"/>
      <c r="Z316" s="1147"/>
      <c r="AA316" s="1147"/>
      <c r="AB316" s="1147"/>
      <c r="AC316" s="1147"/>
      <c r="AD316" s="1147"/>
      <c r="AE316" s="1160"/>
      <c r="AF316" s="1160"/>
      <c r="AG316" s="1160"/>
    </row>
    <row r="317" spans="1:33" x14ac:dyDescent="0.3">
      <c r="A317" s="1143" t="s">
        <v>499</v>
      </c>
      <c r="B317" s="1144" t="s">
        <v>496</v>
      </c>
      <c r="C317" s="1168"/>
      <c r="D317" s="1168"/>
      <c r="E317" s="1159"/>
      <c r="F317" s="1149"/>
      <c r="G317" s="1149"/>
      <c r="H317" s="1149"/>
      <c r="I317" s="1149"/>
      <c r="J317" s="1149"/>
      <c r="K317" s="1149"/>
      <c r="L317" s="1149"/>
      <c r="M317" s="1149"/>
      <c r="N317" s="1149"/>
      <c r="O317" s="1149"/>
      <c r="P317" s="1149"/>
      <c r="Q317" s="1149"/>
      <c r="R317" s="1149"/>
      <c r="S317" s="1148"/>
      <c r="T317" s="1147"/>
      <c r="U317" s="1147"/>
      <c r="V317" s="1147"/>
      <c r="W317" s="1147"/>
      <c r="X317" s="1147"/>
      <c r="Y317" s="1147"/>
      <c r="Z317" s="1147"/>
      <c r="AA317" s="1147"/>
      <c r="AB317" s="1147"/>
      <c r="AC317" s="1147"/>
      <c r="AD317" s="1147"/>
      <c r="AE317" s="1160"/>
      <c r="AF317" s="1160"/>
      <c r="AG317" s="1160"/>
    </row>
    <row r="318" spans="1:33" x14ac:dyDescent="0.3">
      <c r="A318" s="1143" t="s">
        <v>499</v>
      </c>
      <c r="B318" s="1144" t="s">
        <v>500</v>
      </c>
      <c r="C318" s="1168"/>
      <c r="D318" s="1168"/>
      <c r="E318" s="1159"/>
      <c r="F318" s="1149"/>
      <c r="G318" s="1149"/>
      <c r="H318" s="1149"/>
      <c r="I318" s="1149"/>
      <c r="J318" s="1149"/>
      <c r="K318" s="1149"/>
      <c r="L318" s="1149"/>
      <c r="M318" s="1149"/>
      <c r="N318" s="1149"/>
      <c r="O318" s="1149"/>
      <c r="P318" s="1149"/>
      <c r="Q318" s="1149"/>
      <c r="R318" s="1149"/>
      <c r="S318" s="1149"/>
      <c r="T318" s="1148"/>
      <c r="U318" s="1147"/>
      <c r="V318" s="1147"/>
      <c r="W318" s="1147"/>
      <c r="X318" s="1147"/>
      <c r="Y318" s="1147"/>
      <c r="Z318" s="1147"/>
      <c r="AA318" s="1147"/>
      <c r="AB318" s="1147"/>
      <c r="AC318" s="1147"/>
      <c r="AD318" s="1147"/>
      <c r="AE318" s="1160"/>
      <c r="AF318" s="1160"/>
      <c r="AG318" s="1160"/>
    </row>
    <row r="319" spans="1:33" x14ac:dyDescent="0.3">
      <c r="A319" s="1143" t="s">
        <v>499</v>
      </c>
      <c r="B319" s="1144" t="s">
        <v>501</v>
      </c>
      <c r="C319" s="1168"/>
      <c r="D319" s="1168"/>
      <c r="E319" s="1159"/>
      <c r="F319" s="1149"/>
      <c r="G319" s="1149"/>
      <c r="H319" s="1149"/>
      <c r="I319" s="1149"/>
      <c r="J319" s="1149"/>
      <c r="K319" s="1149"/>
      <c r="L319" s="1149"/>
      <c r="M319" s="1149"/>
      <c r="N319" s="1149"/>
      <c r="O319" s="1149"/>
      <c r="P319" s="1149"/>
      <c r="Q319" s="1149"/>
      <c r="R319" s="1149"/>
      <c r="S319" s="1149"/>
      <c r="T319" s="1149"/>
      <c r="U319" s="1148"/>
      <c r="V319" s="1147"/>
      <c r="W319" s="1147"/>
      <c r="X319" s="1147"/>
      <c r="Y319" s="1147"/>
      <c r="Z319" s="1147"/>
      <c r="AA319" s="1147"/>
      <c r="AB319" s="1147"/>
      <c r="AC319" s="1147"/>
      <c r="AD319" s="1147"/>
      <c r="AE319" s="1160"/>
      <c r="AF319" s="1160"/>
      <c r="AG319" s="1160"/>
    </row>
    <row r="320" spans="1:33" x14ac:dyDescent="0.3">
      <c r="A320" s="1143" t="s">
        <v>499</v>
      </c>
      <c r="B320" s="1144" t="s">
        <v>502</v>
      </c>
      <c r="C320" s="1168"/>
      <c r="D320" s="1168"/>
      <c r="E320" s="1159"/>
      <c r="F320" s="1149"/>
      <c r="G320" s="1149"/>
      <c r="H320" s="1149"/>
      <c r="I320" s="1149"/>
      <c r="J320" s="1149"/>
      <c r="K320" s="1149"/>
      <c r="L320" s="1149"/>
      <c r="M320" s="1149"/>
      <c r="N320" s="1149"/>
      <c r="O320" s="1149"/>
      <c r="P320" s="1149"/>
      <c r="Q320" s="1149"/>
      <c r="R320" s="1149"/>
      <c r="S320" s="1149"/>
      <c r="T320" s="1149"/>
      <c r="U320" s="1149"/>
      <c r="V320" s="1148"/>
      <c r="W320" s="1147"/>
      <c r="X320" s="1147"/>
      <c r="Y320" s="1147"/>
      <c r="Z320" s="1147"/>
      <c r="AA320" s="1147"/>
      <c r="AB320" s="1147"/>
      <c r="AC320" s="1147"/>
      <c r="AD320" s="1147"/>
      <c r="AE320" s="1160"/>
      <c r="AF320" s="1160"/>
      <c r="AG320" s="1160"/>
    </row>
    <row r="321" spans="1:33" x14ac:dyDescent="0.3">
      <c r="A321" s="1143" t="s">
        <v>499</v>
      </c>
      <c r="B321" s="1144" t="s">
        <v>512</v>
      </c>
      <c r="C321" s="1168"/>
      <c r="D321" s="1168"/>
      <c r="E321" s="1159"/>
      <c r="F321" s="1149"/>
      <c r="G321" s="1149"/>
      <c r="H321" s="1149"/>
      <c r="I321" s="1149"/>
      <c r="J321" s="1149"/>
      <c r="K321" s="1149"/>
      <c r="L321" s="1149"/>
      <c r="M321" s="1149"/>
      <c r="N321" s="1149"/>
      <c r="O321" s="1149"/>
      <c r="P321" s="1149"/>
      <c r="Q321" s="1149"/>
      <c r="R321" s="1149"/>
      <c r="S321" s="1149"/>
      <c r="T321" s="1149"/>
      <c r="U321" s="1149"/>
      <c r="V321" s="1149"/>
      <c r="W321" s="1148"/>
      <c r="X321" s="1147"/>
      <c r="Y321" s="1147"/>
      <c r="Z321" s="1147"/>
      <c r="AA321" s="1147"/>
      <c r="AB321" s="1147"/>
      <c r="AC321" s="1147"/>
      <c r="AD321" s="1147"/>
      <c r="AE321" s="1160"/>
      <c r="AF321" s="1160"/>
      <c r="AG321" s="1160"/>
    </row>
    <row r="322" spans="1:33" x14ac:dyDescent="0.3">
      <c r="A322" s="1143" t="s">
        <v>499</v>
      </c>
      <c r="B322" s="1144" t="s">
        <v>513</v>
      </c>
      <c r="C322" s="1168"/>
      <c r="D322" s="1168"/>
      <c r="E322" s="1159"/>
      <c r="F322" s="1149"/>
      <c r="G322" s="1149"/>
      <c r="H322" s="1149"/>
      <c r="I322" s="1149"/>
      <c r="J322" s="1149"/>
      <c r="K322" s="1149"/>
      <c r="L322" s="1149"/>
      <c r="M322" s="1149"/>
      <c r="N322" s="1149"/>
      <c r="O322" s="1149"/>
      <c r="P322" s="1149"/>
      <c r="Q322" s="1149"/>
      <c r="R322" s="1149"/>
      <c r="S322" s="1149"/>
      <c r="T322" s="1149"/>
      <c r="U322" s="1149"/>
      <c r="V322" s="1149"/>
      <c r="W322" s="1149"/>
      <c r="X322" s="1148"/>
      <c r="Y322" s="1147"/>
      <c r="Z322" s="1147"/>
      <c r="AA322" s="1147"/>
      <c r="AB322" s="1147"/>
      <c r="AC322" s="1147"/>
      <c r="AD322" s="1147"/>
      <c r="AE322" s="1160"/>
      <c r="AF322" s="1160"/>
      <c r="AG322" s="1160"/>
    </row>
    <row r="323" spans="1:33" x14ac:dyDescent="0.3">
      <c r="A323" s="1143" t="s">
        <v>499</v>
      </c>
      <c r="B323" s="1144" t="s">
        <v>514</v>
      </c>
      <c r="C323" s="1194">
        <f>$C290+$C257+$C224+$C191+$C158+$C125+$C92+$C59+$C28</f>
        <v>5819.1524222066364</v>
      </c>
      <c r="D323" s="1168"/>
      <c r="E323" s="1159"/>
      <c r="F323" s="1149"/>
      <c r="G323" s="1149"/>
      <c r="H323" s="1149"/>
      <c r="I323" s="1149"/>
      <c r="J323" s="1149"/>
      <c r="K323" s="1149"/>
      <c r="L323" s="1149"/>
      <c r="M323" s="1149"/>
      <c r="N323" s="1149"/>
      <c r="O323" s="1149"/>
      <c r="P323" s="1149"/>
      <c r="Q323" s="1149"/>
      <c r="R323" s="1149"/>
      <c r="S323" s="1149"/>
      <c r="T323" s="1149"/>
      <c r="U323" s="1149"/>
      <c r="V323" s="1149"/>
      <c r="W323" s="1149"/>
      <c r="X323" s="1149"/>
      <c r="Y323" s="1190">
        <f>Y$28+Y$59+Y$92+Y$125+Y$158+Y$191+Y$224+Y$257+Y$290</f>
        <v>301.71789466895348</v>
      </c>
      <c r="Z323" s="1190">
        <f t="shared" ref="Z323:AD323" si="20">Z$28+Z$59+Z$92+Z$125+Z$158+Z$191+Z$224+Z$257+Z$290</f>
        <v>301.71789466895348</v>
      </c>
      <c r="AA323" s="1190">
        <f t="shared" si="20"/>
        <v>301.71789466895348</v>
      </c>
      <c r="AB323" s="1190">
        <f t="shared" si="20"/>
        <v>301.71789466895348</v>
      </c>
      <c r="AC323" s="1190">
        <f t="shared" si="20"/>
        <v>301.71789466895348</v>
      </c>
      <c r="AD323" s="1190">
        <f t="shared" si="20"/>
        <v>301.71789466895348</v>
      </c>
      <c r="AE323" s="1192">
        <f>SUM(Y323:AD323)</f>
        <v>1810.3073680137209</v>
      </c>
      <c r="AF323" s="1192"/>
      <c r="AG323" s="1194">
        <f>$AG290+$AG257+$AG224+$AG191+$AG158+$AG125+$AG92+$AG59+$AG28</f>
        <v>3426.9298119722525</v>
      </c>
    </row>
    <row r="324" spans="1:33" x14ac:dyDescent="0.3">
      <c r="A324" s="1143" t="s">
        <v>499</v>
      </c>
      <c r="B324" s="1144" t="s">
        <v>914</v>
      </c>
      <c r="C324" s="1194">
        <f>$C291+$C258+$C225+$C192+$C159+$C126+$C93+$C60+$C29</f>
        <v>238.01730123408606</v>
      </c>
      <c r="D324" s="1146"/>
      <c r="E324" s="1162"/>
      <c r="F324" s="1149"/>
      <c r="G324" s="1149"/>
      <c r="H324" s="1149"/>
      <c r="I324" s="1149"/>
      <c r="J324" s="1149"/>
      <c r="K324" s="1149"/>
      <c r="L324" s="1149"/>
      <c r="M324" s="1149"/>
      <c r="N324" s="1149"/>
      <c r="O324" s="1149"/>
      <c r="P324" s="1149"/>
      <c r="Q324" s="1149"/>
      <c r="R324" s="1149"/>
      <c r="S324" s="1149"/>
      <c r="T324" s="1149"/>
      <c r="U324" s="1149"/>
      <c r="V324" s="1149"/>
      <c r="W324" s="1149"/>
      <c r="X324" s="1149"/>
      <c r="Y324" s="1193"/>
      <c r="Z324" s="1190">
        <f>Z$29+Z$60+Z$93+Z$126+Z$159+Z$192+Z$225+Z$258+Z$291</f>
        <v>10.044330112078432</v>
      </c>
      <c r="AA324" s="1190">
        <f t="shared" ref="AA324:AD324" si="21">AA$29+AA$60+AA$93+AA$126+AA$159+AA$192+AA$225+AA$258+AA$291</f>
        <v>10.044330112078432</v>
      </c>
      <c r="AB324" s="1190">
        <f t="shared" si="21"/>
        <v>10.044330112078432</v>
      </c>
      <c r="AC324" s="1190">
        <f t="shared" si="21"/>
        <v>10.044330112078432</v>
      </c>
      <c r="AD324" s="1190">
        <f t="shared" si="21"/>
        <v>10.044330112078432</v>
      </c>
      <c r="AE324" s="1189">
        <f>SUM(Z324:AD324)</f>
        <v>50.221650560392163</v>
      </c>
      <c r="AF324" s="1189"/>
      <c r="AG324" s="1194">
        <f t="shared" ref="AG324:AG328" ca="1" si="22">$AG291+$AG258+$AG225+$AG192+$AG159+$AG126+$AG93+$AG60+$AG29</f>
        <v>163.99392055028531</v>
      </c>
    </row>
    <row r="325" spans="1:33" x14ac:dyDescent="0.3">
      <c r="A325" s="1143" t="s">
        <v>499</v>
      </c>
      <c r="B325" s="1144" t="s">
        <v>915</v>
      </c>
      <c r="C325" s="1194">
        <f t="shared" ref="C325:C328" si="23">$C292+$C259+$C226+$C193+$C160+$C127+$C94+$C61+$C30</f>
        <v>731.16501526337015</v>
      </c>
      <c r="D325" s="1146"/>
      <c r="E325" s="1162"/>
      <c r="F325" s="1149"/>
      <c r="G325" s="1149"/>
      <c r="H325" s="1149"/>
      <c r="I325" s="1149"/>
      <c r="J325" s="1149"/>
      <c r="K325" s="1149"/>
      <c r="L325" s="1149"/>
      <c r="M325" s="1149"/>
      <c r="N325" s="1149"/>
      <c r="O325" s="1149"/>
      <c r="P325" s="1149"/>
      <c r="Q325" s="1149"/>
      <c r="R325" s="1149"/>
      <c r="S325" s="1149"/>
      <c r="T325" s="1149"/>
      <c r="U325" s="1149"/>
      <c r="V325" s="1149"/>
      <c r="W325" s="1149"/>
      <c r="X325" s="1149"/>
      <c r="Y325" s="1193"/>
      <c r="Z325" s="1193"/>
      <c r="AA325" s="1190">
        <f>AA$30+AA$61+AA$94+AA$127+AA$160+AA$193+AA$226+AA$259+AA$292</f>
        <v>30.855163644114221</v>
      </c>
      <c r="AB325" s="1190">
        <f t="shared" ref="AB325:AD325" si="24">AB$30+AB$61+AB$94+AB$127+AB$160+AB$193+AB$226+AB$259+AB$292</f>
        <v>30.855163644114221</v>
      </c>
      <c r="AC325" s="1190">
        <f t="shared" si="24"/>
        <v>30.855163644114221</v>
      </c>
      <c r="AD325" s="1190">
        <f t="shared" si="24"/>
        <v>30.855163644114221</v>
      </c>
      <c r="AE325" s="1189">
        <f>SUM(AA325:AD325)</f>
        <v>123.42065457645688</v>
      </c>
      <c r="AF325" s="1189"/>
      <c r="AG325" s="1194">
        <f t="shared" si="22"/>
        <v>534.62785916057635</v>
      </c>
    </row>
    <row r="326" spans="1:33" x14ac:dyDescent="0.3">
      <c r="A326" s="1143" t="s">
        <v>499</v>
      </c>
      <c r="B326" s="1144" t="s">
        <v>916</v>
      </c>
      <c r="C326" s="1194">
        <f t="shared" si="23"/>
        <v>137.01</v>
      </c>
      <c r="D326" s="1146"/>
      <c r="E326" s="1162"/>
      <c r="F326" s="1149"/>
      <c r="G326" s="1149"/>
      <c r="H326" s="1149"/>
      <c r="I326" s="1149"/>
      <c r="J326" s="1149"/>
      <c r="K326" s="1149"/>
      <c r="L326" s="1149"/>
      <c r="M326" s="1149"/>
      <c r="N326" s="1149"/>
      <c r="O326" s="1149"/>
      <c r="P326" s="1149"/>
      <c r="Q326" s="1149"/>
      <c r="R326" s="1149"/>
      <c r="S326" s="1149"/>
      <c r="T326" s="1149"/>
      <c r="U326" s="1149"/>
      <c r="V326" s="1149"/>
      <c r="W326" s="1149"/>
      <c r="X326" s="1149"/>
      <c r="Y326" s="1193"/>
      <c r="Z326" s="1193"/>
      <c r="AA326" s="1193"/>
      <c r="AB326" s="1190">
        <f>AB$31+AB$62+AB$95+AB$128+AB$161+AB$194+AB$227+AB$260+AB$293</f>
        <v>5.781822</v>
      </c>
      <c r="AC326" s="1190">
        <f t="shared" ref="AC326:AD326" si="25">AC$31+AC$62+AC$95+AC$128+AC$161+AC$194+AC$227+AC$260+AC$293</f>
        <v>5.781822</v>
      </c>
      <c r="AD326" s="1190">
        <f t="shared" si="25"/>
        <v>5.781822</v>
      </c>
      <c r="AE326" s="1189">
        <f>SUM(AB326:AD326)</f>
        <v>17.345466000000002</v>
      </c>
      <c r="AF326" s="1189"/>
      <c r="AG326" s="1194">
        <f t="shared" si="22"/>
        <v>105.963534</v>
      </c>
    </row>
    <row r="327" spans="1:33" x14ac:dyDescent="0.3">
      <c r="A327" s="1143" t="s">
        <v>499</v>
      </c>
      <c r="B327" s="1144" t="s">
        <v>917</v>
      </c>
      <c r="C327" s="1194">
        <f t="shared" si="23"/>
        <v>18.75</v>
      </c>
      <c r="D327" s="1146"/>
      <c r="E327" s="1162"/>
      <c r="F327" s="1149"/>
      <c r="G327" s="1149"/>
      <c r="H327" s="1149"/>
      <c r="I327" s="1149"/>
      <c r="J327" s="1149"/>
      <c r="K327" s="1149"/>
      <c r="L327" s="1149"/>
      <c r="M327" s="1149"/>
      <c r="N327" s="1149"/>
      <c r="O327" s="1149"/>
      <c r="P327" s="1149"/>
      <c r="Q327" s="1149"/>
      <c r="R327" s="1149"/>
      <c r="S327" s="1149"/>
      <c r="T327" s="1149"/>
      <c r="U327" s="1149"/>
      <c r="V327" s="1149"/>
      <c r="W327" s="1149"/>
      <c r="X327" s="1149"/>
      <c r="Y327" s="1193"/>
      <c r="Z327" s="1193"/>
      <c r="AA327" s="1193"/>
      <c r="AB327" s="1193"/>
      <c r="AC327" s="1190">
        <f>AC$32+AC$63+AC$96+AC$129+AC$162+AC$195+AC$228+AC$261+AC$294</f>
        <v>0.79125000000000001</v>
      </c>
      <c r="AD327" s="1190">
        <f t="shared" ref="AD327" si="26">AD$32+AD$63+AD$96+AD$129+AD$162+AD$195+AD$228+AD$261+AD$294</f>
        <v>0.79125000000000001</v>
      </c>
      <c r="AE327" s="1189">
        <f>SUM(AC327:AD327)</f>
        <v>1.5825</v>
      </c>
      <c r="AF327" s="1189"/>
      <c r="AG327" s="1194">
        <f t="shared" si="22"/>
        <v>15.2925</v>
      </c>
    </row>
    <row r="328" spans="1:33" x14ac:dyDescent="0.3">
      <c r="A328" s="1143" t="s">
        <v>499</v>
      </c>
      <c r="B328" s="1144" t="s">
        <v>918</v>
      </c>
      <c r="C328" s="1194">
        <f t="shared" si="23"/>
        <v>25</v>
      </c>
      <c r="D328" s="1146"/>
      <c r="E328" s="1162"/>
      <c r="F328" s="1149"/>
      <c r="G328" s="1149"/>
      <c r="H328" s="1149"/>
      <c r="I328" s="1149"/>
      <c r="J328" s="1149"/>
      <c r="K328" s="1149"/>
      <c r="L328" s="1149"/>
      <c r="M328" s="1149"/>
      <c r="N328" s="1149"/>
      <c r="O328" s="1149"/>
      <c r="P328" s="1149"/>
      <c r="Q328" s="1149"/>
      <c r="R328" s="1149"/>
      <c r="S328" s="1149"/>
      <c r="T328" s="1149"/>
      <c r="U328" s="1149"/>
      <c r="V328" s="1149"/>
      <c r="W328" s="1149"/>
      <c r="X328" s="1149"/>
      <c r="Y328" s="1193"/>
      <c r="Z328" s="1193"/>
      <c r="AA328" s="1193"/>
      <c r="AB328" s="1193"/>
      <c r="AC328" s="1193"/>
      <c r="AD328" s="1190">
        <f>AD$33+AD$64+AD$97+AD$130+AD$163+AD$196+AD$229+AD$262+AD$295</f>
        <v>1.0549999999999999</v>
      </c>
      <c r="AE328" s="1189">
        <f>AD328</f>
        <v>1.0549999999999999</v>
      </c>
      <c r="AF328" s="1189"/>
      <c r="AG328" s="1194">
        <f t="shared" si="22"/>
        <v>21.445</v>
      </c>
    </row>
    <row r="329" spans="1:33" x14ac:dyDescent="0.3">
      <c r="A329" s="1151"/>
      <c r="B329" s="1152" t="s">
        <v>267</v>
      </c>
      <c r="C329" s="1163">
        <f>SUM(C323:C328)</f>
        <v>6969.0947387040924</v>
      </c>
      <c r="D329" s="1153"/>
      <c r="E329" s="1153"/>
      <c r="F329" s="1153"/>
      <c r="G329" s="1153"/>
      <c r="H329" s="1153"/>
      <c r="I329" s="1153"/>
      <c r="J329" s="1153"/>
      <c r="K329" s="1153"/>
      <c r="L329" s="1153"/>
      <c r="M329" s="1153"/>
      <c r="N329" s="1153"/>
      <c r="O329" s="1153"/>
      <c r="P329" s="1153"/>
      <c r="Q329" s="1153"/>
      <c r="R329" s="1153"/>
      <c r="S329" s="1153"/>
      <c r="T329" s="1153"/>
      <c r="U329" s="1153"/>
      <c r="V329" s="1153"/>
      <c r="W329" s="1153"/>
      <c r="X329" s="1153"/>
      <c r="Y329" s="1163">
        <f>SUM(Y323)</f>
        <v>301.71789466895348</v>
      </c>
      <c r="Z329" s="1163">
        <f>SUM(Z323:Z324)</f>
        <v>311.76222478103193</v>
      </c>
      <c r="AA329" s="1163">
        <f>SUM(AA323:AA325)</f>
        <v>342.61738842514615</v>
      </c>
      <c r="AB329" s="1163">
        <f>SUM(AB323:AB326)</f>
        <v>348.39921042514612</v>
      </c>
      <c r="AC329" s="1163">
        <f>SUM(AC323:AC327)</f>
        <v>349.19046042514611</v>
      </c>
      <c r="AD329" s="1163">
        <f>SUM(AD323:AD328)</f>
        <v>350.24546042514612</v>
      </c>
      <c r="AE329" s="1163">
        <f>SUM(AE323:AE328)</f>
        <v>2003.9326391505699</v>
      </c>
      <c r="AF329" s="1163"/>
      <c r="AG329" s="1163">
        <f ca="1">SUM(AG323:AG328)</f>
        <v>4268.2526256831134</v>
      </c>
    </row>
  </sheetData>
  <mergeCells count="43">
    <mergeCell ref="A3:T3"/>
    <mergeCell ref="A4:T4"/>
    <mergeCell ref="B6:B7"/>
    <mergeCell ref="C6:C7"/>
    <mergeCell ref="D6:D7"/>
    <mergeCell ref="E6:E7"/>
    <mergeCell ref="F6:AD6"/>
    <mergeCell ref="C37:C38"/>
    <mergeCell ref="D37:D38"/>
    <mergeCell ref="E37:E38"/>
    <mergeCell ref="F37:AD37"/>
    <mergeCell ref="C70:C71"/>
    <mergeCell ref="D70:D71"/>
    <mergeCell ref="E70:E71"/>
    <mergeCell ref="F70:AD70"/>
    <mergeCell ref="C103:C104"/>
    <mergeCell ref="D103:D104"/>
    <mergeCell ref="E103:E104"/>
    <mergeCell ref="F103:AD103"/>
    <mergeCell ref="C136:C137"/>
    <mergeCell ref="D136:D137"/>
    <mergeCell ref="E136:E137"/>
    <mergeCell ref="F136:AD136"/>
    <mergeCell ref="C169:C170"/>
    <mergeCell ref="D169:D170"/>
    <mergeCell ref="E169:E170"/>
    <mergeCell ref="F169:AD169"/>
    <mergeCell ref="C202:C203"/>
    <mergeCell ref="D202:D203"/>
    <mergeCell ref="E202:E203"/>
    <mergeCell ref="F202:AD202"/>
    <mergeCell ref="C301:C302"/>
    <mergeCell ref="D301:D302"/>
    <mergeCell ref="E301:E302"/>
    <mergeCell ref="F301:AD301"/>
    <mergeCell ref="C235:C236"/>
    <mergeCell ref="D235:D236"/>
    <mergeCell ref="E235:E236"/>
    <mergeCell ref="F235:AD235"/>
    <mergeCell ref="C268:C269"/>
    <mergeCell ref="D268:D269"/>
    <mergeCell ref="E268:E269"/>
    <mergeCell ref="F268:AD26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84"/>
  <sheetViews>
    <sheetView showGridLines="0" zoomScale="64" workbookViewId="0">
      <selection activeCell="H85" sqref="H85"/>
    </sheetView>
  </sheetViews>
  <sheetFormatPr defaultColWidth="8.81640625" defaultRowHeight="14.5" x14ac:dyDescent="0.35"/>
  <cols>
    <col min="1" max="1" width="8.81640625" style="1126"/>
    <col min="2" max="2" width="9.1796875" style="1126" customWidth="1"/>
    <col min="3" max="3" width="12.453125" style="1126" customWidth="1"/>
    <col min="4" max="4" width="8.81640625" style="1126"/>
    <col min="5" max="5" width="10.54296875" style="1126" customWidth="1"/>
    <col min="6" max="6" width="8.81640625" style="1126"/>
    <col min="7" max="7" width="9.81640625" style="1126" bestFit="1" customWidth="1"/>
    <col min="8" max="8" width="9.81640625" style="1126" customWidth="1"/>
    <col min="9" max="10" width="8.81640625" style="1126"/>
    <col min="11" max="11" width="11.81640625" style="1126" bestFit="1" customWidth="1"/>
    <col min="12" max="12" width="10.54296875" style="1126" customWidth="1"/>
    <col min="13" max="16384" width="8.81640625" style="1126"/>
  </cols>
  <sheetData>
    <row r="1" spans="2:15" x14ac:dyDescent="0.35">
      <c r="B1" s="1406" t="s">
        <v>705</v>
      </c>
      <c r="C1" s="1406"/>
      <c r="D1" s="1406"/>
      <c r="E1" s="1406"/>
      <c r="F1" s="1406"/>
      <c r="G1" s="1406"/>
      <c r="H1" s="1406"/>
      <c r="I1" s="1406"/>
      <c r="J1" s="1406"/>
      <c r="K1" s="1406"/>
      <c r="L1" s="1406"/>
      <c r="M1" s="1406"/>
      <c r="N1" s="1406"/>
      <c r="O1" s="1406"/>
    </row>
    <row r="2" spans="2:15" x14ac:dyDescent="0.35">
      <c r="B2" s="1406" t="s">
        <v>1214</v>
      </c>
      <c r="C2" s="1406"/>
      <c r="D2" s="1406"/>
      <c r="E2" s="1406"/>
      <c r="F2" s="1406"/>
      <c r="G2" s="1406"/>
      <c r="H2" s="1406"/>
      <c r="I2" s="1406"/>
      <c r="J2" s="1406"/>
      <c r="K2" s="1406"/>
      <c r="L2" s="1406"/>
      <c r="M2" s="1406"/>
      <c r="N2" s="1406"/>
      <c r="O2" s="1406"/>
    </row>
    <row r="3" spans="2:15" x14ac:dyDescent="0.35">
      <c r="B3" s="1588" t="s">
        <v>1218</v>
      </c>
      <c r="C3" s="1588"/>
      <c r="D3" s="1588"/>
      <c r="E3" s="1588"/>
      <c r="F3" s="1588"/>
      <c r="G3" s="1588"/>
      <c r="H3" s="1588"/>
      <c r="I3" s="1588"/>
      <c r="J3" s="1588"/>
      <c r="K3" s="1588"/>
      <c r="L3" s="1588"/>
      <c r="M3" s="1588"/>
      <c r="N3" s="1588"/>
      <c r="O3" s="1588"/>
    </row>
    <row r="6" spans="2:15" x14ac:dyDescent="0.35">
      <c r="B6" s="1626" t="s">
        <v>849</v>
      </c>
      <c r="C6" s="1626"/>
      <c r="D6" s="176"/>
      <c r="E6" s="10"/>
      <c r="F6" s="10"/>
      <c r="G6" s="10"/>
      <c r="H6" s="10"/>
      <c r="I6" s="10"/>
      <c r="J6" s="10"/>
      <c r="K6" s="10"/>
      <c r="L6" s="10"/>
    </row>
    <row r="7" spans="2:15" x14ac:dyDescent="0.35">
      <c r="B7" s="1408" t="s">
        <v>327</v>
      </c>
      <c r="C7" s="1408" t="s">
        <v>525</v>
      </c>
      <c r="D7" s="1479" t="s">
        <v>531</v>
      </c>
      <c r="E7" s="1413" t="s">
        <v>595</v>
      </c>
      <c r="F7" s="1414"/>
      <c r="G7" s="1415"/>
      <c r="H7" s="1404" t="s">
        <v>526</v>
      </c>
      <c r="I7" s="1404"/>
      <c r="J7" s="1404"/>
      <c r="K7" s="1404"/>
      <c r="L7" s="1404"/>
    </row>
    <row r="8" spans="2:15" ht="56" x14ac:dyDescent="0.35">
      <c r="B8" s="1437"/>
      <c r="C8" s="1437"/>
      <c r="D8" s="1480"/>
      <c r="E8" s="97" t="s">
        <v>2962</v>
      </c>
      <c r="F8" s="164" t="s">
        <v>2963</v>
      </c>
      <c r="G8" s="164" t="s">
        <v>2964</v>
      </c>
      <c r="H8" s="164" t="s">
        <v>530</v>
      </c>
      <c r="I8" s="164" t="s">
        <v>527</v>
      </c>
      <c r="J8" s="164" t="s">
        <v>596</v>
      </c>
      <c r="K8" s="97" t="s">
        <v>528</v>
      </c>
      <c r="L8" s="97" t="s">
        <v>529</v>
      </c>
    </row>
    <row r="9" spans="2:15" x14ac:dyDescent="0.35">
      <c r="B9" s="1627">
        <f>B8+1</f>
        <v>1</v>
      </c>
      <c r="C9" s="1630" t="s">
        <v>2965</v>
      </c>
      <c r="D9" s="1127" t="s">
        <v>275</v>
      </c>
      <c r="E9" s="1128">
        <f>K10*25%/3</f>
        <v>222281.22385251653</v>
      </c>
      <c r="F9" s="1128">
        <f>K13*25%/3</f>
        <v>0</v>
      </c>
      <c r="G9" s="1128">
        <f>K16/9</f>
        <v>16479.066540311502</v>
      </c>
      <c r="H9" s="1633" t="s">
        <v>2966</v>
      </c>
      <c r="I9" s="1129"/>
      <c r="J9" s="1636">
        <f>F2.2!I160</f>
        <v>3.5799164070516767</v>
      </c>
      <c r="K9" s="1130" t="s">
        <v>2962</v>
      </c>
      <c r="L9" s="1639"/>
    </row>
    <row r="10" spans="2:15" x14ac:dyDescent="0.35">
      <c r="B10" s="1628"/>
      <c r="C10" s="1631"/>
      <c r="D10" s="1127" t="s">
        <v>276</v>
      </c>
      <c r="E10" s="1128">
        <f>K10*25%/3</f>
        <v>222281.22385251653</v>
      </c>
      <c r="F10" s="1128">
        <f>K13*25%/3</f>
        <v>0</v>
      </c>
      <c r="G10" s="1128">
        <f>K16/9</f>
        <v>16479.066540311502</v>
      </c>
      <c r="H10" s="1634"/>
      <c r="I10" s="1129"/>
      <c r="J10" s="1637"/>
      <c r="K10" s="1131">
        <f>F2.2!$I$94</f>
        <v>2667374.6862301985</v>
      </c>
      <c r="L10" s="1640"/>
    </row>
    <row r="11" spans="2:15" x14ac:dyDescent="0.35">
      <c r="B11" s="1628"/>
      <c r="C11" s="1631"/>
      <c r="D11" s="1127" t="s">
        <v>277</v>
      </c>
      <c r="E11" s="1128">
        <f>K10*25%/3</f>
        <v>222281.22385251653</v>
      </c>
      <c r="F11" s="1128">
        <f>K13*25%/3</f>
        <v>0</v>
      </c>
      <c r="G11" s="1128">
        <f>K16/9</f>
        <v>16479.066540311502</v>
      </c>
      <c r="H11" s="1634"/>
      <c r="I11" s="1129"/>
      <c r="J11" s="1637"/>
      <c r="K11" s="1132"/>
      <c r="L11" s="1640"/>
    </row>
    <row r="12" spans="2:15" x14ac:dyDescent="0.35">
      <c r="B12" s="1628"/>
      <c r="C12" s="1631"/>
      <c r="D12" s="1127" t="s">
        <v>532</v>
      </c>
      <c r="E12" s="1128">
        <f>K10*22%/3</f>
        <v>195607.47699021455</v>
      </c>
      <c r="F12" s="1128">
        <f>K13*22%/3</f>
        <v>0</v>
      </c>
      <c r="G12" s="1128"/>
      <c r="H12" s="1634"/>
      <c r="I12" s="1129"/>
      <c r="J12" s="1637"/>
      <c r="K12" s="1132" t="s">
        <v>2963</v>
      </c>
      <c r="L12" s="1640"/>
    </row>
    <row r="13" spans="2:15" x14ac:dyDescent="0.35">
      <c r="B13" s="1628"/>
      <c r="C13" s="1631"/>
      <c r="D13" s="1127" t="s">
        <v>279</v>
      </c>
      <c r="E13" s="1128">
        <f>K10*22%/3</f>
        <v>195607.47699021455</v>
      </c>
      <c r="F13" s="1128">
        <f>K13*22%/3</f>
        <v>0</v>
      </c>
      <c r="G13" s="1128"/>
      <c r="H13" s="1634"/>
      <c r="I13" s="1129"/>
      <c r="J13" s="1637"/>
      <c r="K13" s="1131">
        <f>F2.2!$I$96</f>
        <v>0</v>
      </c>
      <c r="L13" s="1640"/>
    </row>
    <row r="14" spans="2:15" x14ac:dyDescent="0.35">
      <c r="B14" s="1628"/>
      <c r="C14" s="1631"/>
      <c r="D14" s="1127" t="s">
        <v>280</v>
      </c>
      <c r="E14" s="1128">
        <f>K10*22%/3</f>
        <v>195607.47699021455</v>
      </c>
      <c r="F14" s="1128">
        <f>K13*22%/3</f>
        <v>0</v>
      </c>
      <c r="G14" s="1128"/>
      <c r="H14" s="1634"/>
      <c r="I14" s="1133"/>
      <c r="J14" s="1637"/>
      <c r="K14" s="1132"/>
      <c r="L14" s="1640"/>
      <c r="M14" s="1134"/>
    </row>
    <row r="15" spans="2:15" x14ac:dyDescent="0.35">
      <c r="B15" s="1628"/>
      <c r="C15" s="1631"/>
      <c r="D15" s="1127" t="s">
        <v>281</v>
      </c>
      <c r="E15" s="1128">
        <f>K10*25%/3</f>
        <v>222281.22385251653</v>
      </c>
      <c r="F15" s="1128">
        <f>K13*25%/3</f>
        <v>0</v>
      </c>
      <c r="G15" s="1128">
        <f>K16/9</f>
        <v>16479.066540311502</v>
      </c>
      <c r="H15" s="1634"/>
      <c r="I15" s="1129"/>
      <c r="J15" s="1637"/>
      <c r="K15" s="1132" t="s">
        <v>2964</v>
      </c>
      <c r="L15" s="1640"/>
    </row>
    <row r="16" spans="2:15" x14ac:dyDescent="0.35">
      <c r="B16" s="1628"/>
      <c r="C16" s="1631"/>
      <c r="D16" s="1127" t="s">
        <v>533</v>
      </c>
      <c r="E16" s="1128">
        <f>K10*25%/3</f>
        <v>222281.22385251653</v>
      </c>
      <c r="F16" s="1128">
        <f>K13*25%/3</f>
        <v>0</v>
      </c>
      <c r="G16" s="1128">
        <f>K16/9</f>
        <v>16479.066540311502</v>
      </c>
      <c r="H16" s="1634"/>
      <c r="I16" s="1129"/>
      <c r="J16" s="1637"/>
      <c r="K16" s="1131">
        <f>F2.2!$I$95</f>
        <v>148311.59886280351</v>
      </c>
      <c r="L16" s="1640"/>
    </row>
    <row r="17" spans="2:12" x14ac:dyDescent="0.35">
      <c r="B17" s="1628"/>
      <c r="C17" s="1631"/>
      <c r="D17" s="1127" t="s">
        <v>283</v>
      </c>
      <c r="E17" s="1128">
        <f>K10*25%/3</f>
        <v>222281.22385251653</v>
      </c>
      <c r="F17" s="1128">
        <f>K13*25%/3</f>
        <v>0</v>
      </c>
      <c r="G17" s="1128">
        <f>K16/9</f>
        <v>16479.066540311502</v>
      </c>
      <c r="H17" s="1634"/>
      <c r="I17" s="1129"/>
      <c r="J17" s="1637"/>
      <c r="K17" s="1135"/>
      <c r="L17" s="1640"/>
    </row>
    <row r="18" spans="2:12" x14ac:dyDescent="0.35">
      <c r="B18" s="1628"/>
      <c r="C18" s="1631"/>
      <c r="D18" s="1127" t="s">
        <v>284</v>
      </c>
      <c r="E18" s="1128">
        <f>K10*28%/3</f>
        <v>248954.97071481854</v>
      </c>
      <c r="F18" s="1128">
        <f>K13*28%/3</f>
        <v>0</v>
      </c>
      <c r="G18" s="1128">
        <f>K16/9</f>
        <v>16479.066540311502</v>
      </c>
      <c r="H18" s="1634"/>
      <c r="I18" s="1129"/>
      <c r="J18" s="1637"/>
      <c r="K18" s="1135"/>
      <c r="L18" s="1640"/>
    </row>
    <row r="19" spans="2:12" x14ac:dyDescent="0.35">
      <c r="B19" s="1628"/>
      <c r="C19" s="1631"/>
      <c r="D19" s="1127" t="s">
        <v>285</v>
      </c>
      <c r="E19" s="1128">
        <f>K10*28%/3</f>
        <v>248954.97071481854</v>
      </c>
      <c r="F19" s="1128">
        <f>K13*28%/3</f>
        <v>0</v>
      </c>
      <c r="G19" s="1128">
        <f>K16/9</f>
        <v>16479.066540311502</v>
      </c>
      <c r="H19" s="1634"/>
      <c r="I19" s="1129"/>
      <c r="J19" s="1637"/>
      <c r="K19" s="1135"/>
      <c r="L19" s="1640"/>
    </row>
    <row r="20" spans="2:12" x14ac:dyDescent="0.35">
      <c r="B20" s="1629"/>
      <c r="C20" s="1632"/>
      <c r="D20" s="1127" t="s">
        <v>286</v>
      </c>
      <c r="E20" s="1128">
        <f>K10*28%/3</f>
        <v>248954.97071481854</v>
      </c>
      <c r="F20" s="1128">
        <f>K13*28%/3</f>
        <v>0</v>
      </c>
      <c r="G20" s="1128">
        <f>K16/9</f>
        <v>16479.066540311502</v>
      </c>
      <c r="H20" s="1635"/>
      <c r="I20" s="1129"/>
      <c r="J20" s="1638"/>
      <c r="K20" s="1135"/>
      <c r="L20" s="1641"/>
    </row>
    <row r="21" spans="2:12" x14ac:dyDescent="0.35">
      <c r="D21" s="1136"/>
    </row>
    <row r="22" spans="2:12" x14ac:dyDescent="0.35">
      <c r="B22" s="1626" t="s">
        <v>850</v>
      </c>
      <c r="C22" s="1626"/>
      <c r="D22" s="176"/>
      <c r="E22" s="10"/>
      <c r="F22" s="10"/>
      <c r="G22" s="10"/>
      <c r="H22" s="10"/>
      <c r="I22" s="10"/>
      <c r="J22" s="10"/>
      <c r="K22" s="10"/>
      <c r="L22" s="10"/>
    </row>
    <row r="23" spans="2:12" x14ac:dyDescent="0.35">
      <c r="B23" s="1408" t="s">
        <v>327</v>
      </c>
      <c r="C23" s="1408" t="s">
        <v>525</v>
      </c>
      <c r="D23" s="1479" t="s">
        <v>531</v>
      </c>
      <c r="E23" s="1413" t="s">
        <v>595</v>
      </c>
      <c r="F23" s="1414"/>
      <c r="G23" s="1415"/>
      <c r="H23" s="1404" t="s">
        <v>526</v>
      </c>
      <c r="I23" s="1404"/>
      <c r="J23" s="1404"/>
      <c r="K23" s="1404"/>
      <c r="L23" s="1404"/>
    </row>
    <row r="24" spans="2:12" ht="56" x14ac:dyDescent="0.35">
      <c r="B24" s="1437"/>
      <c r="C24" s="1437"/>
      <c r="D24" s="1480"/>
      <c r="E24" s="97" t="s">
        <v>2962</v>
      </c>
      <c r="F24" s="164" t="s">
        <v>2963</v>
      </c>
      <c r="G24" s="164" t="s">
        <v>2964</v>
      </c>
      <c r="H24" s="164" t="s">
        <v>530</v>
      </c>
      <c r="I24" s="164" t="s">
        <v>527</v>
      </c>
      <c r="J24" s="164" t="s">
        <v>596</v>
      </c>
      <c r="K24" s="97" t="s">
        <v>528</v>
      </c>
      <c r="L24" s="97" t="s">
        <v>529</v>
      </c>
    </row>
    <row r="25" spans="2:12" x14ac:dyDescent="0.35">
      <c r="B25" s="1627">
        <f>B24+1</f>
        <v>1</v>
      </c>
      <c r="C25" s="1630" t="s">
        <v>2965</v>
      </c>
      <c r="D25" s="1127" t="s">
        <v>275</v>
      </c>
      <c r="E25" s="1128">
        <f>K26*25%/3</f>
        <v>280236.06700236764</v>
      </c>
      <c r="F25" s="1128">
        <f>K29*25%/3</f>
        <v>0</v>
      </c>
      <c r="G25" s="1128">
        <f>K32/9</f>
        <v>0</v>
      </c>
      <c r="H25" s="1630" t="s">
        <v>3071</v>
      </c>
      <c r="I25" s="1129"/>
      <c r="J25" s="1636">
        <f>F2.2!$K$160</f>
        <v>3.4563606747708682</v>
      </c>
      <c r="K25" s="1130" t="s">
        <v>2962</v>
      </c>
      <c r="L25" s="1639"/>
    </row>
    <row r="26" spans="2:12" x14ac:dyDescent="0.35">
      <c r="B26" s="1628"/>
      <c r="C26" s="1631"/>
      <c r="D26" s="1127" t="s">
        <v>276</v>
      </c>
      <c r="E26" s="1128">
        <f>K26*25%/3</f>
        <v>280236.06700236764</v>
      </c>
      <c r="F26" s="1128">
        <f>K29*25%/3</f>
        <v>0</v>
      </c>
      <c r="G26" s="1128">
        <f>K32/9</f>
        <v>0</v>
      </c>
      <c r="H26" s="1631"/>
      <c r="I26" s="1129"/>
      <c r="J26" s="1637"/>
      <c r="K26" s="1131">
        <f>F2.2!$K$94</f>
        <v>3362832.8040284114</v>
      </c>
      <c r="L26" s="1640"/>
    </row>
    <row r="27" spans="2:12" x14ac:dyDescent="0.35">
      <c r="B27" s="1628"/>
      <c r="C27" s="1631"/>
      <c r="D27" s="1127" t="s">
        <v>277</v>
      </c>
      <c r="E27" s="1128">
        <f>K26*25%/3</f>
        <v>280236.06700236764</v>
      </c>
      <c r="F27" s="1128">
        <f>K29*25%/3</f>
        <v>0</v>
      </c>
      <c r="G27" s="1128">
        <f>K32/9</f>
        <v>0</v>
      </c>
      <c r="H27" s="1631"/>
      <c r="I27" s="1129"/>
      <c r="J27" s="1637"/>
      <c r="K27" s="1132"/>
      <c r="L27" s="1640"/>
    </row>
    <row r="28" spans="2:12" x14ac:dyDescent="0.35">
      <c r="B28" s="1628"/>
      <c r="C28" s="1631"/>
      <c r="D28" s="1127" t="s">
        <v>532</v>
      </c>
      <c r="E28" s="1128">
        <f>K26*22%/3</f>
        <v>246607.7389620835</v>
      </c>
      <c r="F28" s="1128">
        <f>K29*22%/3</f>
        <v>0</v>
      </c>
      <c r="G28" s="1128"/>
      <c r="H28" s="1631"/>
      <c r="I28" s="1129"/>
      <c r="J28" s="1637"/>
      <c r="K28" s="1132" t="s">
        <v>2963</v>
      </c>
      <c r="L28" s="1640"/>
    </row>
    <row r="29" spans="2:12" x14ac:dyDescent="0.35">
      <c r="B29" s="1628"/>
      <c r="C29" s="1631"/>
      <c r="D29" s="1127" t="s">
        <v>279</v>
      </c>
      <c r="E29" s="1128">
        <f>K26*22%/3</f>
        <v>246607.7389620835</v>
      </c>
      <c r="F29" s="1128">
        <f>K29*22%/3</f>
        <v>0</v>
      </c>
      <c r="G29" s="1128"/>
      <c r="H29" s="1631"/>
      <c r="I29" s="1129"/>
      <c r="J29" s="1637"/>
      <c r="K29" s="1131">
        <f>F2.2!$K$96</f>
        <v>0</v>
      </c>
      <c r="L29" s="1640"/>
    </row>
    <row r="30" spans="2:12" x14ac:dyDescent="0.35">
      <c r="B30" s="1628"/>
      <c r="C30" s="1631"/>
      <c r="D30" s="1127" t="s">
        <v>280</v>
      </c>
      <c r="E30" s="1128">
        <f>K26*22%/3</f>
        <v>246607.7389620835</v>
      </c>
      <c r="F30" s="1128">
        <f>K29*22%/3</f>
        <v>0</v>
      </c>
      <c r="G30" s="1128"/>
      <c r="H30" s="1631"/>
      <c r="I30" s="1133"/>
      <c r="J30" s="1637"/>
      <c r="K30" s="1132"/>
      <c r="L30" s="1640"/>
    </row>
    <row r="31" spans="2:12" x14ac:dyDescent="0.35">
      <c r="B31" s="1628"/>
      <c r="C31" s="1631"/>
      <c r="D31" s="1127" t="s">
        <v>281</v>
      </c>
      <c r="E31" s="1128">
        <f>K26*25%/3</f>
        <v>280236.06700236764</v>
      </c>
      <c r="F31" s="1128">
        <f>K29*25%/3</f>
        <v>0</v>
      </c>
      <c r="G31" s="1128">
        <f>K32/9</f>
        <v>0</v>
      </c>
      <c r="H31" s="1631"/>
      <c r="I31" s="1129"/>
      <c r="J31" s="1637"/>
      <c r="K31" s="1132" t="s">
        <v>2964</v>
      </c>
      <c r="L31" s="1640"/>
    </row>
    <row r="32" spans="2:12" x14ac:dyDescent="0.35">
      <c r="B32" s="1628"/>
      <c r="C32" s="1631"/>
      <c r="D32" s="1127" t="s">
        <v>533</v>
      </c>
      <c r="E32" s="1128">
        <f>K26*25%/3</f>
        <v>280236.06700236764</v>
      </c>
      <c r="F32" s="1128">
        <f>K29*25%/3</f>
        <v>0</v>
      </c>
      <c r="G32" s="1128">
        <f>K32/9</f>
        <v>0</v>
      </c>
      <c r="H32" s="1631"/>
      <c r="I32" s="1129"/>
      <c r="J32" s="1637"/>
      <c r="K32" s="1131">
        <f>F2.2!$K$95</f>
        <v>0</v>
      </c>
      <c r="L32" s="1640"/>
    </row>
    <row r="33" spans="2:12" x14ac:dyDescent="0.35">
      <c r="B33" s="1628"/>
      <c r="C33" s="1631"/>
      <c r="D33" s="1127" t="s">
        <v>283</v>
      </c>
      <c r="E33" s="1128">
        <f>K26*25%/3</f>
        <v>280236.06700236764</v>
      </c>
      <c r="F33" s="1128">
        <f>K29*25%/3</f>
        <v>0</v>
      </c>
      <c r="G33" s="1128">
        <f>K32/9</f>
        <v>0</v>
      </c>
      <c r="H33" s="1631"/>
      <c r="I33" s="1129"/>
      <c r="J33" s="1637"/>
      <c r="K33" s="1135"/>
      <c r="L33" s="1640"/>
    </row>
    <row r="34" spans="2:12" x14ac:dyDescent="0.35">
      <c r="B34" s="1628"/>
      <c r="C34" s="1631"/>
      <c r="D34" s="1127" t="s">
        <v>284</v>
      </c>
      <c r="E34" s="1128">
        <f>K26*28%/3</f>
        <v>313864.39504265174</v>
      </c>
      <c r="F34" s="1128">
        <f>K29*28%/3</f>
        <v>0</v>
      </c>
      <c r="G34" s="1128">
        <f>K32/9</f>
        <v>0</v>
      </c>
      <c r="H34" s="1631"/>
      <c r="I34" s="1129"/>
      <c r="J34" s="1637"/>
      <c r="K34" s="1135"/>
      <c r="L34" s="1640"/>
    </row>
    <row r="35" spans="2:12" x14ac:dyDescent="0.35">
      <c r="B35" s="1628"/>
      <c r="C35" s="1631"/>
      <c r="D35" s="1127" t="s">
        <v>285</v>
      </c>
      <c r="E35" s="1128">
        <f>K26*28%/3</f>
        <v>313864.39504265174</v>
      </c>
      <c r="F35" s="1128">
        <f>K29*28%/3</f>
        <v>0</v>
      </c>
      <c r="G35" s="1128">
        <f>K32/9</f>
        <v>0</v>
      </c>
      <c r="H35" s="1631"/>
      <c r="I35" s="1129"/>
      <c r="J35" s="1637"/>
      <c r="K35" s="1135"/>
      <c r="L35" s="1640"/>
    </row>
    <row r="36" spans="2:12" x14ac:dyDescent="0.35">
      <c r="B36" s="1629"/>
      <c r="C36" s="1632"/>
      <c r="D36" s="1127" t="s">
        <v>286</v>
      </c>
      <c r="E36" s="1128">
        <f>K26*28%/3</f>
        <v>313864.39504265174</v>
      </c>
      <c r="F36" s="1128">
        <f>K29*28%/3</f>
        <v>0</v>
      </c>
      <c r="G36" s="1128">
        <f>K32/9</f>
        <v>0</v>
      </c>
      <c r="H36" s="1632"/>
      <c r="I36" s="1129"/>
      <c r="J36" s="1638"/>
      <c r="K36" s="1135"/>
      <c r="L36" s="1641"/>
    </row>
    <row r="37" spans="2:12" x14ac:dyDescent="0.35">
      <c r="D37" s="1136"/>
    </row>
    <row r="38" spans="2:12" x14ac:dyDescent="0.35">
      <c r="B38" s="1626" t="s">
        <v>851</v>
      </c>
      <c r="C38" s="1626"/>
      <c r="D38" s="176"/>
      <c r="E38" s="10"/>
      <c r="F38" s="10"/>
      <c r="G38" s="10"/>
      <c r="H38" s="10"/>
      <c r="I38" s="10"/>
      <c r="J38" s="10"/>
      <c r="K38" s="10"/>
      <c r="L38" s="10"/>
    </row>
    <row r="39" spans="2:12" x14ac:dyDescent="0.35">
      <c r="B39" s="1408" t="s">
        <v>327</v>
      </c>
      <c r="C39" s="1408" t="s">
        <v>525</v>
      </c>
      <c r="D39" s="1479" t="s">
        <v>531</v>
      </c>
      <c r="E39" s="1413" t="s">
        <v>595</v>
      </c>
      <c r="F39" s="1414"/>
      <c r="G39" s="1415"/>
      <c r="H39" s="1404" t="s">
        <v>526</v>
      </c>
      <c r="I39" s="1404"/>
      <c r="J39" s="1404"/>
      <c r="K39" s="1404"/>
      <c r="L39" s="1404"/>
    </row>
    <row r="40" spans="2:12" ht="56" x14ac:dyDescent="0.35">
      <c r="B40" s="1437"/>
      <c r="C40" s="1437"/>
      <c r="D40" s="1480"/>
      <c r="E40" s="97" t="s">
        <v>2962</v>
      </c>
      <c r="F40" s="164" t="s">
        <v>2963</v>
      </c>
      <c r="G40" s="164" t="s">
        <v>2964</v>
      </c>
      <c r="H40" s="164" t="s">
        <v>530</v>
      </c>
      <c r="I40" s="164" t="s">
        <v>527</v>
      </c>
      <c r="J40" s="164" t="s">
        <v>596</v>
      </c>
      <c r="K40" s="97" t="s">
        <v>528</v>
      </c>
      <c r="L40" s="97" t="s">
        <v>529</v>
      </c>
    </row>
    <row r="41" spans="2:12" x14ac:dyDescent="0.35">
      <c r="B41" s="1627">
        <f>B40+1</f>
        <v>1</v>
      </c>
      <c r="C41" s="1630" t="s">
        <v>2965</v>
      </c>
      <c r="D41" s="1127" t="s">
        <v>275</v>
      </c>
      <c r="E41" s="1128">
        <f>K42*25%/3</f>
        <v>281003.83704894938</v>
      </c>
      <c r="F41" s="1128">
        <f>K45*25%/3</f>
        <v>0</v>
      </c>
      <c r="G41" s="1128">
        <f>K48/9</f>
        <v>0</v>
      </c>
      <c r="H41" s="1630" t="s">
        <v>3071</v>
      </c>
      <c r="I41" s="1129"/>
      <c r="J41" s="1636">
        <f>F2.2!$L$160</f>
        <v>3.5638729156572841</v>
      </c>
      <c r="K41" s="1130" t="s">
        <v>2962</v>
      </c>
      <c r="L41" s="1639"/>
    </row>
    <row r="42" spans="2:12" x14ac:dyDescent="0.35">
      <c r="B42" s="1628"/>
      <c r="C42" s="1631"/>
      <c r="D42" s="1127" t="s">
        <v>276</v>
      </c>
      <c r="E42" s="1128">
        <f>K42*25%/3</f>
        <v>281003.83704894938</v>
      </c>
      <c r="F42" s="1128">
        <f>K45*25%/3</f>
        <v>0</v>
      </c>
      <c r="G42" s="1128">
        <f>K48/9</f>
        <v>0</v>
      </c>
      <c r="H42" s="1631"/>
      <c r="I42" s="1129"/>
      <c r="J42" s="1637"/>
      <c r="K42" s="1131">
        <f>F2.2!$L$94</f>
        <v>3372046.0445873928</v>
      </c>
      <c r="L42" s="1640"/>
    </row>
    <row r="43" spans="2:12" x14ac:dyDescent="0.35">
      <c r="B43" s="1628"/>
      <c r="C43" s="1631"/>
      <c r="D43" s="1127" t="s">
        <v>277</v>
      </c>
      <c r="E43" s="1128">
        <f>K42*25%/3</f>
        <v>281003.83704894938</v>
      </c>
      <c r="F43" s="1128">
        <f>K45*25%/3</f>
        <v>0</v>
      </c>
      <c r="G43" s="1128">
        <f>K48/9</f>
        <v>0</v>
      </c>
      <c r="H43" s="1631"/>
      <c r="I43" s="1129"/>
      <c r="J43" s="1637"/>
      <c r="K43" s="1132"/>
      <c r="L43" s="1640"/>
    </row>
    <row r="44" spans="2:12" x14ac:dyDescent="0.35">
      <c r="B44" s="1628"/>
      <c r="C44" s="1631"/>
      <c r="D44" s="1127" t="s">
        <v>532</v>
      </c>
      <c r="E44" s="1128">
        <f>K42*22%/3</f>
        <v>247283.37660307545</v>
      </c>
      <c r="F44" s="1128">
        <f>K45*22%/3</f>
        <v>0</v>
      </c>
      <c r="G44" s="1128"/>
      <c r="H44" s="1631"/>
      <c r="I44" s="1129"/>
      <c r="J44" s="1637"/>
      <c r="K44" s="1132" t="s">
        <v>2963</v>
      </c>
      <c r="L44" s="1640"/>
    </row>
    <row r="45" spans="2:12" x14ac:dyDescent="0.35">
      <c r="B45" s="1628"/>
      <c r="C45" s="1631"/>
      <c r="D45" s="1127" t="s">
        <v>279</v>
      </c>
      <c r="E45" s="1128">
        <f>K42*22%/3</f>
        <v>247283.37660307545</v>
      </c>
      <c r="F45" s="1128">
        <f>K45*22%/3</f>
        <v>0</v>
      </c>
      <c r="G45" s="1128"/>
      <c r="H45" s="1631"/>
      <c r="I45" s="1129"/>
      <c r="J45" s="1637"/>
      <c r="K45" s="1131">
        <f>F2.2!$L$96</f>
        <v>0</v>
      </c>
      <c r="L45" s="1640"/>
    </row>
    <row r="46" spans="2:12" x14ac:dyDescent="0.35">
      <c r="B46" s="1628"/>
      <c r="C46" s="1631"/>
      <c r="D46" s="1127" t="s">
        <v>280</v>
      </c>
      <c r="E46" s="1128">
        <f>K42*22%/3</f>
        <v>247283.37660307545</v>
      </c>
      <c r="F46" s="1128">
        <f>K45*22%/3</f>
        <v>0</v>
      </c>
      <c r="G46" s="1128"/>
      <c r="H46" s="1631"/>
      <c r="I46" s="1133"/>
      <c r="J46" s="1637"/>
      <c r="K46" s="1132"/>
      <c r="L46" s="1640"/>
    </row>
    <row r="47" spans="2:12" x14ac:dyDescent="0.35">
      <c r="B47" s="1628"/>
      <c r="C47" s="1631"/>
      <c r="D47" s="1127" t="s">
        <v>281</v>
      </c>
      <c r="E47" s="1128">
        <f>K42*25%/3</f>
        <v>281003.83704894938</v>
      </c>
      <c r="F47" s="1128">
        <f>K45*25%/3</f>
        <v>0</v>
      </c>
      <c r="G47" s="1128">
        <f>K48/9</f>
        <v>0</v>
      </c>
      <c r="H47" s="1631"/>
      <c r="I47" s="1129"/>
      <c r="J47" s="1637"/>
      <c r="K47" s="1132" t="s">
        <v>2964</v>
      </c>
      <c r="L47" s="1640"/>
    </row>
    <row r="48" spans="2:12" x14ac:dyDescent="0.35">
      <c r="B48" s="1628"/>
      <c r="C48" s="1631"/>
      <c r="D48" s="1127" t="s">
        <v>533</v>
      </c>
      <c r="E48" s="1128">
        <f>K42*25%/3</f>
        <v>281003.83704894938</v>
      </c>
      <c r="F48" s="1128">
        <f>K45*25%/3</f>
        <v>0</v>
      </c>
      <c r="G48" s="1128">
        <f>K48/9</f>
        <v>0</v>
      </c>
      <c r="H48" s="1631"/>
      <c r="I48" s="1129"/>
      <c r="J48" s="1637"/>
      <c r="K48" s="1131">
        <f>F2.2!$L$95</f>
        <v>0</v>
      </c>
      <c r="L48" s="1640"/>
    </row>
    <row r="49" spans="2:12" x14ac:dyDescent="0.35">
      <c r="B49" s="1628"/>
      <c r="C49" s="1631"/>
      <c r="D49" s="1127" t="s">
        <v>283</v>
      </c>
      <c r="E49" s="1128">
        <f>K42*25%/3</f>
        <v>281003.83704894938</v>
      </c>
      <c r="F49" s="1128">
        <f>K45*25%/3</f>
        <v>0</v>
      </c>
      <c r="G49" s="1128">
        <f>K48/9</f>
        <v>0</v>
      </c>
      <c r="H49" s="1631"/>
      <c r="I49" s="1129"/>
      <c r="J49" s="1637"/>
      <c r="K49" s="1135"/>
      <c r="L49" s="1640"/>
    </row>
    <row r="50" spans="2:12" x14ac:dyDescent="0.35">
      <c r="B50" s="1628"/>
      <c r="C50" s="1631"/>
      <c r="D50" s="1127" t="s">
        <v>284</v>
      </c>
      <c r="E50" s="1128">
        <f>K42*28%/3</f>
        <v>314724.29749482335</v>
      </c>
      <c r="F50" s="1128">
        <f>K45*28%/3</f>
        <v>0</v>
      </c>
      <c r="G50" s="1128">
        <f>K48/9</f>
        <v>0</v>
      </c>
      <c r="H50" s="1631"/>
      <c r="I50" s="1129"/>
      <c r="J50" s="1637"/>
      <c r="K50" s="1135"/>
      <c r="L50" s="1640"/>
    </row>
    <row r="51" spans="2:12" x14ac:dyDescent="0.35">
      <c r="B51" s="1628"/>
      <c r="C51" s="1631"/>
      <c r="D51" s="1127" t="s">
        <v>285</v>
      </c>
      <c r="E51" s="1128">
        <f>K42*28%/3</f>
        <v>314724.29749482335</v>
      </c>
      <c r="F51" s="1128">
        <f>K45*28%/3</f>
        <v>0</v>
      </c>
      <c r="G51" s="1128">
        <f>K48/9</f>
        <v>0</v>
      </c>
      <c r="H51" s="1631"/>
      <c r="I51" s="1129"/>
      <c r="J51" s="1637"/>
      <c r="K51" s="1135"/>
      <c r="L51" s="1640"/>
    </row>
    <row r="52" spans="2:12" x14ac:dyDescent="0.35">
      <c r="B52" s="1629"/>
      <c r="C52" s="1632"/>
      <c r="D52" s="1127" t="s">
        <v>286</v>
      </c>
      <c r="E52" s="1128">
        <f>K42*28%/3</f>
        <v>314724.29749482335</v>
      </c>
      <c r="F52" s="1128">
        <f>K45*28%/3</f>
        <v>0</v>
      </c>
      <c r="G52" s="1128">
        <f>K48/9</f>
        <v>0</v>
      </c>
      <c r="H52" s="1632"/>
      <c r="I52" s="1129"/>
      <c r="J52" s="1638"/>
      <c r="K52" s="1135"/>
      <c r="L52" s="1641"/>
    </row>
    <row r="53" spans="2:12" x14ac:dyDescent="0.35">
      <c r="D53" s="1136"/>
    </row>
    <row r="54" spans="2:12" x14ac:dyDescent="0.35">
      <c r="B54" s="1626" t="s">
        <v>852</v>
      </c>
      <c r="C54" s="1626"/>
      <c r="D54" s="176"/>
      <c r="E54" s="10"/>
      <c r="F54" s="10"/>
      <c r="G54" s="10"/>
      <c r="H54" s="10"/>
      <c r="I54" s="10"/>
      <c r="J54" s="10"/>
      <c r="K54" s="10"/>
      <c r="L54" s="10"/>
    </row>
    <row r="55" spans="2:12" x14ac:dyDescent="0.35">
      <c r="B55" s="1408" t="s">
        <v>327</v>
      </c>
      <c r="C55" s="1408" t="s">
        <v>525</v>
      </c>
      <c r="D55" s="1479" t="s">
        <v>531</v>
      </c>
      <c r="E55" s="1413" t="s">
        <v>595</v>
      </c>
      <c r="F55" s="1414"/>
      <c r="G55" s="1415"/>
      <c r="H55" s="1404" t="s">
        <v>526</v>
      </c>
      <c r="I55" s="1404"/>
      <c r="J55" s="1404"/>
      <c r="K55" s="1404"/>
      <c r="L55" s="1404"/>
    </row>
    <row r="56" spans="2:12" ht="56" x14ac:dyDescent="0.35">
      <c r="B56" s="1437"/>
      <c r="C56" s="1437"/>
      <c r="D56" s="1480"/>
      <c r="E56" s="97" t="s">
        <v>2962</v>
      </c>
      <c r="F56" s="164" t="s">
        <v>2963</v>
      </c>
      <c r="G56" s="164" t="s">
        <v>2964</v>
      </c>
      <c r="H56" s="164" t="s">
        <v>530</v>
      </c>
      <c r="I56" s="164" t="s">
        <v>527</v>
      </c>
      <c r="J56" s="164" t="s">
        <v>596</v>
      </c>
      <c r="K56" s="97" t="s">
        <v>528</v>
      </c>
      <c r="L56" s="97" t="s">
        <v>529</v>
      </c>
    </row>
    <row r="57" spans="2:12" x14ac:dyDescent="0.35">
      <c r="B57" s="1627">
        <f>B56+1</f>
        <v>1</v>
      </c>
      <c r="C57" s="1630" t="s">
        <v>2965</v>
      </c>
      <c r="D57" s="1127" t="s">
        <v>275</v>
      </c>
      <c r="E57" s="1128">
        <f>K58*25%/3</f>
        <v>280236.06700236764</v>
      </c>
      <c r="F57" s="1128">
        <f>K61*25%/3</f>
        <v>0</v>
      </c>
      <c r="G57" s="1128">
        <f>K64/9</f>
        <v>0</v>
      </c>
      <c r="H57" s="1630" t="s">
        <v>3071</v>
      </c>
      <c r="I57" s="1129"/>
      <c r="J57" s="1636">
        <f>F2.2!$M$160</f>
        <v>3.6707868673375281</v>
      </c>
      <c r="K57" s="1130" t="s">
        <v>2962</v>
      </c>
      <c r="L57" s="1639"/>
    </row>
    <row r="58" spans="2:12" x14ac:dyDescent="0.35">
      <c r="B58" s="1628"/>
      <c r="C58" s="1631"/>
      <c r="D58" s="1127" t="s">
        <v>276</v>
      </c>
      <c r="E58" s="1128">
        <f>K58*25%/3</f>
        <v>280236.06700236764</v>
      </c>
      <c r="F58" s="1128">
        <f>K61*25%/3</f>
        <v>0</v>
      </c>
      <c r="G58" s="1128">
        <f>K64/9</f>
        <v>0</v>
      </c>
      <c r="H58" s="1631"/>
      <c r="I58" s="1129"/>
      <c r="J58" s="1637"/>
      <c r="K58" s="1131">
        <f>F2.2!$M$94</f>
        <v>3362832.8040284114</v>
      </c>
      <c r="L58" s="1640"/>
    </row>
    <row r="59" spans="2:12" x14ac:dyDescent="0.35">
      <c r="B59" s="1628"/>
      <c r="C59" s="1631"/>
      <c r="D59" s="1127" t="s">
        <v>277</v>
      </c>
      <c r="E59" s="1128">
        <f>K58*25%/3</f>
        <v>280236.06700236764</v>
      </c>
      <c r="F59" s="1128">
        <f>K61*25%/3</f>
        <v>0</v>
      </c>
      <c r="G59" s="1128">
        <f>K64/9</f>
        <v>0</v>
      </c>
      <c r="H59" s="1631"/>
      <c r="I59" s="1129"/>
      <c r="J59" s="1637"/>
      <c r="K59" s="1132"/>
      <c r="L59" s="1640"/>
    </row>
    <row r="60" spans="2:12" x14ac:dyDescent="0.35">
      <c r="B60" s="1628"/>
      <c r="C60" s="1631"/>
      <c r="D60" s="1127" t="s">
        <v>532</v>
      </c>
      <c r="E60" s="1128">
        <f>K58*22%/3</f>
        <v>246607.7389620835</v>
      </c>
      <c r="F60" s="1128">
        <f>K61*22%/3</f>
        <v>0</v>
      </c>
      <c r="G60" s="1128"/>
      <c r="H60" s="1631"/>
      <c r="I60" s="1129"/>
      <c r="J60" s="1637"/>
      <c r="K60" s="1132" t="s">
        <v>2963</v>
      </c>
      <c r="L60" s="1640"/>
    </row>
    <row r="61" spans="2:12" x14ac:dyDescent="0.35">
      <c r="B61" s="1628"/>
      <c r="C61" s="1631"/>
      <c r="D61" s="1127" t="s">
        <v>279</v>
      </c>
      <c r="E61" s="1128">
        <f>K58*22%/3</f>
        <v>246607.7389620835</v>
      </c>
      <c r="F61" s="1128">
        <f>K61*22%/3</f>
        <v>0</v>
      </c>
      <c r="G61" s="1128"/>
      <c r="H61" s="1631"/>
      <c r="I61" s="1129"/>
      <c r="J61" s="1637"/>
      <c r="K61" s="1131">
        <f>F2.2!$M$96</f>
        <v>0</v>
      </c>
      <c r="L61" s="1640"/>
    </row>
    <row r="62" spans="2:12" x14ac:dyDescent="0.35">
      <c r="B62" s="1628"/>
      <c r="C62" s="1631"/>
      <c r="D62" s="1127" t="s">
        <v>280</v>
      </c>
      <c r="E62" s="1128">
        <f>K58*22%/3</f>
        <v>246607.7389620835</v>
      </c>
      <c r="F62" s="1128">
        <f>K61*22%/3</f>
        <v>0</v>
      </c>
      <c r="G62" s="1128"/>
      <c r="H62" s="1631"/>
      <c r="I62" s="1133"/>
      <c r="J62" s="1637"/>
      <c r="K62" s="1132"/>
      <c r="L62" s="1640"/>
    </row>
    <row r="63" spans="2:12" x14ac:dyDescent="0.35">
      <c r="B63" s="1628"/>
      <c r="C63" s="1631"/>
      <c r="D63" s="1127" t="s">
        <v>281</v>
      </c>
      <c r="E63" s="1128">
        <f>K58*25%/3</f>
        <v>280236.06700236764</v>
      </c>
      <c r="F63" s="1128">
        <f>K61*25%/3</f>
        <v>0</v>
      </c>
      <c r="G63" s="1128">
        <f>K64/9</f>
        <v>0</v>
      </c>
      <c r="H63" s="1631"/>
      <c r="I63" s="1129"/>
      <c r="J63" s="1637"/>
      <c r="K63" s="1132" t="s">
        <v>2964</v>
      </c>
      <c r="L63" s="1640"/>
    </row>
    <row r="64" spans="2:12" x14ac:dyDescent="0.35">
      <c r="B64" s="1628"/>
      <c r="C64" s="1631"/>
      <c r="D64" s="1127" t="s">
        <v>533</v>
      </c>
      <c r="E64" s="1128">
        <f>K58*25%/3</f>
        <v>280236.06700236764</v>
      </c>
      <c r="F64" s="1128">
        <f>K61*25%/3</f>
        <v>0</v>
      </c>
      <c r="G64" s="1128">
        <f>K64/9</f>
        <v>0</v>
      </c>
      <c r="H64" s="1631"/>
      <c r="I64" s="1129"/>
      <c r="J64" s="1637"/>
      <c r="K64" s="1131">
        <f>F2.2!$M$95</f>
        <v>0</v>
      </c>
      <c r="L64" s="1640"/>
    </row>
    <row r="65" spans="2:12" x14ac:dyDescent="0.35">
      <c r="B65" s="1628"/>
      <c r="C65" s="1631"/>
      <c r="D65" s="1127" t="s">
        <v>283</v>
      </c>
      <c r="E65" s="1128">
        <f>K58*25%/3</f>
        <v>280236.06700236764</v>
      </c>
      <c r="F65" s="1128">
        <f>K61*25%/3</f>
        <v>0</v>
      </c>
      <c r="G65" s="1128">
        <f>K64/9</f>
        <v>0</v>
      </c>
      <c r="H65" s="1631"/>
      <c r="I65" s="1129"/>
      <c r="J65" s="1637"/>
      <c r="K65" s="1135"/>
      <c r="L65" s="1640"/>
    </row>
    <row r="66" spans="2:12" x14ac:dyDescent="0.35">
      <c r="B66" s="1628"/>
      <c r="C66" s="1631"/>
      <c r="D66" s="1127" t="s">
        <v>284</v>
      </c>
      <c r="E66" s="1128">
        <f>K58*28%/3</f>
        <v>313864.39504265174</v>
      </c>
      <c r="F66" s="1128">
        <f>K61*28%/3</f>
        <v>0</v>
      </c>
      <c r="G66" s="1128">
        <f>K64/9</f>
        <v>0</v>
      </c>
      <c r="H66" s="1631"/>
      <c r="I66" s="1129"/>
      <c r="J66" s="1637"/>
      <c r="K66" s="1135"/>
      <c r="L66" s="1640"/>
    </row>
    <row r="67" spans="2:12" x14ac:dyDescent="0.35">
      <c r="B67" s="1628"/>
      <c r="C67" s="1631"/>
      <c r="D67" s="1127" t="s">
        <v>285</v>
      </c>
      <c r="E67" s="1128">
        <f>K58*28%/3</f>
        <v>313864.39504265174</v>
      </c>
      <c r="F67" s="1128">
        <f>K61*28%/3</f>
        <v>0</v>
      </c>
      <c r="G67" s="1128">
        <f>K64/9</f>
        <v>0</v>
      </c>
      <c r="H67" s="1631"/>
      <c r="I67" s="1129"/>
      <c r="J67" s="1637"/>
      <c r="K67" s="1135"/>
      <c r="L67" s="1640"/>
    </row>
    <row r="68" spans="2:12" x14ac:dyDescent="0.35">
      <c r="B68" s="1629"/>
      <c r="C68" s="1632"/>
      <c r="D68" s="1127" t="s">
        <v>286</v>
      </c>
      <c r="E68" s="1128">
        <f>K58*28%/3</f>
        <v>313864.39504265174</v>
      </c>
      <c r="F68" s="1128">
        <f>K61*28%/3</f>
        <v>0</v>
      </c>
      <c r="G68" s="1128">
        <f>K64/9</f>
        <v>0</v>
      </c>
      <c r="H68" s="1632"/>
      <c r="I68" s="1129"/>
      <c r="J68" s="1638"/>
      <c r="K68" s="1135"/>
      <c r="L68" s="1641"/>
    </row>
    <row r="69" spans="2:12" x14ac:dyDescent="0.35">
      <c r="D69" s="1136"/>
    </row>
    <row r="70" spans="2:12" x14ac:dyDescent="0.35">
      <c r="B70" s="1626" t="s">
        <v>853</v>
      </c>
      <c r="C70" s="1626"/>
      <c r="D70" s="176"/>
      <c r="E70" s="10"/>
      <c r="F70" s="10"/>
      <c r="G70" s="10"/>
      <c r="H70" s="10"/>
      <c r="I70" s="10"/>
      <c r="J70" s="10"/>
      <c r="K70" s="10"/>
      <c r="L70" s="10"/>
    </row>
    <row r="71" spans="2:12" x14ac:dyDescent="0.35">
      <c r="B71" s="1408" t="s">
        <v>327</v>
      </c>
      <c r="C71" s="1408" t="s">
        <v>525</v>
      </c>
      <c r="D71" s="1479" t="s">
        <v>531</v>
      </c>
      <c r="E71" s="1413" t="s">
        <v>595</v>
      </c>
      <c r="F71" s="1414"/>
      <c r="G71" s="1415"/>
      <c r="H71" s="1404" t="s">
        <v>526</v>
      </c>
      <c r="I71" s="1404"/>
      <c r="J71" s="1404"/>
      <c r="K71" s="1404"/>
      <c r="L71" s="1404"/>
    </row>
    <row r="72" spans="2:12" ht="56" x14ac:dyDescent="0.35">
      <c r="B72" s="1437"/>
      <c r="C72" s="1437"/>
      <c r="D72" s="1480"/>
      <c r="E72" s="97" t="s">
        <v>2962</v>
      </c>
      <c r="F72" s="164" t="s">
        <v>2963</v>
      </c>
      <c r="G72" s="164" t="s">
        <v>2964</v>
      </c>
      <c r="H72" s="164" t="s">
        <v>530</v>
      </c>
      <c r="I72" s="164" t="s">
        <v>527</v>
      </c>
      <c r="J72" s="164" t="s">
        <v>596</v>
      </c>
      <c r="K72" s="97" t="s">
        <v>528</v>
      </c>
      <c r="L72" s="97" t="s">
        <v>529</v>
      </c>
    </row>
    <row r="73" spans="2:12" x14ac:dyDescent="0.35">
      <c r="B73" s="1627">
        <f>B72+1</f>
        <v>1</v>
      </c>
      <c r="C73" s="1630" t="s">
        <v>2965</v>
      </c>
      <c r="D73" s="1127" t="s">
        <v>275</v>
      </c>
      <c r="E73" s="1128">
        <f>K74*25%/3</f>
        <v>280236.06700236764</v>
      </c>
      <c r="F73" s="1128">
        <f>K77*25%/3</f>
        <v>0</v>
      </c>
      <c r="G73" s="1128">
        <f>K80/9</f>
        <v>0</v>
      </c>
      <c r="H73" s="1630" t="s">
        <v>3071</v>
      </c>
      <c r="I73" s="1129"/>
      <c r="J73" s="1642">
        <f>F2.2!$N$160</f>
        <v>3.7809082375681808</v>
      </c>
      <c r="K73" s="1130" t="s">
        <v>2962</v>
      </c>
      <c r="L73" s="1639"/>
    </row>
    <row r="74" spans="2:12" x14ac:dyDescent="0.35">
      <c r="B74" s="1628"/>
      <c r="C74" s="1631"/>
      <c r="D74" s="1127" t="s">
        <v>276</v>
      </c>
      <c r="E74" s="1128">
        <f>K74*25%/3</f>
        <v>280236.06700236764</v>
      </c>
      <c r="F74" s="1128">
        <f>K77*25%/3</f>
        <v>0</v>
      </c>
      <c r="G74" s="1128">
        <f>K80/9</f>
        <v>0</v>
      </c>
      <c r="H74" s="1631"/>
      <c r="I74" s="1129"/>
      <c r="J74" s="1642"/>
      <c r="K74" s="1131">
        <f>F2.2!$N$94</f>
        <v>3362832.8040284114</v>
      </c>
      <c r="L74" s="1640"/>
    </row>
    <row r="75" spans="2:12" x14ac:dyDescent="0.35">
      <c r="B75" s="1628"/>
      <c r="C75" s="1631"/>
      <c r="D75" s="1127" t="s">
        <v>277</v>
      </c>
      <c r="E75" s="1128">
        <f>K74*25%/3</f>
        <v>280236.06700236764</v>
      </c>
      <c r="F75" s="1128">
        <f>K77*25%/3</f>
        <v>0</v>
      </c>
      <c r="G75" s="1128">
        <f>K80/9</f>
        <v>0</v>
      </c>
      <c r="H75" s="1631"/>
      <c r="I75" s="1129"/>
      <c r="J75" s="1642"/>
      <c r="K75" s="1132"/>
      <c r="L75" s="1640"/>
    </row>
    <row r="76" spans="2:12" x14ac:dyDescent="0.35">
      <c r="B76" s="1628"/>
      <c r="C76" s="1631"/>
      <c r="D76" s="1127" t="s">
        <v>532</v>
      </c>
      <c r="E76" s="1128">
        <f>K74*22%/3</f>
        <v>246607.7389620835</v>
      </c>
      <c r="F76" s="1128">
        <f>K77*22%/3</f>
        <v>0</v>
      </c>
      <c r="G76" s="1128"/>
      <c r="H76" s="1631"/>
      <c r="I76" s="1129"/>
      <c r="J76" s="1642"/>
      <c r="K76" s="1132" t="s">
        <v>2963</v>
      </c>
      <c r="L76" s="1640"/>
    </row>
    <row r="77" spans="2:12" x14ac:dyDescent="0.35">
      <c r="B77" s="1628"/>
      <c r="C77" s="1631"/>
      <c r="D77" s="1127" t="s">
        <v>279</v>
      </c>
      <c r="E77" s="1128">
        <f>K74*22%/3</f>
        <v>246607.7389620835</v>
      </c>
      <c r="F77" s="1128">
        <f>K77*22%/3</f>
        <v>0</v>
      </c>
      <c r="G77" s="1128"/>
      <c r="H77" s="1631"/>
      <c r="I77" s="1129"/>
      <c r="J77" s="1642"/>
      <c r="K77" s="1131">
        <f>F2.2!$N$96</f>
        <v>0</v>
      </c>
      <c r="L77" s="1640"/>
    </row>
    <row r="78" spans="2:12" x14ac:dyDescent="0.35">
      <c r="B78" s="1628"/>
      <c r="C78" s="1631"/>
      <c r="D78" s="1127" t="s">
        <v>280</v>
      </c>
      <c r="E78" s="1128">
        <f>K74*22%/3</f>
        <v>246607.7389620835</v>
      </c>
      <c r="F78" s="1128">
        <f>K77*22%/3</f>
        <v>0</v>
      </c>
      <c r="G78" s="1128"/>
      <c r="H78" s="1631"/>
      <c r="I78" s="1133"/>
      <c r="J78" s="1642"/>
      <c r="K78" s="1132"/>
      <c r="L78" s="1640"/>
    </row>
    <row r="79" spans="2:12" x14ac:dyDescent="0.35">
      <c r="B79" s="1628"/>
      <c r="C79" s="1631"/>
      <c r="D79" s="1127" t="s">
        <v>281</v>
      </c>
      <c r="E79" s="1128">
        <f>K74*25%/3</f>
        <v>280236.06700236764</v>
      </c>
      <c r="F79" s="1128">
        <f>K77*25%/3</f>
        <v>0</v>
      </c>
      <c r="G79" s="1128">
        <f>K80/9</f>
        <v>0</v>
      </c>
      <c r="H79" s="1631"/>
      <c r="I79" s="1129"/>
      <c r="J79" s="1642"/>
      <c r="K79" s="1132" t="s">
        <v>2964</v>
      </c>
      <c r="L79" s="1640"/>
    </row>
    <row r="80" spans="2:12" x14ac:dyDescent="0.35">
      <c r="B80" s="1628"/>
      <c r="C80" s="1631"/>
      <c r="D80" s="1127" t="s">
        <v>533</v>
      </c>
      <c r="E80" s="1128">
        <f>K74*25%/3</f>
        <v>280236.06700236764</v>
      </c>
      <c r="F80" s="1128">
        <f>K77*25%/3</f>
        <v>0</v>
      </c>
      <c r="G80" s="1128">
        <f>K80/9</f>
        <v>0</v>
      </c>
      <c r="H80" s="1631"/>
      <c r="I80" s="1129"/>
      <c r="J80" s="1642"/>
      <c r="K80" s="1131">
        <f>F2.2!$N$95</f>
        <v>0</v>
      </c>
      <c r="L80" s="1640"/>
    </row>
    <row r="81" spans="2:12" x14ac:dyDescent="0.35">
      <c r="B81" s="1628"/>
      <c r="C81" s="1631"/>
      <c r="D81" s="1127" t="s">
        <v>283</v>
      </c>
      <c r="E81" s="1128">
        <f>K74*25%/3</f>
        <v>280236.06700236764</v>
      </c>
      <c r="F81" s="1128">
        <f>K77*25%/3</f>
        <v>0</v>
      </c>
      <c r="G81" s="1128">
        <f>K80/9</f>
        <v>0</v>
      </c>
      <c r="H81" s="1631"/>
      <c r="I81" s="1129"/>
      <c r="J81" s="1642"/>
      <c r="K81" s="1135"/>
      <c r="L81" s="1640"/>
    </row>
    <row r="82" spans="2:12" x14ac:dyDescent="0.35">
      <c r="B82" s="1628"/>
      <c r="C82" s="1631"/>
      <c r="D82" s="1127" t="s">
        <v>284</v>
      </c>
      <c r="E82" s="1128">
        <f>K74*28%/3</f>
        <v>313864.39504265174</v>
      </c>
      <c r="F82" s="1128">
        <f>K77*28%/3</f>
        <v>0</v>
      </c>
      <c r="G82" s="1128">
        <f>K80/9</f>
        <v>0</v>
      </c>
      <c r="H82" s="1631"/>
      <c r="I82" s="1129"/>
      <c r="J82" s="1642"/>
      <c r="K82" s="1135"/>
      <c r="L82" s="1640"/>
    </row>
    <row r="83" spans="2:12" x14ac:dyDescent="0.35">
      <c r="B83" s="1628"/>
      <c r="C83" s="1631"/>
      <c r="D83" s="1127" t="s">
        <v>285</v>
      </c>
      <c r="E83" s="1128">
        <f>K74*28%/3</f>
        <v>313864.39504265174</v>
      </c>
      <c r="F83" s="1128">
        <f>K77*28%/3</f>
        <v>0</v>
      </c>
      <c r="G83" s="1128">
        <f>K80/9</f>
        <v>0</v>
      </c>
      <c r="H83" s="1631"/>
      <c r="I83" s="1129"/>
      <c r="J83" s="1642"/>
      <c r="K83" s="1135"/>
      <c r="L83" s="1640"/>
    </row>
    <row r="84" spans="2:12" x14ac:dyDescent="0.35">
      <c r="B84" s="1629"/>
      <c r="C84" s="1632"/>
      <c r="D84" s="1127" t="s">
        <v>286</v>
      </c>
      <c r="E84" s="1128">
        <f>K74*28%/3</f>
        <v>313864.39504265174</v>
      </c>
      <c r="F84" s="1128">
        <f>K77*28%/3</f>
        <v>0</v>
      </c>
      <c r="G84" s="1128">
        <f>K80/9</f>
        <v>0</v>
      </c>
      <c r="H84" s="1632"/>
      <c r="I84" s="1129"/>
      <c r="J84" s="1642"/>
      <c r="K84" s="1135"/>
      <c r="L84" s="1641"/>
    </row>
  </sheetData>
  <mergeCells count="58">
    <mergeCell ref="B1:O1"/>
    <mergeCell ref="B2:O2"/>
    <mergeCell ref="B3:O3"/>
    <mergeCell ref="B73:B84"/>
    <mergeCell ref="C73:C84"/>
    <mergeCell ref="H73:H84"/>
    <mergeCell ref="J73:J84"/>
    <mergeCell ref="L73:L84"/>
    <mergeCell ref="B70:C70"/>
    <mergeCell ref="B71:B72"/>
    <mergeCell ref="C71:C72"/>
    <mergeCell ref="D71:D72"/>
    <mergeCell ref="E71:G71"/>
    <mergeCell ref="H71:L71"/>
    <mergeCell ref="B55:B56"/>
    <mergeCell ref="C55:C56"/>
    <mergeCell ref="B57:B68"/>
    <mergeCell ref="C57:C68"/>
    <mergeCell ref="H57:H68"/>
    <mergeCell ref="J57:J68"/>
    <mergeCell ref="L57:L68"/>
    <mergeCell ref="H41:H52"/>
    <mergeCell ref="J41:J52"/>
    <mergeCell ref="L41:L52"/>
    <mergeCell ref="D55:D56"/>
    <mergeCell ref="E55:G55"/>
    <mergeCell ref="H55:L55"/>
    <mergeCell ref="B54:C54"/>
    <mergeCell ref="B38:C38"/>
    <mergeCell ref="B39:B40"/>
    <mergeCell ref="C39:C40"/>
    <mergeCell ref="D39:D40"/>
    <mergeCell ref="B41:B52"/>
    <mergeCell ref="C41:C52"/>
    <mergeCell ref="E39:G39"/>
    <mergeCell ref="H39:L39"/>
    <mergeCell ref="B23:B24"/>
    <mergeCell ref="C23:C24"/>
    <mergeCell ref="D23:D24"/>
    <mergeCell ref="E23:G23"/>
    <mergeCell ref="H23:L23"/>
    <mergeCell ref="B25:B36"/>
    <mergeCell ref="C25:C36"/>
    <mergeCell ref="H25:H36"/>
    <mergeCell ref="J25:J36"/>
    <mergeCell ref="L25:L36"/>
    <mergeCell ref="E7:G7"/>
    <mergeCell ref="H7:L7"/>
    <mergeCell ref="B22:C22"/>
    <mergeCell ref="B6:C6"/>
    <mergeCell ref="B7:B8"/>
    <mergeCell ref="C7:C8"/>
    <mergeCell ref="D7:D8"/>
    <mergeCell ref="B9:B20"/>
    <mergeCell ref="C9:C20"/>
    <mergeCell ref="H9:H20"/>
    <mergeCell ref="J9:J20"/>
    <mergeCell ref="L9:L2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U108"/>
  <sheetViews>
    <sheetView showGridLines="0" view="pageBreakPreview" topLeftCell="A55" zoomScale="50" zoomScaleNormal="75" zoomScaleSheetLayoutView="100" workbookViewId="0"/>
  </sheetViews>
  <sheetFormatPr defaultColWidth="9.1796875" defaultRowHeight="14" x14ac:dyDescent="0.25"/>
  <cols>
    <col min="1" max="1" width="6.81640625" style="10" customWidth="1"/>
    <col min="2" max="2" width="45" style="72" bestFit="1" customWidth="1"/>
    <col min="3" max="3" width="18.54296875" style="10" customWidth="1"/>
    <col min="4" max="4" width="12" style="10" customWidth="1"/>
    <col min="5" max="5" width="11.54296875" style="10" customWidth="1"/>
    <col min="6" max="6" width="11" style="10" customWidth="1"/>
    <col min="7" max="7" width="14.453125" style="10" customWidth="1"/>
    <col min="8" max="8" width="13.81640625" style="10" customWidth="1"/>
    <col min="9" max="9" width="15.1796875" style="10" customWidth="1"/>
    <col min="10" max="10" width="14.453125" style="10" customWidth="1"/>
    <col min="11" max="11" width="11.54296875" style="10" customWidth="1"/>
    <col min="12" max="12" width="11" style="10" customWidth="1"/>
    <col min="13" max="13" width="13.81640625" style="10" customWidth="1"/>
    <col min="14" max="14" width="16" style="10" customWidth="1"/>
    <col min="15" max="16384" width="9.1796875" style="10"/>
  </cols>
  <sheetData>
    <row r="2" spans="2:14" x14ac:dyDescent="0.25">
      <c r="C2" s="17"/>
      <c r="D2" s="17"/>
      <c r="E2" s="11" t="s">
        <v>1450</v>
      </c>
      <c r="F2" s="17"/>
      <c r="G2" s="17"/>
      <c r="H2" s="17"/>
      <c r="I2" s="17"/>
    </row>
    <row r="3" spans="2:14" s="1" customFormat="1" x14ac:dyDescent="0.3">
      <c r="C3" s="163"/>
      <c r="D3" s="163"/>
      <c r="E3" s="13" t="s">
        <v>3041</v>
      </c>
      <c r="F3" s="163"/>
      <c r="G3" s="163"/>
      <c r="H3" s="163"/>
      <c r="I3" s="163"/>
      <c r="J3" s="29"/>
      <c r="K3" s="29"/>
      <c r="L3" s="29"/>
      <c r="M3" s="29"/>
    </row>
    <row r="4" spans="2:14" s="1" customFormat="1" x14ac:dyDescent="0.3">
      <c r="C4" s="4"/>
      <c r="D4" s="4"/>
      <c r="E4" s="54" t="s">
        <v>1449</v>
      </c>
      <c r="F4" s="4"/>
      <c r="G4" s="4"/>
      <c r="H4" s="4"/>
      <c r="I4" s="4"/>
      <c r="J4" s="4"/>
      <c r="K4" s="4"/>
      <c r="L4" s="4"/>
      <c r="M4" s="4"/>
      <c r="N4" s="4"/>
    </row>
    <row r="5" spans="2:14" s="1" customFormat="1" x14ac:dyDescent="0.3">
      <c r="B5" s="54"/>
      <c r="C5" s="54"/>
      <c r="D5" s="54"/>
      <c r="E5" s="54"/>
      <c r="F5" s="54"/>
      <c r="G5" s="54"/>
      <c r="H5" s="54"/>
      <c r="I5" s="54"/>
      <c r="J5" s="4"/>
      <c r="K5" s="4"/>
      <c r="L5" s="4"/>
      <c r="M5" s="4"/>
      <c r="N5" s="4"/>
    </row>
    <row r="6" spans="2:14" s="1" customFormat="1" x14ac:dyDescent="0.3">
      <c r="B6" s="196" t="s">
        <v>1448</v>
      </c>
      <c r="C6" s="195"/>
      <c r="D6" s="195"/>
      <c r="E6" s="195"/>
      <c r="F6" s="195"/>
      <c r="G6" s="195"/>
      <c r="H6" s="195"/>
      <c r="I6" s="186"/>
      <c r="J6" s="186"/>
      <c r="K6" s="4"/>
      <c r="L6" s="4"/>
      <c r="M6" s="4"/>
      <c r="N6" s="4"/>
    </row>
    <row r="7" spans="2:14" s="1" customFormat="1" x14ac:dyDescent="0.3">
      <c r="B7" s="196"/>
      <c r="C7" s="195"/>
      <c r="D7" s="195"/>
      <c r="E7" s="195"/>
      <c r="F7" s="195"/>
      <c r="G7" s="195"/>
      <c r="H7" s="195"/>
      <c r="I7" s="186"/>
      <c r="J7" s="186"/>
      <c r="K7" s="4"/>
      <c r="L7" s="4"/>
      <c r="M7" s="4"/>
      <c r="N7" s="4"/>
    </row>
    <row r="8" spans="2:14" s="1" customFormat="1" x14ac:dyDescent="0.3">
      <c r="B8" s="190" t="s">
        <v>586</v>
      </c>
      <c r="C8" s="195"/>
      <c r="D8" s="195"/>
      <c r="E8" s="195"/>
      <c r="F8" s="195"/>
      <c r="G8" s="195"/>
      <c r="H8" s="195"/>
      <c r="I8" s="186"/>
      <c r="J8" s="186"/>
      <c r="K8" s="4"/>
      <c r="L8" s="4"/>
      <c r="M8" s="4"/>
      <c r="N8" s="4"/>
    </row>
    <row r="9" spans="2:14" s="1" customFormat="1" x14ac:dyDescent="0.3">
      <c r="B9" s="186"/>
      <c r="C9" s="186"/>
      <c r="D9" s="186"/>
      <c r="E9" s="186"/>
      <c r="F9" s="186"/>
      <c r="G9" s="186"/>
      <c r="H9" s="186"/>
      <c r="I9" s="186"/>
      <c r="J9" s="186"/>
      <c r="K9" s="4"/>
      <c r="L9" s="4"/>
      <c r="M9" s="4"/>
      <c r="N9" s="4"/>
    </row>
    <row r="10" spans="2:14" s="1" customFormat="1" x14ac:dyDescent="0.3">
      <c r="B10" s="1643" t="s">
        <v>35</v>
      </c>
      <c r="C10" s="1645" t="s">
        <v>584</v>
      </c>
      <c r="D10" s="1646"/>
      <c r="E10" s="1647"/>
      <c r="F10" s="1645" t="s">
        <v>583</v>
      </c>
      <c r="G10" s="1646"/>
      <c r="H10" s="1647"/>
      <c r="I10" s="1648" t="s">
        <v>582</v>
      </c>
      <c r="J10" s="1648" t="s">
        <v>581</v>
      </c>
      <c r="K10" s="4"/>
      <c r="L10" s="4"/>
      <c r="M10" s="4"/>
      <c r="N10" s="4"/>
    </row>
    <row r="11" spans="2:14" s="1" customFormat="1" ht="28" x14ac:dyDescent="0.3">
      <c r="B11" s="1644"/>
      <c r="C11" s="194" t="s">
        <v>580</v>
      </c>
      <c r="D11" s="194" t="s">
        <v>577</v>
      </c>
      <c r="E11" s="194" t="s">
        <v>579</v>
      </c>
      <c r="F11" s="194" t="s">
        <v>578</v>
      </c>
      <c r="G11" s="194" t="s">
        <v>577</v>
      </c>
      <c r="H11" s="938" t="s">
        <v>576</v>
      </c>
      <c r="I11" s="1648"/>
      <c r="J11" s="1648"/>
      <c r="K11" s="4"/>
      <c r="L11" s="4"/>
      <c r="M11" s="4"/>
      <c r="N11" s="4"/>
    </row>
    <row r="12" spans="2:14" s="1" customFormat="1" x14ac:dyDescent="0.3">
      <c r="B12" s="193"/>
      <c r="C12" s="192"/>
      <c r="D12" s="192"/>
      <c r="E12" s="192"/>
      <c r="F12" s="192"/>
      <c r="G12" s="192"/>
      <c r="H12" s="191"/>
      <c r="I12" s="191"/>
      <c r="J12" s="191"/>
      <c r="K12" s="4"/>
      <c r="L12" s="4"/>
      <c r="M12" s="4"/>
      <c r="N12" s="4"/>
    </row>
    <row r="13" spans="2:14" s="1" customFormat="1" x14ac:dyDescent="0.3">
      <c r="B13" s="189" t="s">
        <v>575</v>
      </c>
      <c r="C13" s="188"/>
      <c r="D13" s="188"/>
      <c r="E13" s="188"/>
      <c r="F13" s="188"/>
      <c r="G13" s="188"/>
      <c r="H13" s="188"/>
      <c r="I13" s="187"/>
      <c r="J13" s="187"/>
      <c r="K13" s="4"/>
      <c r="L13" s="4"/>
      <c r="M13" s="4"/>
      <c r="N13" s="4"/>
    </row>
    <row r="14" spans="2:14" s="1" customFormat="1" x14ac:dyDescent="0.3">
      <c r="B14" s="189"/>
      <c r="C14" s="188"/>
      <c r="D14" s="188"/>
      <c r="E14" s="188"/>
      <c r="F14" s="188"/>
      <c r="G14" s="188"/>
      <c r="H14" s="188"/>
      <c r="I14" s="187"/>
      <c r="J14" s="187"/>
      <c r="K14" s="4"/>
      <c r="L14" s="4"/>
      <c r="M14" s="4"/>
      <c r="N14" s="4"/>
    </row>
    <row r="15" spans="2:14" s="1" customFormat="1" x14ac:dyDescent="0.3">
      <c r="B15" s="189" t="s">
        <v>1447</v>
      </c>
      <c r="C15" s="188"/>
      <c r="D15" s="188"/>
      <c r="E15" s="188"/>
      <c r="F15" s="188"/>
      <c r="G15" s="188"/>
      <c r="H15" s="188"/>
      <c r="I15" s="187"/>
      <c r="J15" s="187"/>
      <c r="K15" s="4"/>
      <c r="L15" s="4"/>
      <c r="M15" s="4"/>
      <c r="N15" s="4"/>
    </row>
    <row r="16" spans="2:14" s="1" customFormat="1" x14ac:dyDescent="0.3">
      <c r="B16" s="187"/>
      <c r="C16" s="1313">
        <v>45291</v>
      </c>
      <c r="D16" s="188">
        <v>19.37</v>
      </c>
      <c r="E16" s="1314">
        <v>45291</v>
      </c>
      <c r="F16" s="1313">
        <v>45291</v>
      </c>
      <c r="G16" s="188">
        <v>19.37</v>
      </c>
      <c r="H16" s="1315">
        <v>1</v>
      </c>
      <c r="I16" s="187">
        <v>0</v>
      </c>
      <c r="J16" s="187">
        <v>0</v>
      </c>
      <c r="K16" s="4"/>
      <c r="L16" s="4"/>
      <c r="M16" s="4"/>
      <c r="N16" s="4"/>
    </row>
    <row r="17" spans="2:14" s="1" customFormat="1" x14ac:dyDescent="0.3">
      <c r="B17" s="187"/>
      <c r="C17" s="1313">
        <v>45322</v>
      </c>
      <c r="D17" s="188">
        <v>19.37</v>
      </c>
      <c r="E17" s="1314">
        <v>45322</v>
      </c>
      <c r="F17" s="1313">
        <v>45322</v>
      </c>
      <c r="G17" s="188">
        <v>19.37</v>
      </c>
      <c r="H17" s="1315">
        <v>1</v>
      </c>
      <c r="I17" s="187">
        <v>0</v>
      </c>
      <c r="J17" s="187">
        <v>0</v>
      </c>
      <c r="K17" s="4"/>
      <c r="L17" s="4"/>
      <c r="M17" s="4"/>
      <c r="N17" s="4"/>
    </row>
    <row r="18" spans="2:14" s="1" customFormat="1" x14ac:dyDescent="0.3">
      <c r="B18" s="187"/>
      <c r="C18" s="1313">
        <v>45350</v>
      </c>
      <c r="D18" s="188">
        <v>19.38</v>
      </c>
      <c r="E18" s="1314">
        <v>45350</v>
      </c>
      <c r="F18" s="1313">
        <v>45350</v>
      </c>
      <c r="G18" s="188">
        <v>19.38</v>
      </c>
      <c r="H18" s="1315">
        <v>1</v>
      </c>
      <c r="I18" s="187">
        <v>0</v>
      </c>
      <c r="J18" s="187">
        <v>0</v>
      </c>
      <c r="K18" s="4"/>
      <c r="L18" s="4"/>
      <c r="M18" s="4"/>
      <c r="N18" s="4"/>
    </row>
    <row r="19" spans="2:14" s="1" customFormat="1" x14ac:dyDescent="0.3">
      <c r="B19" s="187"/>
      <c r="C19" s="1313">
        <v>45382</v>
      </c>
      <c r="D19" s="188">
        <v>19.38</v>
      </c>
      <c r="E19" s="1314">
        <v>45382</v>
      </c>
      <c r="F19" s="1313">
        <v>45382</v>
      </c>
      <c r="G19" s="188">
        <v>19.38</v>
      </c>
      <c r="H19" s="1315">
        <v>1</v>
      </c>
      <c r="I19" s="187">
        <v>0</v>
      </c>
      <c r="J19" s="187">
        <v>0</v>
      </c>
      <c r="K19" s="4"/>
      <c r="L19" s="4"/>
      <c r="M19" s="4"/>
      <c r="N19" s="4"/>
    </row>
    <row r="20" spans="2:14" s="1" customFormat="1" x14ac:dyDescent="0.3">
      <c r="B20" s="187"/>
      <c r="C20" s="188"/>
      <c r="D20" s="188"/>
      <c r="E20" s="188"/>
      <c r="F20" s="188"/>
      <c r="G20" s="188"/>
      <c r="H20" s="188"/>
      <c r="I20" s="187"/>
      <c r="J20" s="187"/>
      <c r="K20" s="4"/>
      <c r="L20" s="4"/>
      <c r="M20" s="4"/>
      <c r="N20" s="4"/>
    </row>
    <row r="21" spans="2:14" s="1" customFormat="1" x14ac:dyDescent="0.3">
      <c r="B21" s="187"/>
      <c r="C21" s="188"/>
      <c r="D21" s="188"/>
      <c r="E21" s="188"/>
      <c r="F21" s="188"/>
      <c r="G21" s="188"/>
      <c r="H21" s="188"/>
      <c r="I21" s="187"/>
      <c r="J21" s="187"/>
      <c r="K21" s="4"/>
      <c r="L21" s="4"/>
      <c r="M21" s="4"/>
      <c r="N21" s="4"/>
    </row>
    <row r="22" spans="2:14" s="1" customFormat="1" x14ac:dyDescent="0.3">
      <c r="B22" s="187" t="s">
        <v>574</v>
      </c>
      <c r="C22" s="188"/>
      <c r="D22" s="188"/>
      <c r="E22" s="188"/>
      <c r="F22" s="188"/>
      <c r="G22" s="188"/>
      <c r="H22" s="188"/>
      <c r="I22" s="187"/>
      <c r="J22" s="187"/>
      <c r="K22" s="4"/>
      <c r="L22" s="4"/>
      <c r="M22" s="4"/>
      <c r="N22" s="4"/>
    </row>
    <row r="23" spans="2:14" s="1" customFormat="1" x14ac:dyDescent="0.3">
      <c r="B23" s="187" t="s">
        <v>573</v>
      </c>
      <c r="C23" s="188"/>
      <c r="D23" s="188"/>
      <c r="E23" s="188"/>
      <c r="F23" s="188"/>
      <c r="G23" s="188"/>
      <c r="H23" s="188"/>
      <c r="I23" s="187"/>
      <c r="J23" s="187"/>
      <c r="K23" s="4"/>
      <c r="L23" s="4"/>
      <c r="M23" s="4"/>
      <c r="N23" s="4"/>
    </row>
    <row r="24" spans="2:14" s="1" customFormat="1" x14ac:dyDescent="0.3">
      <c r="B24" s="187" t="s">
        <v>568</v>
      </c>
      <c r="C24" s="188"/>
      <c r="D24" s="188"/>
      <c r="E24" s="188"/>
      <c r="F24" s="188"/>
      <c r="G24" s="188"/>
      <c r="H24" s="188"/>
      <c r="I24" s="187"/>
      <c r="J24" s="187"/>
      <c r="K24" s="4"/>
      <c r="L24" s="4"/>
      <c r="M24" s="4"/>
      <c r="N24" s="4"/>
    </row>
    <row r="25" spans="2:14" s="1" customFormat="1" x14ac:dyDescent="0.3">
      <c r="B25" s="189" t="s">
        <v>267</v>
      </c>
      <c r="C25" s="188"/>
      <c r="D25" s="188">
        <f>SUM(D16:D24)</f>
        <v>77.5</v>
      </c>
      <c r="E25" s="188"/>
      <c r="F25" s="188"/>
      <c r="G25" s="188">
        <f>SUM(G16:G24)</f>
        <v>77.5</v>
      </c>
      <c r="H25" s="188"/>
      <c r="I25" s="187"/>
      <c r="J25" s="187"/>
      <c r="K25" s="4"/>
      <c r="L25" s="4"/>
      <c r="M25" s="4"/>
      <c r="N25" s="4"/>
    </row>
    <row r="26" spans="2:14" s="1" customFormat="1" x14ac:dyDescent="0.3">
      <c r="B26" s="189"/>
      <c r="C26" s="188"/>
      <c r="D26" s="188"/>
      <c r="E26" s="188"/>
      <c r="F26" s="188"/>
      <c r="G26" s="188"/>
      <c r="H26" s="188"/>
      <c r="I26" s="187"/>
      <c r="J26" s="187"/>
      <c r="K26" s="4"/>
      <c r="L26" s="4"/>
      <c r="M26" s="4"/>
      <c r="N26" s="4"/>
    </row>
    <row r="27" spans="2:14" s="1" customFormat="1" x14ac:dyDescent="0.3">
      <c r="B27" s="189"/>
      <c r="C27" s="188"/>
      <c r="D27" s="188"/>
      <c r="E27" s="188"/>
      <c r="F27" s="188"/>
      <c r="G27" s="188"/>
      <c r="H27" s="188"/>
      <c r="I27" s="187"/>
      <c r="J27" s="187"/>
      <c r="K27" s="4"/>
      <c r="L27" s="4"/>
      <c r="M27" s="4"/>
      <c r="N27" s="4"/>
    </row>
    <row r="28" spans="2:14" s="1" customFormat="1" x14ac:dyDescent="0.3">
      <c r="B28" s="189" t="s">
        <v>572</v>
      </c>
      <c r="C28" s="188"/>
      <c r="D28" s="188"/>
      <c r="E28" s="188"/>
      <c r="F28" s="188"/>
      <c r="G28" s="188"/>
      <c r="H28" s="188"/>
      <c r="I28" s="187"/>
      <c r="J28" s="187"/>
      <c r="K28" s="4"/>
      <c r="L28" s="4"/>
      <c r="M28" s="4"/>
      <c r="N28" s="4"/>
    </row>
    <row r="29" spans="2:14" s="1" customFormat="1" x14ac:dyDescent="0.3">
      <c r="B29" s="187"/>
      <c r="C29" s="188"/>
      <c r="D29" s="188"/>
      <c r="E29" s="188"/>
      <c r="F29" s="188"/>
      <c r="G29" s="188"/>
      <c r="H29" s="188"/>
      <c r="I29" s="187"/>
      <c r="J29" s="187"/>
      <c r="K29" s="4"/>
      <c r="L29" s="4"/>
      <c r="M29" s="4"/>
      <c r="N29" s="4"/>
    </row>
    <row r="30" spans="2:14" s="1" customFormat="1" x14ac:dyDescent="0.3">
      <c r="B30" s="187" t="s">
        <v>571</v>
      </c>
      <c r="C30" s="188"/>
      <c r="D30" s="188"/>
      <c r="E30" s="188"/>
      <c r="F30" s="188"/>
      <c r="G30" s="188"/>
      <c r="H30" s="188"/>
      <c r="I30" s="187"/>
      <c r="J30" s="187"/>
      <c r="K30" s="4"/>
      <c r="L30" s="4"/>
      <c r="M30" s="4"/>
      <c r="N30" s="4"/>
    </row>
    <row r="31" spans="2:14" s="1" customFormat="1" x14ac:dyDescent="0.3">
      <c r="B31" s="187" t="s">
        <v>570</v>
      </c>
      <c r="C31" s="188"/>
      <c r="D31" s="188"/>
      <c r="E31" s="188"/>
      <c r="F31" s="188"/>
      <c r="G31" s="188"/>
      <c r="H31" s="188"/>
      <c r="I31" s="187"/>
      <c r="J31" s="187"/>
      <c r="K31" s="4"/>
      <c r="L31" s="4"/>
      <c r="M31" s="4"/>
      <c r="N31" s="4"/>
    </row>
    <row r="32" spans="2:14" s="1" customFormat="1" x14ac:dyDescent="0.3">
      <c r="B32" s="187" t="s">
        <v>569</v>
      </c>
      <c r="C32" s="188"/>
      <c r="D32" s="188"/>
      <c r="E32" s="188"/>
      <c r="F32" s="188"/>
      <c r="G32" s="188"/>
      <c r="H32" s="188"/>
      <c r="I32" s="187"/>
      <c r="J32" s="187"/>
      <c r="K32" s="4"/>
      <c r="L32" s="4"/>
      <c r="M32" s="4"/>
      <c r="N32" s="4"/>
    </row>
    <row r="33" spans="2:14" s="1" customFormat="1" x14ac:dyDescent="0.3">
      <c r="B33" s="187" t="s">
        <v>568</v>
      </c>
      <c r="C33" s="188"/>
      <c r="D33" s="188"/>
      <c r="E33" s="188"/>
      <c r="F33" s="188"/>
      <c r="G33" s="188"/>
      <c r="H33" s="188"/>
      <c r="I33" s="187"/>
      <c r="J33" s="187"/>
      <c r="K33" s="4"/>
      <c r="L33" s="4"/>
      <c r="M33" s="4"/>
      <c r="N33" s="4"/>
    </row>
    <row r="34" spans="2:14" s="1" customFormat="1" x14ac:dyDescent="0.3">
      <c r="B34" s="189" t="s">
        <v>267</v>
      </c>
      <c r="C34" s="188"/>
      <c r="D34" s="188"/>
      <c r="E34" s="188"/>
      <c r="F34" s="188"/>
      <c r="G34" s="188"/>
      <c r="H34" s="188"/>
      <c r="I34" s="187"/>
      <c r="J34" s="187"/>
      <c r="K34" s="4"/>
      <c r="L34" s="4"/>
      <c r="M34" s="4"/>
      <c r="N34" s="4"/>
    </row>
    <row r="35" spans="2:14" s="1" customFormat="1" x14ac:dyDescent="0.3">
      <c r="B35" s="189"/>
      <c r="C35" s="188"/>
      <c r="D35" s="188"/>
      <c r="E35" s="188"/>
      <c r="F35" s="188"/>
      <c r="G35" s="188"/>
      <c r="H35" s="188"/>
      <c r="I35" s="187"/>
      <c r="J35" s="187"/>
      <c r="K35" s="4"/>
      <c r="L35" s="4"/>
      <c r="M35" s="4"/>
      <c r="N35" s="4"/>
    </row>
    <row r="36" spans="2:14" s="1" customFormat="1" x14ac:dyDescent="0.3">
      <c r="B36" s="189" t="s">
        <v>587</v>
      </c>
      <c r="C36" s="188"/>
      <c r="D36" s="188"/>
      <c r="E36" s="188"/>
      <c r="F36" s="188"/>
      <c r="G36" s="188"/>
      <c r="H36" s="188"/>
      <c r="I36" s="187"/>
      <c r="J36" s="187"/>
      <c r="K36" s="4"/>
      <c r="L36" s="4"/>
      <c r="M36" s="4"/>
      <c r="N36" s="4"/>
    </row>
    <row r="37" spans="2:14" s="1" customFormat="1" x14ac:dyDescent="0.3">
      <c r="B37" s="187"/>
      <c r="C37" s="188"/>
      <c r="D37" s="188"/>
      <c r="E37" s="188"/>
      <c r="F37" s="188"/>
      <c r="G37" s="188"/>
      <c r="H37" s="188"/>
      <c r="I37" s="187"/>
      <c r="J37" s="187"/>
      <c r="K37" s="4"/>
      <c r="L37" s="4"/>
      <c r="M37" s="4"/>
      <c r="N37" s="4"/>
    </row>
    <row r="38" spans="2:14" s="1" customFormat="1" x14ac:dyDescent="0.3">
      <c r="B38" s="187" t="s">
        <v>588</v>
      </c>
      <c r="C38" s="188"/>
      <c r="D38" s="188"/>
      <c r="E38" s="188"/>
      <c r="F38" s="188"/>
      <c r="G38" s="188"/>
      <c r="H38" s="188"/>
      <c r="I38" s="187"/>
      <c r="J38" s="187"/>
      <c r="K38" s="4"/>
      <c r="L38" s="4"/>
      <c r="M38" s="4"/>
      <c r="N38" s="4"/>
    </row>
    <row r="39" spans="2:14" s="1" customFormat="1" x14ac:dyDescent="0.3">
      <c r="B39" s="187" t="s">
        <v>589</v>
      </c>
      <c r="C39" s="188"/>
      <c r="D39" s="188"/>
      <c r="E39" s="188"/>
      <c r="F39" s="188"/>
      <c r="G39" s="188"/>
      <c r="H39" s="188"/>
      <c r="I39" s="187"/>
      <c r="J39" s="187"/>
      <c r="K39" s="4"/>
      <c r="L39" s="4"/>
      <c r="M39" s="4"/>
      <c r="N39" s="4"/>
    </row>
    <row r="40" spans="2:14" s="1" customFormat="1" x14ac:dyDescent="0.3">
      <c r="B40" s="187" t="s">
        <v>590</v>
      </c>
      <c r="C40" s="188"/>
      <c r="D40" s="188"/>
      <c r="E40" s="188"/>
      <c r="F40" s="188"/>
      <c r="G40" s="188"/>
      <c r="H40" s="188"/>
      <c r="I40" s="187"/>
      <c r="J40" s="187"/>
      <c r="K40" s="4"/>
      <c r="L40" s="4"/>
      <c r="M40" s="4"/>
      <c r="N40" s="4"/>
    </row>
    <row r="41" spans="2:14" s="1" customFormat="1" x14ac:dyDescent="0.3">
      <c r="B41" s="187" t="s">
        <v>568</v>
      </c>
      <c r="C41" s="188"/>
      <c r="D41" s="188"/>
      <c r="E41" s="188"/>
      <c r="F41" s="188"/>
      <c r="G41" s="188"/>
      <c r="H41" s="188"/>
      <c r="I41" s="187"/>
      <c r="J41" s="187"/>
      <c r="K41" s="4"/>
      <c r="L41" s="4"/>
      <c r="M41" s="4"/>
      <c r="N41" s="4"/>
    </row>
    <row r="42" spans="2:14" s="1" customFormat="1" x14ac:dyDescent="0.3">
      <c r="B42" s="189" t="s">
        <v>267</v>
      </c>
      <c r="C42" s="188"/>
      <c r="D42" s="188"/>
      <c r="E42" s="188"/>
      <c r="F42" s="188"/>
      <c r="G42" s="188"/>
      <c r="H42" s="188"/>
      <c r="I42" s="187"/>
      <c r="J42" s="187"/>
      <c r="K42" s="4"/>
      <c r="L42" s="4"/>
      <c r="M42" s="4"/>
      <c r="N42" s="4"/>
    </row>
    <row r="43" spans="2:14" s="1" customFormat="1" x14ac:dyDescent="0.3">
      <c r="B43" s="190"/>
      <c r="C43" s="195"/>
      <c r="D43" s="195"/>
      <c r="E43" s="195"/>
      <c r="F43" s="195"/>
      <c r="G43" s="195"/>
      <c r="H43" s="195"/>
      <c r="I43" s="186"/>
      <c r="J43" s="186"/>
      <c r="K43" s="4"/>
      <c r="L43" s="4"/>
      <c r="M43" s="4"/>
      <c r="N43" s="4"/>
    </row>
    <row r="44" spans="2:14" s="1" customFormat="1" x14ac:dyDescent="0.3">
      <c r="B44" s="54"/>
      <c r="C44" s="54"/>
      <c r="D44" s="54"/>
      <c r="E44" s="54"/>
      <c r="F44" s="54"/>
      <c r="G44" s="54"/>
      <c r="H44" s="54"/>
      <c r="I44" s="54"/>
      <c r="J44" s="4"/>
      <c r="K44" s="4"/>
      <c r="L44" s="4"/>
      <c r="M44" s="4"/>
      <c r="N44" s="4"/>
    </row>
    <row r="45" spans="2:14" s="186" customFormat="1" x14ac:dyDescent="0.25">
      <c r="B45" s="196" t="s">
        <v>1217</v>
      </c>
      <c r="C45" s="195"/>
      <c r="D45" s="195"/>
      <c r="E45" s="195"/>
      <c r="F45" s="195"/>
      <c r="G45" s="195"/>
      <c r="H45" s="195"/>
    </row>
    <row r="46" spans="2:14" s="186" customFormat="1" x14ac:dyDescent="0.25">
      <c r="B46" s="196"/>
      <c r="C46" s="195"/>
      <c r="D46" s="195"/>
      <c r="E46" s="195"/>
      <c r="F46" s="195"/>
      <c r="G46" s="195"/>
      <c r="H46" s="195"/>
    </row>
    <row r="47" spans="2:14" s="186" customFormat="1" x14ac:dyDescent="0.25">
      <c r="B47" s="190" t="s">
        <v>586</v>
      </c>
      <c r="C47" s="195"/>
      <c r="D47" s="195"/>
      <c r="E47" s="195"/>
      <c r="F47" s="195"/>
      <c r="G47" s="195"/>
      <c r="H47" s="195"/>
    </row>
    <row r="48" spans="2:14" s="186" customFormat="1" x14ac:dyDescent="0.25"/>
    <row r="49" spans="2:21" s="186" customFormat="1" x14ac:dyDescent="0.25">
      <c r="B49" s="1643" t="s">
        <v>35</v>
      </c>
      <c r="C49" s="1645" t="s">
        <v>584</v>
      </c>
      <c r="D49" s="1646"/>
      <c r="E49" s="1647"/>
      <c r="F49" s="1645" t="s">
        <v>583</v>
      </c>
      <c r="G49" s="1646"/>
      <c r="H49" s="1647"/>
      <c r="I49" s="1648" t="s">
        <v>582</v>
      </c>
      <c r="J49" s="1648" t="s">
        <v>581</v>
      </c>
    </row>
    <row r="50" spans="2:21" s="186" customFormat="1" ht="28" x14ac:dyDescent="0.25">
      <c r="B50" s="1644"/>
      <c r="C50" s="194" t="s">
        <v>580</v>
      </c>
      <c r="D50" s="194" t="s">
        <v>577</v>
      </c>
      <c r="E50" s="194" t="s">
        <v>579</v>
      </c>
      <c r="F50" s="194" t="s">
        <v>578</v>
      </c>
      <c r="G50" s="194" t="s">
        <v>577</v>
      </c>
      <c r="H50" s="938" t="s">
        <v>576</v>
      </c>
      <c r="I50" s="1648"/>
      <c r="J50" s="1648"/>
    </row>
    <row r="51" spans="2:21" s="186" customFormat="1" x14ac:dyDescent="0.25">
      <c r="B51" s="193"/>
      <c r="C51" s="192"/>
      <c r="D51" s="192"/>
      <c r="E51" s="192"/>
      <c r="F51" s="192"/>
      <c r="G51" s="192"/>
      <c r="H51" s="191"/>
      <c r="I51" s="191"/>
      <c r="J51" s="191"/>
    </row>
    <row r="52" spans="2:21" s="190" customFormat="1" x14ac:dyDescent="0.25">
      <c r="B52" s="189" t="s">
        <v>575</v>
      </c>
      <c r="C52" s="188"/>
      <c r="D52" s="188"/>
      <c r="E52" s="188"/>
      <c r="F52" s="188"/>
      <c r="G52" s="188"/>
      <c r="H52" s="188"/>
      <c r="I52" s="187"/>
      <c r="J52" s="187"/>
      <c r="K52" s="186"/>
      <c r="L52" s="186"/>
      <c r="M52" s="186"/>
      <c r="N52" s="186"/>
      <c r="O52" s="186"/>
      <c r="P52" s="186"/>
      <c r="Q52" s="186"/>
      <c r="R52" s="186"/>
      <c r="S52" s="186"/>
      <c r="T52" s="186"/>
      <c r="U52" s="186"/>
    </row>
    <row r="53" spans="2:21" s="190" customFormat="1" x14ac:dyDescent="0.25">
      <c r="B53" s="189"/>
      <c r="C53" s="188"/>
      <c r="D53" s="188"/>
      <c r="E53" s="188"/>
      <c r="F53" s="188"/>
      <c r="G53" s="188"/>
      <c r="H53" s="188"/>
      <c r="I53" s="187"/>
      <c r="J53" s="187"/>
      <c r="K53" s="186"/>
      <c r="L53" s="186"/>
      <c r="M53" s="186"/>
      <c r="N53" s="186"/>
      <c r="O53" s="186"/>
      <c r="P53" s="186"/>
      <c r="Q53" s="186"/>
      <c r="R53" s="186"/>
      <c r="S53" s="186"/>
      <c r="T53" s="186"/>
      <c r="U53" s="186"/>
    </row>
    <row r="54" spans="2:21" s="190" customFormat="1" x14ac:dyDescent="0.25">
      <c r="B54" s="189" t="s">
        <v>1447</v>
      </c>
      <c r="C54" s="188"/>
      <c r="D54" s="188"/>
      <c r="E54" s="188"/>
      <c r="F54" s="188"/>
      <c r="G54" s="188"/>
      <c r="H54" s="188"/>
      <c r="I54" s="187"/>
      <c r="J54" s="187"/>
      <c r="K54" s="186"/>
      <c r="L54" s="186"/>
      <c r="M54" s="186"/>
      <c r="N54" s="186"/>
      <c r="O54" s="186"/>
      <c r="P54" s="186"/>
      <c r="Q54" s="186"/>
      <c r="R54" s="186"/>
      <c r="S54" s="186"/>
      <c r="T54" s="186"/>
      <c r="U54" s="186"/>
    </row>
    <row r="55" spans="2:21" s="190" customFormat="1" x14ac:dyDescent="0.25">
      <c r="B55" s="187"/>
      <c r="C55" s="1313">
        <v>45412</v>
      </c>
      <c r="D55" s="188">
        <v>19.39</v>
      </c>
      <c r="E55" s="1314">
        <v>45412</v>
      </c>
      <c r="F55" s="1313">
        <v>45412</v>
      </c>
      <c r="G55" s="188">
        <v>19.39</v>
      </c>
      <c r="H55" s="1315">
        <v>1</v>
      </c>
      <c r="I55" s="187">
        <v>0</v>
      </c>
      <c r="J55" s="187">
        <v>0</v>
      </c>
      <c r="K55" s="186"/>
      <c r="L55" s="186"/>
      <c r="M55" s="186"/>
      <c r="N55" s="186"/>
      <c r="O55" s="186"/>
      <c r="P55" s="186"/>
      <c r="Q55" s="186"/>
      <c r="R55" s="186"/>
      <c r="S55" s="186"/>
      <c r="T55" s="186"/>
      <c r="U55" s="186"/>
    </row>
    <row r="56" spans="2:21" s="190" customFormat="1" x14ac:dyDescent="0.25">
      <c r="B56" s="187"/>
      <c r="C56" s="1313">
        <v>45443</v>
      </c>
      <c r="D56" s="188">
        <v>19.39</v>
      </c>
      <c r="E56" s="1314">
        <v>45443</v>
      </c>
      <c r="F56" s="1313">
        <v>45443</v>
      </c>
      <c r="G56" s="188">
        <v>19.39</v>
      </c>
      <c r="H56" s="1315">
        <v>1</v>
      </c>
      <c r="I56" s="187">
        <v>0</v>
      </c>
      <c r="J56" s="187">
        <v>0</v>
      </c>
      <c r="K56" s="186"/>
      <c r="L56" s="186"/>
      <c r="M56" s="186"/>
      <c r="N56" s="186"/>
      <c r="O56" s="186"/>
      <c r="P56" s="186"/>
      <c r="Q56" s="186"/>
      <c r="R56" s="186"/>
      <c r="S56" s="186"/>
      <c r="T56" s="186"/>
      <c r="U56" s="186"/>
    </row>
    <row r="57" spans="2:21" s="190" customFormat="1" x14ac:dyDescent="0.25">
      <c r="B57" s="187"/>
      <c r="C57" s="1313">
        <v>45473</v>
      </c>
      <c r="D57" s="188">
        <v>19.39</v>
      </c>
      <c r="E57" s="1314">
        <v>45473</v>
      </c>
      <c r="F57" s="1313">
        <v>45473</v>
      </c>
      <c r="G57" s="188">
        <v>19.39</v>
      </c>
      <c r="H57" s="1315">
        <v>1</v>
      </c>
      <c r="I57" s="187">
        <v>0</v>
      </c>
      <c r="J57" s="187">
        <v>0</v>
      </c>
      <c r="K57" s="186"/>
      <c r="L57" s="186"/>
      <c r="M57" s="186"/>
      <c r="N57" s="186"/>
      <c r="O57" s="186"/>
      <c r="P57" s="186"/>
      <c r="Q57" s="186"/>
      <c r="R57" s="186"/>
      <c r="S57" s="186"/>
      <c r="T57" s="186"/>
      <c r="U57" s="186"/>
    </row>
    <row r="58" spans="2:21" s="190" customFormat="1" x14ac:dyDescent="0.25">
      <c r="B58" s="187"/>
      <c r="C58" s="1313">
        <v>45504</v>
      </c>
      <c r="D58" s="188">
        <v>19.39</v>
      </c>
      <c r="E58" s="1314">
        <v>45504</v>
      </c>
      <c r="F58" s="1313">
        <v>45504</v>
      </c>
      <c r="G58" s="188">
        <v>19.39</v>
      </c>
      <c r="H58" s="1315">
        <v>1</v>
      </c>
      <c r="I58" s="187">
        <v>0</v>
      </c>
      <c r="J58" s="187">
        <v>0</v>
      </c>
      <c r="K58" s="186"/>
      <c r="L58" s="186"/>
      <c r="M58" s="186"/>
      <c r="N58" s="186"/>
      <c r="O58" s="186"/>
      <c r="P58" s="186"/>
      <c r="Q58" s="186"/>
      <c r="R58" s="186"/>
      <c r="S58" s="186"/>
      <c r="T58" s="186"/>
      <c r="U58" s="186"/>
    </row>
    <row r="59" spans="2:21" s="190" customFormat="1" x14ac:dyDescent="0.25">
      <c r="B59" s="187"/>
      <c r="C59" s="1313">
        <v>45535</v>
      </c>
      <c r="D59" s="188">
        <v>19.39</v>
      </c>
      <c r="E59" s="1314">
        <v>45535</v>
      </c>
      <c r="F59" s="1313">
        <v>45535</v>
      </c>
      <c r="G59" s="188">
        <v>19.39</v>
      </c>
      <c r="H59" s="1315">
        <v>1</v>
      </c>
      <c r="I59" s="187">
        <v>0</v>
      </c>
      <c r="J59" s="187">
        <v>0</v>
      </c>
      <c r="K59" s="186"/>
      <c r="L59" s="186"/>
      <c r="M59" s="186"/>
      <c r="N59" s="186"/>
      <c r="O59" s="186"/>
      <c r="P59" s="186"/>
      <c r="Q59" s="186"/>
      <c r="R59" s="186"/>
      <c r="S59" s="186"/>
      <c r="T59" s="186"/>
      <c r="U59" s="186"/>
    </row>
    <row r="60" spans="2:21" s="190" customFormat="1" x14ac:dyDescent="0.25">
      <c r="B60" s="187"/>
      <c r="C60" s="1313">
        <v>45565</v>
      </c>
      <c r="D60" s="188">
        <v>19.39</v>
      </c>
      <c r="E60" s="1314">
        <v>45565</v>
      </c>
      <c r="F60" s="1313">
        <v>45565</v>
      </c>
      <c r="G60" s="188">
        <v>19.39</v>
      </c>
      <c r="H60" s="1315">
        <v>1</v>
      </c>
      <c r="I60" s="187">
        <v>0</v>
      </c>
      <c r="J60" s="187">
        <v>0</v>
      </c>
      <c r="K60" s="186"/>
      <c r="L60" s="186"/>
      <c r="M60" s="186"/>
      <c r="N60" s="186"/>
      <c r="O60" s="186"/>
      <c r="P60" s="186"/>
      <c r="Q60" s="186"/>
      <c r="R60" s="186"/>
      <c r="S60" s="186"/>
      <c r="T60" s="186"/>
      <c r="U60" s="186"/>
    </row>
    <row r="61" spans="2:21" s="190" customFormat="1" x14ac:dyDescent="0.25">
      <c r="B61" s="187"/>
      <c r="C61" s="1313">
        <v>45596</v>
      </c>
      <c r="D61" s="188">
        <v>19.39</v>
      </c>
      <c r="E61" s="1314">
        <v>45596</v>
      </c>
      <c r="F61" s="1313">
        <v>45596</v>
      </c>
      <c r="G61" s="188">
        <v>19.39</v>
      </c>
      <c r="H61" s="1315">
        <v>1</v>
      </c>
      <c r="I61" s="187">
        <v>0</v>
      </c>
      <c r="J61" s="187">
        <v>0</v>
      </c>
      <c r="K61" s="186"/>
      <c r="L61" s="186"/>
      <c r="M61" s="186"/>
      <c r="N61" s="186"/>
      <c r="O61" s="186"/>
      <c r="P61" s="186"/>
      <c r="Q61" s="186"/>
      <c r="R61" s="186"/>
      <c r="S61" s="186"/>
      <c r="T61" s="186"/>
      <c r="U61" s="186"/>
    </row>
    <row r="62" spans="2:21" s="190" customFormat="1" x14ac:dyDescent="0.25">
      <c r="B62" s="187"/>
      <c r="C62" s="1313">
        <v>45626</v>
      </c>
      <c r="D62" s="188">
        <v>19.39</v>
      </c>
      <c r="E62" s="1314">
        <v>45626</v>
      </c>
      <c r="F62" s="1313">
        <v>45626</v>
      </c>
      <c r="G62" s="188">
        <v>19.39</v>
      </c>
      <c r="H62" s="1315">
        <v>1</v>
      </c>
      <c r="I62" s="187">
        <v>0</v>
      </c>
      <c r="J62" s="187">
        <v>0</v>
      </c>
      <c r="K62" s="186"/>
      <c r="L62" s="186"/>
      <c r="M62" s="186"/>
      <c r="N62" s="186"/>
      <c r="O62" s="186"/>
      <c r="P62" s="186"/>
      <c r="Q62" s="186"/>
      <c r="R62" s="186"/>
      <c r="S62" s="186"/>
      <c r="T62" s="186"/>
      <c r="U62" s="186"/>
    </row>
    <row r="63" spans="2:21" s="190" customFormat="1" x14ac:dyDescent="0.25">
      <c r="B63" s="187"/>
      <c r="C63" s="1313">
        <v>45657</v>
      </c>
      <c r="D63" s="188">
        <v>19.39</v>
      </c>
      <c r="E63" s="1314">
        <v>45657</v>
      </c>
      <c r="F63" s="1313">
        <v>45657</v>
      </c>
      <c r="G63" s="188">
        <v>19.39</v>
      </c>
      <c r="H63" s="1315">
        <v>1</v>
      </c>
      <c r="I63" s="187">
        <v>0</v>
      </c>
      <c r="J63" s="187">
        <v>0</v>
      </c>
      <c r="K63" s="186"/>
      <c r="L63" s="186"/>
      <c r="M63" s="186"/>
      <c r="N63" s="186"/>
      <c r="O63" s="186"/>
      <c r="P63" s="186"/>
      <c r="Q63" s="186"/>
      <c r="R63" s="186"/>
      <c r="S63" s="186"/>
      <c r="T63" s="186"/>
      <c r="U63" s="186"/>
    </row>
    <row r="64" spans="2:21" s="190" customFormat="1" x14ac:dyDescent="0.25">
      <c r="B64" s="187"/>
      <c r="C64" s="1313">
        <v>45688</v>
      </c>
      <c r="D64" s="188">
        <v>19.39</v>
      </c>
      <c r="E64" s="1314">
        <v>45688</v>
      </c>
      <c r="F64" s="1313">
        <v>45688</v>
      </c>
      <c r="G64" s="188">
        <v>19.39</v>
      </c>
      <c r="H64" s="1315">
        <v>1</v>
      </c>
      <c r="I64" s="187">
        <v>0</v>
      </c>
      <c r="J64" s="187">
        <v>0</v>
      </c>
      <c r="K64" s="186"/>
      <c r="L64" s="186"/>
      <c r="M64" s="186"/>
      <c r="N64" s="186"/>
      <c r="O64" s="186"/>
      <c r="P64" s="186"/>
      <c r="Q64" s="186"/>
      <c r="R64" s="186"/>
      <c r="S64" s="186"/>
      <c r="T64" s="186"/>
      <c r="U64" s="186"/>
    </row>
    <row r="65" spans="2:21" s="190" customFormat="1" x14ac:dyDescent="0.25">
      <c r="B65" s="187"/>
      <c r="C65" s="1313">
        <v>45716</v>
      </c>
      <c r="D65" s="188">
        <v>19.39</v>
      </c>
      <c r="E65" s="1314">
        <v>45716</v>
      </c>
      <c r="F65" s="1313">
        <v>45716</v>
      </c>
      <c r="G65" s="188">
        <v>19.39</v>
      </c>
      <c r="H65" s="1315">
        <v>1</v>
      </c>
      <c r="I65" s="187">
        <v>0</v>
      </c>
      <c r="J65" s="187">
        <v>0</v>
      </c>
      <c r="K65" s="186"/>
      <c r="L65" s="186"/>
      <c r="M65" s="186"/>
      <c r="N65" s="186"/>
      <c r="O65" s="186"/>
      <c r="P65" s="186"/>
      <c r="Q65" s="186"/>
      <c r="R65" s="186"/>
      <c r="S65" s="186"/>
      <c r="T65" s="186"/>
      <c r="U65" s="186"/>
    </row>
    <row r="66" spans="2:21" s="190" customFormat="1" x14ac:dyDescent="0.25">
      <c r="B66" s="187"/>
      <c r="C66" s="1313"/>
      <c r="D66" s="188"/>
      <c r="E66" s="188"/>
      <c r="F66" s="188"/>
      <c r="G66" s="188"/>
      <c r="H66" s="188"/>
      <c r="I66" s="187"/>
      <c r="J66" s="187"/>
      <c r="K66" s="186"/>
      <c r="L66" s="186"/>
      <c r="M66" s="186"/>
      <c r="N66" s="186"/>
      <c r="O66" s="186"/>
      <c r="P66" s="186"/>
      <c r="Q66" s="186"/>
      <c r="R66" s="186"/>
      <c r="S66" s="186"/>
      <c r="T66" s="186"/>
      <c r="U66" s="186"/>
    </row>
    <row r="67" spans="2:21" s="190" customFormat="1" x14ac:dyDescent="0.25">
      <c r="B67" s="187"/>
      <c r="C67" s="188"/>
      <c r="D67" s="188"/>
      <c r="E67" s="188"/>
      <c r="F67" s="188"/>
      <c r="G67" s="188"/>
      <c r="H67" s="188"/>
      <c r="I67" s="187"/>
      <c r="J67" s="187"/>
      <c r="K67" s="186"/>
      <c r="L67" s="186"/>
      <c r="M67" s="186"/>
      <c r="N67" s="186"/>
      <c r="O67" s="186"/>
      <c r="P67" s="186"/>
      <c r="Q67" s="186"/>
      <c r="R67" s="186"/>
      <c r="S67" s="186"/>
      <c r="T67" s="186"/>
      <c r="U67" s="186"/>
    </row>
    <row r="68" spans="2:21" s="190" customFormat="1" x14ac:dyDescent="0.25">
      <c r="B68" s="189" t="s">
        <v>1446</v>
      </c>
      <c r="C68" s="188"/>
      <c r="D68" s="188"/>
      <c r="E68" s="188"/>
      <c r="F68" s="188"/>
      <c r="G68" s="188"/>
      <c r="H68" s="188"/>
      <c r="I68" s="187"/>
      <c r="J68" s="187"/>
      <c r="K68" s="186"/>
      <c r="L68" s="186"/>
      <c r="M68" s="186"/>
      <c r="N68" s="186"/>
      <c r="O68" s="186"/>
      <c r="P68" s="186"/>
      <c r="Q68" s="186"/>
      <c r="R68" s="186"/>
      <c r="S68" s="186"/>
      <c r="T68" s="186"/>
      <c r="U68" s="186"/>
    </row>
    <row r="69" spans="2:21" s="190" customFormat="1" x14ac:dyDescent="0.25">
      <c r="B69" s="189"/>
      <c r="C69" s="1313">
        <v>45473</v>
      </c>
      <c r="D69" s="188">
        <v>0.14000000000000001</v>
      </c>
      <c r="E69" s="1314">
        <v>45473</v>
      </c>
      <c r="F69" s="1313">
        <v>45473</v>
      </c>
      <c r="G69" s="188">
        <v>0.14000000000000001</v>
      </c>
      <c r="H69" s="1315">
        <v>1</v>
      </c>
      <c r="I69" s="187">
        <v>0</v>
      </c>
      <c r="J69" s="187">
        <v>0</v>
      </c>
      <c r="K69" s="186"/>
      <c r="L69" s="186"/>
      <c r="M69" s="186"/>
      <c r="N69" s="186"/>
      <c r="O69" s="186"/>
      <c r="P69" s="186"/>
      <c r="Q69" s="186"/>
      <c r="R69" s="186"/>
      <c r="S69" s="186"/>
      <c r="T69" s="186"/>
      <c r="U69" s="186"/>
    </row>
    <row r="70" spans="2:21" s="190" customFormat="1" x14ac:dyDescent="0.25">
      <c r="B70" s="189"/>
      <c r="C70" s="1313">
        <v>45504</v>
      </c>
      <c r="D70" s="188">
        <v>0.61</v>
      </c>
      <c r="E70" s="1314">
        <v>45504</v>
      </c>
      <c r="F70" s="1313">
        <v>45504</v>
      </c>
      <c r="G70" s="188">
        <v>0.61</v>
      </c>
      <c r="H70" s="1315">
        <v>1</v>
      </c>
      <c r="I70" s="187">
        <v>0</v>
      </c>
      <c r="J70" s="187">
        <v>0</v>
      </c>
      <c r="K70" s="186"/>
      <c r="L70" s="186"/>
      <c r="M70" s="186"/>
      <c r="N70" s="186"/>
      <c r="O70" s="186"/>
      <c r="P70" s="186"/>
      <c r="Q70" s="186"/>
      <c r="R70" s="186"/>
      <c r="S70" s="186"/>
      <c r="T70" s="186"/>
      <c r="U70" s="186"/>
    </row>
    <row r="71" spans="2:21" s="190" customFormat="1" x14ac:dyDescent="0.25">
      <c r="B71" s="189"/>
      <c r="C71" s="1313">
        <v>45535</v>
      </c>
      <c r="D71" s="188">
        <v>0.56000000000000005</v>
      </c>
      <c r="E71" s="1314">
        <v>45535</v>
      </c>
      <c r="F71" s="1313">
        <v>45535</v>
      </c>
      <c r="G71" s="188">
        <v>0.56000000000000005</v>
      </c>
      <c r="H71" s="1315">
        <v>1</v>
      </c>
      <c r="I71" s="187">
        <v>0</v>
      </c>
      <c r="J71" s="187">
        <v>0</v>
      </c>
      <c r="K71" s="186"/>
      <c r="L71" s="186"/>
      <c r="M71" s="186"/>
      <c r="N71" s="186"/>
      <c r="O71" s="186"/>
      <c r="P71" s="186"/>
      <c r="Q71" s="186"/>
      <c r="R71" s="186"/>
      <c r="S71" s="186"/>
      <c r="T71" s="186"/>
      <c r="U71" s="186"/>
    </row>
    <row r="72" spans="2:21" s="190" customFormat="1" x14ac:dyDescent="0.25">
      <c r="B72" s="189"/>
      <c r="C72" s="1313">
        <v>45565</v>
      </c>
      <c r="D72" s="188">
        <v>0.65</v>
      </c>
      <c r="E72" s="1314">
        <v>45565</v>
      </c>
      <c r="F72" s="1313">
        <v>45565</v>
      </c>
      <c r="G72" s="188">
        <v>0.65</v>
      </c>
      <c r="H72" s="1315">
        <v>1</v>
      </c>
      <c r="I72" s="187">
        <v>0</v>
      </c>
      <c r="J72" s="187">
        <v>0</v>
      </c>
      <c r="K72" s="186"/>
      <c r="L72" s="186"/>
      <c r="M72" s="186"/>
      <c r="N72" s="186"/>
      <c r="O72" s="186"/>
      <c r="P72" s="186"/>
      <c r="Q72" s="186"/>
      <c r="R72" s="186"/>
      <c r="S72" s="186"/>
      <c r="T72" s="186"/>
      <c r="U72" s="186"/>
    </row>
    <row r="73" spans="2:21" s="190" customFormat="1" x14ac:dyDescent="0.25">
      <c r="B73" s="189"/>
      <c r="C73" s="1313">
        <v>45596</v>
      </c>
      <c r="D73" s="188">
        <v>0.97</v>
      </c>
      <c r="E73" s="1314">
        <v>45596</v>
      </c>
      <c r="F73" s="1313">
        <v>45596</v>
      </c>
      <c r="G73" s="188">
        <v>0.97</v>
      </c>
      <c r="H73" s="1315">
        <v>1</v>
      </c>
      <c r="I73" s="187">
        <v>0</v>
      </c>
      <c r="J73" s="187">
        <v>0</v>
      </c>
      <c r="K73" s="186"/>
      <c r="L73" s="186"/>
      <c r="M73" s="186"/>
      <c r="N73" s="186"/>
      <c r="O73" s="186"/>
      <c r="P73" s="186"/>
      <c r="Q73" s="186"/>
      <c r="R73" s="186"/>
      <c r="S73" s="186"/>
      <c r="T73" s="186"/>
      <c r="U73" s="186"/>
    </row>
    <row r="74" spans="2:21" s="190" customFormat="1" x14ac:dyDescent="0.25">
      <c r="B74" s="189"/>
      <c r="C74" s="1313">
        <v>45626</v>
      </c>
      <c r="D74" s="188">
        <v>0.96</v>
      </c>
      <c r="E74" s="1314">
        <v>45626</v>
      </c>
      <c r="F74" s="1313">
        <v>45626</v>
      </c>
      <c r="G74" s="188">
        <v>0.96</v>
      </c>
      <c r="H74" s="1315">
        <v>1</v>
      </c>
      <c r="I74" s="187">
        <v>0</v>
      </c>
      <c r="J74" s="187">
        <v>0</v>
      </c>
      <c r="K74" s="186"/>
      <c r="L74" s="186"/>
      <c r="M74" s="186"/>
      <c r="N74" s="186"/>
      <c r="O74" s="186"/>
      <c r="P74" s="186"/>
      <c r="Q74" s="186"/>
      <c r="R74" s="186"/>
      <c r="S74" s="186"/>
      <c r="T74" s="186"/>
      <c r="U74" s="186"/>
    </row>
    <row r="75" spans="2:21" s="190" customFormat="1" x14ac:dyDescent="0.25">
      <c r="B75" s="189"/>
      <c r="C75" s="1313">
        <v>45657</v>
      </c>
      <c r="D75" s="188">
        <v>1.38</v>
      </c>
      <c r="E75" s="1314">
        <v>45657</v>
      </c>
      <c r="F75" s="1313">
        <v>45657</v>
      </c>
      <c r="G75" s="188">
        <v>1.38</v>
      </c>
      <c r="H75" s="1315">
        <v>1</v>
      </c>
      <c r="I75" s="187">
        <v>0</v>
      </c>
      <c r="J75" s="187">
        <v>0</v>
      </c>
      <c r="K75" s="186"/>
      <c r="L75" s="186"/>
      <c r="M75" s="186"/>
      <c r="N75" s="186"/>
      <c r="O75" s="186"/>
      <c r="P75" s="186"/>
      <c r="Q75" s="186"/>
      <c r="R75" s="186"/>
      <c r="S75" s="186"/>
      <c r="T75" s="186"/>
      <c r="U75" s="186"/>
    </row>
    <row r="76" spans="2:21" s="190" customFormat="1" x14ac:dyDescent="0.25">
      <c r="B76" s="189"/>
      <c r="C76" s="1313">
        <v>45688</v>
      </c>
      <c r="D76" s="188">
        <v>3.15</v>
      </c>
      <c r="E76" s="1314">
        <v>45688</v>
      </c>
      <c r="F76" s="1313">
        <v>45688</v>
      </c>
      <c r="G76" s="188">
        <v>3.15</v>
      </c>
      <c r="H76" s="1315">
        <v>1</v>
      </c>
      <c r="I76" s="187">
        <v>0</v>
      </c>
      <c r="J76" s="187">
        <v>0</v>
      </c>
      <c r="K76" s="186"/>
      <c r="L76" s="186"/>
      <c r="M76" s="186"/>
      <c r="N76" s="186"/>
      <c r="O76" s="186"/>
      <c r="P76" s="186"/>
      <c r="Q76" s="186"/>
      <c r="R76" s="186"/>
      <c r="S76" s="186"/>
      <c r="T76" s="186"/>
      <c r="U76" s="186"/>
    </row>
    <row r="77" spans="2:21" s="190" customFormat="1" x14ac:dyDescent="0.25">
      <c r="B77" s="189"/>
      <c r="C77" s="1313">
        <v>45716</v>
      </c>
      <c r="D77" s="188">
        <v>4.66</v>
      </c>
      <c r="E77" s="1314">
        <v>45716</v>
      </c>
      <c r="F77" s="1313">
        <v>45716</v>
      </c>
      <c r="G77" s="188">
        <v>4.66</v>
      </c>
      <c r="H77" s="1315">
        <v>1</v>
      </c>
      <c r="I77" s="187">
        <v>0</v>
      </c>
      <c r="J77" s="187">
        <v>0</v>
      </c>
      <c r="K77" s="186"/>
      <c r="L77" s="186"/>
      <c r="M77" s="186"/>
      <c r="N77" s="186"/>
      <c r="O77" s="186"/>
      <c r="P77" s="186"/>
      <c r="Q77" s="186"/>
      <c r="R77" s="186"/>
      <c r="S77" s="186"/>
      <c r="T77" s="186"/>
      <c r="U77" s="186"/>
    </row>
    <row r="78" spans="2:21" s="190" customFormat="1" x14ac:dyDescent="0.25">
      <c r="B78" s="189"/>
      <c r="C78" s="188"/>
      <c r="D78" s="188"/>
      <c r="E78" s="188"/>
      <c r="F78" s="188"/>
      <c r="G78" s="188"/>
      <c r="H78" s="188"/>
      <c r="I78" s="187"/>
      <c r="J78" s="187"/>
      <c r="K78" s="186"/>
      <c r="L78" s="186"/>
      <c r="M78" s="186"/>
      <c r="N78" s="186"/>
      <c r="O78" s="186"/>
      <c r="P78" s="186"/>
      <c r="Q78" s="186"/>
      <c r="R78" s="186"/>
      <c r="S78" s="186"/>
      <c r="T78" s="186"/>
      <c r="U78" s="186"/>
    </row>
    <row r="79" spans="2:21" s="190" customFormat="1" x14ac:dyDescent="0.25">
      <c r="B79" s="189"/>
      <c r="C79" s="188"/>
      <c r="D79" s="188"/>
      <c r="E79" s="188"/>
      <c r="F79" s="188"/>
      <c r="G79" s="188"/>
      <c r="H79" s="188"/>
      <c r="I79" s="187"/>
      <c r="J79" s="187"/>
      <c r="K79" s="186"/>
      <c r="L79" s="186"/>
      <c r="M79" s="186"/>
      <c r="N79" s="186"/>
      <c r="O79" s="186"/>
      <c r="P79" s="186"/>
      <c r="Q79" s="186"/>
      <c r="R79" s="186"/>
      <c r="S79" s="186"/>
      <c r="T79" s="186"/>
      <c r="U79" s="186"/>
    </row>
    <row r="80" spans="2:21" s="190" customFormat="1" x14ac:dyDescent="0.25">
      <c r="B80" s="189" t="s">
        <v>1445</v>
      </c>
      <c r="C80" s="188"/>
      <c r="D80" s="188"/>
      <c r="E80" s="188"/>
      <c r="F80" s="188"/>
      <c r="G80" s="188"/>
      <c r="H80" s="188"/>
      <c r="I80" s="187"/>
      <c r="J80" s="187"/>
      <c r="K80" s="186"/>
      <c r="L80" s="186"/>
      <c r="M80" s="186"/>
      <c r="N80" s="186"/>
      <c r="O80" s="186"/>
      <c r="P80" s="186"/>
      <c r="Q80" s="186"/>
      <c r="R80" s="186"/>
      <c r="S80" s="186"/>
      <c r="T80" s="186"/>
      <c r="U80" s="186"/>
    </row>
    <row r="81" spans="2:21" s="190" customFormat="1" x14ac:dyDescent="0.25">
      <c r="B81" s="189"/>
      <c r="C81" s="1313">
        <v>45596</v>
      </c>
      <c r="D81" s="1316">
        <v>1.4044000000000001</v>
      </c>
      <c r="E81" s="1314">
        <v>45596</v>
      </c>
      <c r="F81" s="1313">
        <v>45596</v>
      </c>
      <c r="G81" s="1316">
        <v>1.4044000000000001</v>
      </c>
      <c r="H81" s="1315">
        <v>1</v>
      </c>
      <c r="I81" s="187">
        <v>0</v>
      </c>
      <c r="J81" s="187">
        <v>0</v>
      </c>
      <c r="K81" s="186"/>
      <c r="L81" s="186"/>
      <c r="M81" s="186"/>
      <c r="N81" s="186"/>
      <c r="O81" s="186"/>
      <c r="P81" s="186"/>
      <c r="Q81" s="186"/>
      <c r="R81" s="186"/>
      <c r="S81" s="186"/>
      <c r="T81" s="186"/>
      <c r="U81" s="186"/>
    </row>
    <row r="82" spans="2:21" s="190" customFormat="1" x14ac:dyDescent="0.25">
      <c r="B82" s="189"/>
      <c r="C82" s="1313">
        <v>45626</v>
      </c>
      <c r="D82" s="1316">
        <v>1.4044000000000001</v>
      </c>
      <c r="E82" s="1314">
        <v>45626</v>
      </c>
      <c r="F82" s="1313">
        <v>45626</v>
      </c>
      <c r="G82" s="1316">
        <v>1.4044000000000001</v>
      </c>
      <c r="H82" s="1315">
        <v>1</v>
      </c>
      <c r="I82" s="187">
        <v>0</v>
      </c>
      <c r="J82" s="187">
        <v>0</v>
      </c>
      <c r="K82" s="186"/>
      <c r="L82" s="186"/>
      <c r="M82" s="186"/>
      <c r="N82" s="186"/>
      <c r="O82" s="186"/>
      <c r="P82" s="186"/>
      <c r="Q82" s="186"/>
      <c r="R82" s="186"/>
      <c r="S82" s="186"/>
      <c r="T82" s="186"/>
      <c r="U82" s="186"/>
    </row>
    <row r="83" spans="2:21" s="190" customFormat="1" x14ac:dyDescent="0.25">
      <c r="B83" s="189"/>
      <c r="C83" s="1313">
        <v>45657</v>
      </c>
      <c r="D83" s="1316">
        <v>1.4044000000000001</v>
      </c>
      <c r="E83" s="1314">
        <v>45657</v>
      </c>
      <c r="F83" s="1313">
        <v>45657</v>
      </c>
      <c r="G83" s="1316">
        <v>1.4044000000000001</v>
      </c>
      <c r="H83" s="1315">
        <v>1</v>
      </c>
      <c r="I83" s="187">
        <v>0</v>
      </c>
      <c r="J83" s="187">
        <v>0</v>
      </c>
      <c r="K83" s="186"/>
      <c r="L83" s="186"/>
      <c r="M83" s="186"/>
      <c r="N83" s="186"/>
      <c r="O83" s="186"/>
      <c r="P83" s="186"/>
      <c r="Q83" s="186"/>
      <c r="R83" s="186"/>
      <c r="S83" s="186"/>
      <c r="T83" s="186"/>
      <c r="U83" s="186"/>
    </row>
    <row r="84" spans="2:21" s="190" customFormat="1" x14ac:dyDescent="0.25">
      <c r="B84" s="189"/>
      <c r="C84" s="1313">
        <v>45688</v>
      </c>
      <c r="D84" s="1316">
        <v>1.4044000000000001</v>
      </c>
      <c r="E84" s="1314">
        <v>45688</v>
      </c>
      <c r="F84" s="1313">
        <v>45688</v>
      </c>
      <c r="G84" s="1316">
        <v>1.4044000000000001</v>
      </c>
      <c r="H84" s="1315">
        <v>1</v>
      </c>
      <c r="I84" s="187">
        <v>0</v>
      </c>
      <c r="J84" s="187">
        <v>0</v>
      </c>
      <c r="K84" s="186"/>
      <c r="L84" s="186"/>
      <c r="M84" s="186"/>
      <c r="N84" s="186"/>
      <c r="O84" s="186"/>
      <c r="P84" s="186"/>
      <c r="Q84" s="186"/>
      <c r="R84" s="186"/>
      <c r="S84" s="186"/>
      <c r="T84" s="186"/>
      <c r="U84" s="186"/>
    </row>
    <row r="85" spans="2:21" s="190" customFormat="1" x14ac:dyDescent="0.25">
      <c r="B85" s="189"/>
      <c r="C85" s="1313">
        <v>45716</v>
      </c>
      <c r="D85" s="1316">
        <v>1.4044000000000001</v>
      </c>
      <c r="E85" s="1314">
        <v>45716</v>
      </c>
      <c r="F85" s="1313">
        <v>45716</v>
      </c>
      <c r="G85" s="1316">
        <v>1.4044000000000001</v>
      </c>
      <c r="H85" s="1315">
        <v>1</v>
      </c>
      <c r="I85" s="187">
        <v>0</v>
      </c>
      <c r="J85" s="187">
        <v>0</v>
      </c>
      <c r="K85" s="186"/>
      <c r="L85" s="186"/>
      <c r="M85" s="186"/>
      <c r="N85" s="186"/>
      <c r="O85" s="186"/>
      <c r="P85" s="186"/>
      <c r="Q85" s="186"/>
      <c r="R85" s="186"/>
      <c r="S85" s="186"/>
      <c r="T85" s="186"/>
      <c r="U85" s="186"/>
    </row>
    <row r="86" spans="2:21" s="190" customFormat="1" x14ac:dyDescent="0.25">
      <c r="B86" s="189"/>
      <c r="C86" s="188"/>
      <c r="D86" s="188"/>
      <c r="E86" s="188"/>
      <c r="F86" s="188"/>
      <c r="G86" s="188"/>
      <c r="H86" s="188"/>
      <c r="I86" s="187"/>
      <c r="J86" s="187"/>
      <c r="K86" s="186"/>
      <c r="L86" s="186"/>
      <c r="M86" s="186"/>
      <c r="N86" s="186"/>
      <c r="O86" s="186"/>
      <c r="P86" s="186"/>
      <c r="Q86" s="186"/>
      <c r="R86" s="186"/>
      <c r="S86" s="186"/>
      <c r="T86" s="186"/>
      <c r="U86" s="186"/>
    </row>
    <row r="87" spans="2:21" s="190" customFormat="1" x14ac:dyDescent="0.25">
      <c r="B87" s="189"/>
      <c r="C87" s="188"/>
      <c r="D87" s="188"/>
      <c r="E87" s="188"/>
      <c r="F87" s="188"/>
      <c r="G87" s="188"/>
      <c r="H87" s="188"/>
      <c r="I87" s="187"/>
      <c r="J87" s="187"/>
      <c r="K87" s="186"/>
      <c r="L87" s="186"/>
      <c r="M87" s="186"/>
      <c r="N87" s="186"/>
      <c r="O87" s="186"/>
      <c r="P87" s="186"/>
      <c r="Q87" s="186"/>
      <c r="R87" s="186"/>
      <c r="S87" s="186"/>
      <c r="T87" s="186"/>
      <c r="U87" s="186"/>
    </row>
    <row r="88" spans="2:21" s="190" customFormat="1" x14ac:dyDescent="0.25">
      <c r="B88" s="189"/>
      <c r="C88" s="188"/>
      <c r="D88" s="188"/>
      <c r="E88" s="188"/>
      <c r="F88" s="188"/>
      <c r="G88" s="188"/>
      <c r="H88" s="188"/>
      <c r="I88" s="187"/>
      <c r="J88" s="187"/>
      <c r="K88" s="186"/>
      <c r="L88" s="186"/>
      <c r="M88" s="186"/>
      <c r="N88" s="186"/>
      <c r="O88" s="186"/>
      <c r="P88" s="186"/>
      <c r="Q88" s="186"/>
      <c r="R88" s="186"/>
      <c r="S88" s="186"/>
      <c r="T88" s="186"/>
      <c r="U88" s="186"/>
    </row>
    <row r="89" spans="2:21" s="190" customFormat="1" x14ac:dyDescent="0.25">
      <c r="B89" s="189"/>
      <c r="C89" s="188"/>
      <c r="D89" s="188"/>
      <c r="E89" s="188"/>
      <c r="F89" s="188"/>
      <c r="G89" s="188"/>
      <c r="H89" s="188"/>
      <c r="I89" s="187"/>
      <c r="J89" s="187"/>
      <c r="K89" s="186"/>
      <c r="L89" s="186"/>
      <c r="M89" s="186"/>
      <c r="N89" s="186"/>
      <c r="O89" s="186"/>
      <c r="P89" s="186"/>
      <c r="Q89" s="186"/>
      <c r="R89" s="186"/>
      <c r="S89" s="186"/>
      <c r="T89" s="186"/>
      <c r="U89" s="186"/>
    </row>
    <row r="90" spans="2:21" s="190" customFormat="1" x14ac:dyDescent="0.25">
      <c r="B90" s="187" t="s">
        <v>568</v>
      </c>
      <c r="C90" s="188"/>
      <c r="D90" s="188"/>
      <c r="E90" s="188"/>
      <c r="F90" s="188"/>
      <c r="G90" s="188"/>
      <c r="H90" s="188"/>
      <c r="I90" s="187"/>
      <c r="J90" s="187"/>
      <c r="K90" s="186"/>
      <c r="L90" s="186"/>
      <c r="M90" s="186"/>
      <c r="N90" s="186"/>
      <c r="O90" s="186"/>
      <c r="P90" s="186"/>
      <c r="Q90" s="186"/>
      <c r="R90" s="186"/>
      <c r="S90" s="186"/>
      <c r="T90" s="186"/>
      <c r="U90" s="186"/>
    </row>
    <row r="91" spans="2:21" s="186" customFormat="1" x14ac:dyDescent="0.25">
      <c r="B91" s="189" t="s">
        <v>267</v>
      </c>
      <c r="C91" s="188"/>
      <c r="D91" s="188">
        <f>SUM(D55:D90)</f>
        <v>233.39200000000002</v>
      </c>
      <c r="E91" s="188"/>
      <c r="F91" s="188"/>
      <c r="G91" s="188">
        <f>SUM(G55:G90)</f>
        <v>233.39200000000002</v>
      </c>
      <c r="H91" s="188"/>
      <c r="I91" s="187"/>
      <c r="J91" s="187"/>
    </row>
    <row r="92" spans="2:21" s="186" customFormat="1" x14ac:dyDescent="0.25">
      <c r="B92" s="189"/>
      <c r="C92" s="188"/>
      <c r="D92" s="188"/>
      <c r="E92" s="188"/>
      <c r="F92" s="188"/>
      <c r="G92" s="188"/>
      <c r="H92" s="188"/>
      <c r="I92" s="187"/>
      <c r="J92" s="187"/>
    </row>
    <row r="93" spans="2:21" s="186" customFormat="1" x14ac:dyDescent="0.25">
      <c r="B93" s="189"/>
      <c r="C93" s="188"/>
      <c r="D93" s="188"/>
      <c r="E93" s="188"/>
      <c r="F93" s="188"/>
      <c r="G93" s="188"/>
      <c r="H93" s="188"/>
      <c r="I93" s="187"/>
      <c r="J93" s="187"/>
    </row>
    <row r="94" spans="2:21" s="190" customFormat="1" x14ac:dyDescent="0.25">
      <c r="B94" s="189" t="s">
        <v>572</v>
      </c>
      <c r="C94" s="188"/>
      <c r="D94" s="188"/>
      <c r="E94" s="188"/>
      <c r="F94" s="188"/>
      <c r="G94" s="188"/>
      <c r="H94" s="188"/>
      <c r="I94" s="187"/>
      <c r="J94" s="187"/>
      <c r="K94" s="186"/>
      <c r="L94" s="186"/>
      <c r="M94" s="186"/>
      <c r="N94" s="186"/>
      <c r="O94" s="186"/>
      <c r="P94" s="186"/>
      <c r="Q94" s="186"/>
      <c r="R94" s="186"/>
      <c r="S94" s="186"/>
      <c r="T94" s="186"/>
      <c r="U94" s="186"/>
    </row>
    <row r="95" spans="2:21" s="186" customFormat="1" x14ac:dyDescent="0.25">
      <c r="B95" s="187"/>
      <c r="C95" s="188"/>
      <c r="D95" s="188"/>
      <c r="E95" s="188"/>
      <c r="F95" s="188"/>
      <c r="G95" s="188"/>
      <c r="H95" s="188"/>
      <c r="I95" s="187"/>
      <c r="J95" s="187"/>
    </row>
    <row r="96" spans="2:21" s="186" customFormat="1" x14ac:dyDescent="0.25">
      <c r="B96" s="187" t="s">
        <v>571</v>
      </c>
      <c r="C96" s="188"/>
      <c r="D96" s="188"/>
      <c r="E96" s="188"/>
      <c r="F96" s="188"/>
      <c r="G96" s="188"/>
      <c r="H96" s="188"/>
      <c r="I96" s="187"/>
      <c r="J96" s="187"/>
    </row>
    <row r="97" spans="2:10" s="186" customFormat="1" x14ac:dyDescent="0.25">
      <c r="B97" s="187" t="s">
        <v>570</v>
      </c>
      <c r="C97" s="188"/>
      <c r="D97" s="188"/>
      <c r="E97" s="188"/>
      <c r="F97" s="188"/>
      <c r="G97" s="188"/>
      <c r="H97" s="188"/>
      <c r="I97" s="187"/>
      <c r="J97" s="187"/>
    </row>
    <row r="98" spans="2:10" s="186" customFormat="1" x14ac:dyDescent="0.25">
      <c r="B98" s="187" t="s">
        <v>569</v>
      </c>
      <c r="C98" s="188"/>
      <c r="D98" s="188"/>
      <c r="E98" s="188"/>
      <c r="F98" s="188"/>
      <c r="G98" s="188"/>
      <c r="H98" s="188"/>
      <c r="I98" s="187"/>
      <c r="J98" s="187"/>
    </row>
    <row r="99" spans="2:10" s="186" customFormat="1" x14ac:dyDescent="0.25">
      <c r="B99" s="187" t="s">
        <v>568</v>
      </c>
      <c r="C99" s="188"/>
      <c r="D99" s="188"/>
      <c r="E99" s="188"/>
      <c r="F99" s="188"/>
      <c r="G99" s="188"/>
      <c r="H99" s="188"/>
      <c r="I99" s="187"/>
      <c r="J99" s="187"/>
    </row>
    <row r="100" spans="2:10" s="186" customFormat="1" x14ac:dyDescent="0.25">
      <c r="B100" s="189" t="s">
        <v>267</v>
      </c>
      <c r="C100" s="188"/>
      <c r="D100" s="188"/>
      <c r="E100" s="188"/>
      <c r="F100" s="188"/>
      <c r="G100" s="188"/>
      <c r="H100" s="188"/>
      <c r="I100" s="187"/>
      <c r="J100" s="187"/>
    </row>
    <row r="101" spans="2:10" s="186" customFormat="1" x14ac:dyDescent="0.25">
      <c r="B101" s="189"/>
      <c r="C101" s="188"/>
      <c r="D101" s="188"/>
      <c r="E101" s="188"/>
      <c r="F101" s="188"/>
      <c r="G101" s="188"/>
      <c r="H101" s="188"/>
      <c r="I101" s="187"/>
      <c r="J101" s="187"/>
    </row>
    <row r="102" spans="2:10" s="186" customFormat="1" x14ac:dyDescent="0.25">
      <c r="B102" s="189" t="s">
        <v>587</v>
      </c>
      <c r="C102" s="188"/>
      <c r="D102" s="188"/>
      <c r="E102" s="188"/>
      <c r="F102" s="188"/>
      <c r="G102" s="188"/>
      <c r="H102" s="188"/>
      <c r="I102" s="187"/>
      <c r="J102" s="187"/>
    </row>
    <row r="103" spans="2:10" x14ac:dyDescent="0.25">
      <c r="B103" s="187"/>
      <c r="C103" s="188"/>
      <c r="D103" s="188"/>
      <c r="E103" s="188"/>
      <c r="F103" s="188"/>
      <c r="G103" s="188"/>
      <c r="H103" s="188"/>
      <c r="I103" s="187"/>
      <c r="J103" s="187"/>
    </row>
    <row r="104" spans="2:10" x14ac:dyDescent="0.25">
      <c r="B104" s="187" t="s">
        <v>588</v>
      </c>
      <c r="C104" s="188"/>
      <c r="D104" s="188"/>
      <c r="E104" s="188"/>
      <c r="F104" s="188"/>
      <c r="G104" s="188"/>
      <c r="H104" s="188"/>
      <c r="I104" s="187"/>
      <c r="J104" s="187"/>
    </row>
    <row r="105" spans="2:10" x14ac:dyDescent="0.25">
      <c r="B105" s="187" t="s">
        <v>589</v>
      </c>
      <c r="C105" s="188"/>
      <c r="D105" s="188"/>
      <c r="E105" s="188"/>
      <c r="F105" s="188"/>
      <c r="G105" s="188"/>
      <c r="H105" s="188"/>
      <c r="I105" s="187"/>
      <c r="J105" s="187"/>
    </row>
    <row r="106" spans="2:10" x14ac:dyDescent="0.25">
      <c r="B106" s="187" t="s">
        <v>590</v>
      </c>
      <c r="C106" s="188"/>
      <c r="D106" s="188"/>
      <c r="E106" s="188"/>
      <c r="F106" s="188"/>
      <c r="G106" s="188"/>
      <c r="H106" s="188"/>
      <c r="I106" s="187"/>
      <c r="J106" s="187"/>
    </row>
    <row r="107" spans="2:10" x14ac:dyDescent="0.25">
      <c r="B107" s="187" t="s">
        <v>568</v>
      </c>
      <c r="C107" s="188"/>
      <c r="D107" s="188"/>
      <c r="E107" s="188"/>
      <c r="F107" s="188"/>
      <c r="G107" s="188"/>
      <c r="H107" s="188"/>
      <c r="I107" s="187"/>
      <c r="J107" s="187"/>
    </row>
    <row r="108" spans="2:10" x14ac:dyDescent="0.25">
      <c r="B108" s="189" t="s">
        <v>267</v>
      </c>
      <c r="C108" s="188"/>
      <c r="D108" s="188"/>
      <c r="E108" s="188"/>
      <c r="F108" s="188"/>
      <c r="G108" s="188"/>
      <c r="H108" s="188"/>
      <c r="I108" s="187"/>
      <c r="J108" s="187"/>
    </row>
  </sheetData>
  <mergeCells count="10">
    <mergeCell ref="B49:B50"/>
    <mergeCell ref="C49:E49"/>
    <mergeCell ref="F49:H49"/>
    <mergeCell ref="I49:I50"/>
    <mergeCell ref="J49:J50"/>
    <mergeCell ref="B10:B11"/>
    <mergeCell ref="C10:E10"/>
    <mergeCell ref="F10:H10"/>
    <mergeCell ref="I10:I11"/>
    <mergeCell ref="J10:J11"/>
  </mergeCells>
  <pageMargins left="0.75" right="0.75" top="1" bottom="1" header="0.5" footer="0.5"/>
  <pageSetup paperSize="9" scale="2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Y67"/>
  <sheetViews>
    <sheetView showGridLines="0" zoomScale="75" zoomScaleNormal="75" zoomScaleSheetLayoutView="72" workbookViewId="0">
      <pane xSplit="4" ySplit="9" topLeftCell="E10" activePane="bottomRight" state="frozen"/>
      <selection activeCell="B28" sqref="B28"/>
      <selection pane="topRight" activeCell="B28" sqref="B28"/>
      <selection pane="bottomLeft" activeCell="B28" sqref="B28"/>
      <selection pane="bottomRight" activeCell="J16" sqref="J16"/>
    </sheetView>
  </sheetViews>
  <sheetFormatPr defaultColWidth="9.453125" defaultRowHeight="14" x14ac:dyDescent="0.3"/>
  <cols>
    <col min="1" max="1" width="8.1796875" style="1" bestFit="1" customWidth="1"/>
    <col min="2" max="2" width="7.81640625" style="1" customWidth="1"/>
    <col min="3" max="3" width="43.1796875" style="1" customWidth="1"/>
    <col min="4" max="4" width="9.54296875" style="39" bestFit="1" customWidth="1"/>
    <col min="5" max="5" width="10.54296875" style="39" customWidth="1"/>
    <col min="6" max="6" width="20.81640625" style="39" bestFit="1" customWidth="1"/>
    <col min="7" max="7" width="12.54296875" style="39" bestFit="1" customWidth="1"/>
    <col min="8" max="8" width="12.81640625" style="39" bestFit="1" customWidth="1"/>
    <col min="9" max="9" width="12.81640625" style="39" customWidth="1"/>
    <col min="10" max="10" width="13.54296875" style="39" customWidth="1"/>
    <col min="11" max="11" width="12.54296875" style="39" bestFit="1" customWidth="1"/>
    <col min="12" max="12" width="12.453125" style="39" bestFit="1" customWidth="1"/>
    <col min="13" max="13" width="12.81640625" style="39" bestFit="1" customWidth="1"/>
    <col min="14" max="14" width="13" style="1" customWidth="1"/>
    <col min="15" max="15" width="11.453125" style="1" bestFit="1" customWidth="1"/>
    <col min="16" max="16" width="17" style="1" bestFit="1" customWidth="1"/>
    <col min="17" max="17" width="23.81640625" style="1" bestFit="1" customWidth="1"/>
    <col min="18" max="18" width="13.54296875" style="1" bestFit="1" customWidth="1"/>
    <col min="19" max="19" width="19.54296875" style="1" bestFit="1" customWidth="1"/>
    <col min="20" max="24" width="19.54296875" style="1" customWidth="1"/>
    <col min="25" max="25" width="14.1796875" style="1" customWidth="1"/>
    <col min="26" max="16384" width="9.453125" style="1"/>
  </cols>
  <sheetData>
    <row r="2" spans="1:25" x14ac:dyDescent="0.3">
      <c r="B2" s="1406" t="str">
        <f>Index!B2</f>
        <v xml:space="preserve">      Maharashtra State Power Generation Company Ltd.</v>
      </c>
      <c r="C2" s="1406"/>
      <c r="D2" s="1406"/>
      <c r="E2" s="1406"/>
      <c r="F2" s="1406"/>
      <c r="G2" s="1406"/>
      <c r="H2" s="1406"/>
      <c r="I2" s="1406"/>
      <c r="J2" s="1406"/>
      <c r="K2" s="1406"/>
      <c r="L2" s="1406"/>
      <c r="M2" s="1406"/>
      <c r="N2" s="62"/>
      <c r="O2" s="1435"/>
      <c r="P2" s="1435"/>
      <c r="Q2" s="1435"/>
      <c r="R2" s="1435"/>
      <c r="S2" s="1435"/>
      <c r="T2" s="1435"/>
      <c r="U2" s="1435"/>
      <c r="V2" s="1435"/>
      <c r="W2" s="1435"/>
      <c r="X2" s="1435"/>
      <c r="Y2" s="1435"/>
    </row>
    <row r="3" spans="1:25" x14ac:dyDescent="0.3">
      <c r="B3" s="1406" t="str">
        <f>Index!B3</f>
        <v>MYT Petition Formats for Bhusawal Unit 6</v>
      </c>
      <c r="C3" s="1406"/>
      <c r="D3" s="1406"/>
      <c r="E3" s="1406"/>
      <c r="F3" s="1406"/>
      <c r="G3" s="1406"/>
      <c r="H3" s="1406"/>
      <c r="I3" s="1406"/>
      <c r="J3" s="1406"/>
      <c r="K3" s="1406"/>
      <c r="L3" s="1406"/>
      <c r="M3" s="1406"/>
      <c r="N3" s="62"/>
      <c r="O3" s="1435"/>
      <c r="P3" s="1435"/>
      <c r="Q3" s="1435"/>
      <c r="R3" s="1435"/>
      <c r="S3" s="1435"/>
      <c r="T3" s="1435"/>
      <c r="U3" s="1435"/>
      <c r="V3" s="1435"/>
      <c r="W3" s="1435"/>
      <c r="X3" s="1435"/>
      <c r="Y3" s="1435"/>
    </row>
    <row r="4" spans="1:25" x14ac:dyDescent="0.3">
      <c r="B4" s="1406" t="s">
        <v>359</v>
      </c>
      <c r="C4" s="1406"/>
      <c r="D4" s="1406"/>
      <c r="E4" s="1406"/>
      <c r="F4" s="1406"/>
      <c r="G4" s="1406"/>
      <c r="H4" s="1406"/>
      <c r="I4" s="1406"/>
      <c r="J4" s="1406"/>
      <c r="K4" s="1406"/>
      <c r="L4" s="1406"/>
      <c r="M4" s="1406"/>
      <c r="N4" s="62"/>
      <c r="O4" s="1435"/>
      <c r="P4" s="1435"/>
      <c r="Q4" s="1435"/>
      <c r="R4" s="1435"/>
      <c r="S4" s="1435"/>
      <c r="T4" s="1435"/>
      <c r="U4" s="1435"/>
      <c r="V4" s="1435"/>
      <c r="W4" s="1435"/>
      <c r="X4" s="1435"/>
      <c r="Y4" s="1435"/>
    </row>
    <row r="5" spans="1:25" s="10" customFormat="1" x14ac:dyDescent="0.25">
      <c r="B5" s="17"/>
      <c r="C5" s="17"/>
      <c r="D5" s="17"/>
      <c r="E5" s="17"/>
      <c r="F5" s="17"/>
      <c r="G5" s="17"/>
      <c r="H5" s="17"/>
      <c r="I5" s="17"/>
      <c r="J5" s="17"/>
      <c r="K5" s="17"/>
      <c r="L5" s="17"/>
      <c r="M5" s="17"/>
      <c r="N5" s="17"/>
      <c r="O5" s="17"/>
      <c r="P5" s="17"/>
      <c r="Q5" s="17"/>
      <c r="R5" s="17"/>
      <c r="S5" s="17"/>
      <c r="T5" s="17"/>
      <c r="U5" s="17"/>
      <c r="V5" s="17"/>
      <c r="W5" s="17"/>
      <c r="X5" s="17"/>
      <c r="Y5" s="17"/>
    </row>
    <row r="6" spans="1:25" s="10" customFormat="1" x14ac:dyDescent="0.3">
      <c r="C6" s="6"/>
      <c r="D6" s="28"/>
      <c r="E6" s="28"/>
      <c r="F6" s="28"/>
      <c r="G6" s="28"/>
      <c r="H6" s="28"/>
      <c r="I6" s="28"/>
      <c r="J6" s="28"/>
      <c r="K6" s="28"/>
      <c r="L6" s="28"/>
      <c r="M6" s="28"/>
      <c r="N6" s="12"/>
      <c r="O6" s="12"/>
      <c r="P6" s="12"/>
      <c r="Q6" s="12"/>
    </row>
    <row r="7" spans="1:25" ht="14.15" customHeight="1" x14ac:dyDescent="0.3">
      <c r="B7" s="1404" t="s">
        <v>327</v>
      </c>
      <c r="C7" s="1436" t="s">
        <v>35</v>
      </c>
      <c r="D7" s="1436" t="s">
        <v>91</v>
      </c>
      <c r="E7" s="1404" t="s">
        <v>477</v>
      </c>
      <c r="F7" s="1404"/>
      <c r="G7" s="1404"/>
      <c r="H7" s="1404"/>
      <c r="I7" s="1416" t="s">
        <v>849</v>
      </c>
      <c r="J7" s="1418"/>
      <c r="K7" s="1416" t="s">
        <v>848</v>
      </c>
      <c r="L7" s="1417"/>
      <c r="M7" s="1417"/>
      <c r="N7" s="1418"/>
      <c r="O7" s="1404" t="s">
        <v>25</v>
      </c>
    </row>
    <row r="8" spans="1:25" s="29" customFormat="1" ht="28" x14ac:dyDescent="0.25">
      <c r="B8" s="1436"/>
      <c r="C8" s="1436"/>
      <c r="D8" s="1436"/>
      <c r="E8" s="97" t="s">
        <v>1215</v>
      </c>
      <c r="F8" s="97" t="s">
        <v>827</v>
      </c>
      <c r="G8" s="97" t="s">
        <v>77</v>
      </c>
      <c r="H8" s="97" t="s">
        <v>427</v>
      </c>
      <c r="I8" s="1408" t="s">
        <v>827</v>
      </c>
      <c r="J8" s="1438" t="s">
        <v>3068</v>
      </c>
      <c r="K8" s="456" t="s">
        <v>850</v>
      </c>
      <c r="L8" s="456" t="s">
        <v>851</v>
      </c>
      <c r="M8" s="456" t="s">
        <v>852</v>
      </c>
      <c r="N8" s="456" t="s">
        <v>853</v>
      </c>
      <c r="O8" s="1404"/>
    </row>
    <row r="9" spans="1:25" s="29" customFormat="1" ht="15" x14ac:dyDescent="0.25">
      <c r="B9" s="1436"/>
      <c r="C9" s="1436"/>
      <c r="D9" s="1436"/>
      <c r="E9" s="97" t="s">
        <v>78</v>
      </c>
      <c r="F9" s="97" t="s">
        <v>79</v>
      </c>
      <c r="G9" s="97" t="s">
        <v>1198</v>
      </c>
      <c r="H9" s="97" t="s">
        <v>1199</v>
      </c>
      <c r="I9" s="1437"/>
      <c r="J9" s="1439"/>
      <c r="K9" s="456" t="s">
        <v>20</v>
      </c>
      <c r="L9" s="456" t="s">
        <v>20</v>
      </c>
      <c r="M9" s="456" t="s">
        <v>20</v>
      </c>
      <c r="N9" s="456" t="s">
        <v>20</v>
      </c>
      <c r="O9" s="1405"/>
    </row>
    <row r="10" spans="1:25" s="29" customFormat="1" ht="15.5" x14ac:dyDescent="0.25">
      <c r="B10" s="267"/>
      <c r="C10" s="252"/>
      <c r="D10" s="253"/>
      <c r="E10" s="253"/>
      <c r="F10" s="253"/>
      <c r="G10" s="253"/>
      <c r="H10" s="253"/>
      <c r="I10" s="253"/>
      <c r="J10" s="265"/>
      <c r="K10" s="265"/>
      <c r="L10" s="265"/>
      <c r="M10" s="265"/>
      <c r="N10" s="265"/>
      <c r="O10" s="265"/>
    </row>
    <row r="11" spans="1:25" s="29" customFormat="1" ht="15.5" x14ac:dyDescent="0.25">
      <c r="B11" s="244">
        <v>1</v>
      </c>
      <c r="C11" s="255" t="s">
        <v>93</v>
      </c>
      <c r="D11" s="244" t="s">
        <v>94</v>
      </c>
      <c r="E11" s="1181">
        <f>F11</f>
        <v>660</v>
      </c>
      <c r="F11" s="352">
        <f>F2.2!F11</f>
        <v>660</v>
      </c>
      <c r="G11" s="352">
        <f>F2.2!G11</f>
        <v>660</v>
      </c>
      <c r="H11" s="352">
        <f>G11-F11</f>
        <v>0</v>
      </c>
      <c r="I11" s="1369">
        <f>F2.2!$I$11</f>
        <v>660</v>
      </c>
      <c r="J11" s="1182">
        <f>G11</f>
        <v>660</v>
      </c>
      <c r="K11" s="1182">
        <f>J11</f>
        <v>660</v>
      </c>
      <c r="L11" s="1182">
        <f t="shared" ref="L11:N11" si="0">K11</f>
        <v>660</v>
      </c>
      <c r="M11" s="1182">
        <f t="shared" si="0"/>
        <v>660</v>
      </c>
      <c r="N11" s="1182">
        <f t="shared" si="0"/>
        <v>660</v>
      </c>
      <c r="O11" s="30"/>
    </row>
    <row r="12" spans="1:25" s="29" customFormat="1" ht="31" x14ac:dyDescent="0.25">
      <c r="B12" s="244">
        <v>2</v>
      </c>
      <c r="C12" s="255" t="s">
        <v>479</v>
      </c>
      <c r="D12" s="244"/>
      <c r="E12" s="351" t="s">
        <v>2882</v>
      </c>
      <c r="F12" s="351" t="s">
        <v>2882</v>
      </c>
      <c r="G12" s="351" t="s">
        <v>2882</v>
      </c>
      <c r="H12" s="351" t="s">
        <v>2882</v>
      </c>
      <c r="I12" s="351" t="s">
        <v>2882</v>
      </c>
      <c r="J12" s="351" t="s">
        <v>2882</v>
      </c>
      <c r="K12" s="351" t="s">
        <v>2882</v>
      </c>
      <c r="L12" s="351" t="s">
        <v>2882</v>
      </c>
      <c r="M12" s="351" t="s">
        <v>2882</v>
      </c>
      <c r="N12" s="351" t="s">
        <v>2882</v>
      </c>
      <c r="O12" s="265"/>
    </row>
    <row r="13" spans="1:25" s="29" customFormat="1" ht="15.5" x14ac:dyDescent="0.25">
      <c r="B13" s="244"/>
      <c r="C13" s="255"/>
      <c r="D13" s="244"/>
      <c r="E13" s="268"/>
      <c r="F13" s="351"/>
      <c r="G13" s="351"/>
      <c r="H13" s="351"/>
      <c r="I13" s="351"/>
      <c r="J13" s="351"/>
      <c r="K13" s="351"/>
      <c r="L13" s="351"/>
      <c r="M13" s="351"/>
      <c r="N13" s="351"/>
      <c r="O13" s="265"/>
    </row>
    <row r="14" spans="1:25" s="29" customFormat="1" ht="15.5" x14ac:dyDescent="0.25">
      <c r="B14" s="267">
        <v>2</v>
      </c>
      <c r="C14" s="272" t="s">
        <v>360</v>
      </c>
      <c r="D14" s="244"/>
      <c r="E14" s="268"/>
      <c r="F14" s="268"/>
      <c r="G14" s="268"/>
      <c r="H14" s="268"/>
      <c r="I14" s="268"/>
      <c r="J14" s="268"/>
      <c r="K14" s="268"/>
      <c r="L14" s="268"/>
      <c r="M14" s="268"/>
      <c r="N14" s="268"/>
      <c r="O14" s="265"/>
    </row>
    <row r="15" spans="1:25" s="318" customFormat="1" ht="15.5" x14ac:dyDescent="0.25">
      <c r="A15" s="29"/>
      <c r="B15" s="244">
        <f>B14+0.1</f>
        <v>2.1</v>
      </c>
      <c r="C15" s="320" t="s">
        <v>95</v>
      </c>
      <c r="D15" s="321" t="s">
        <v>96</v>
      </c>
      <c r="E15" s="373">
        <v>0.85</v>
      </c>
      <c r="F15" s="372">
        <f>E15</f>
        <v>0.85</v>
      </c>
      <c r="G15" s="372">
        <f>F15</f>
        <v>0.85</v>
      </c>
      <c r="H15" s="372">
        <f t="shared" ref="H15:H16" si="1">G15-F15</f>
        <v>0</v>
      </c>
      <c r="I15" s="372">
        <v>0.85</v>
      </c>
      <c r="J15" s="1183">
        <f>F2.2!J12</f>
        <v>0.85</v>
      </c>
      <c r="K15" s="1183">
        <f>F2.2!K12</f>
        <v>0.85</v>
      </c>
      <c r="L15" s="1183">
        <f>F2.2!L12</f>
        <v>0.85</v>
      </c>
      <c r="M15" s="1183">
        <f>F2.2!M12</f>
        <v>0.85</v>
      </c>
      <c r="N15" s="1183">
        <f>F2.2!N12</f>
        <v>0.85</v>
      </c>
      <c r="O15" s="345"/>
    </row>
    <row r="16" spans="1:25" s="29" customFormat="1" ht="15.5" x14ac:dyDescent="0.25">
      <c r="B16" s="244">
        <v>2.2000000000000002</v>
      </c>
      <c r="C16" s="255" t="s">
        <v>632</v>
      </c>
      <c r="D16" s="244" t="s">
        <v>96</v>
      </c>
      <c r="E16" s="373"/>
      <c r="F16" s="373">
        <f>G16</f>
        <v>0.51398977912589505</v>
      </c>
      <c r="G16" s="373">
        <f>F2.2!G13</f>
        <v>0.51398977912589505</v>
      </c>
      <c r="H16" s="373">
        <f t="shared" si="1"/>
        <v>0</v>
      </c>
      <c r="I16" s="373">
        <f>J16</f>
        <v>0.85</v>
      </c>
      <c r="J16" s="396">
        <v>0.85</v>
      </c>
      <c r="K16" s="396">
        <v>0.84</v>
      </c>
      <c r="L16" s="396">
        <v>0.85</v>
      </c>
      <c r="M16" s="396">
        <v>0.85</v>
      </c>
      <c r="N16" s="396">
        <v>0.85</v>
      </c>
      <c r="O16" s="1432" t="s">
        <v>2883</v>
      </c>
    </row>
    <row r="17" spans="1:15" s="29" customFormat="1" ht="15.5" x14ac:dyDescent="0.25">
      <c r="B17" s="244" t="s">
        <v>113</v>
      </c>
      <c r="C17" s="256" t="s">
        <v>597</v>
      </c>
      <c r="D17" s="244"/>
      <c r="E17" s="268"/>
      <c r="F17" s="373">
        <v>0.44819000000000003</v>
      </c>
      <c r="G17" s="373"/>
      <c r="H17" s="305"/>
      <c r="I17" s="305"/>
      <c r="J17" s="396">
        <v>0.89500000000000002</v>
      </c>
      <c r="K17" s="396">
        <v>0.89500000000000002</v>
      </c>
      <c r="L17" s="396">
        <v>0.89500000000000002</v>
      </c>
      <c r="M17" s="396">
        <v>0.89500000000000002</v>
      </c>
      <c r="N17" s="396">
        <v>0.89500000000000002</v>
      </c>
      <c r="O17" s="1433"/>
    </row>
    <row r="18" spans="1:15" s="29" customFormat="1" ht="15.5" x14ac:dyDescent="0.25">
      <c r="B18" s="244"/>
      <c r="C18" s="257" t="s">
        <v>598</v>
      </c>
      <c r="D18" s="244" t="s">
        <v>96</v>
      </c>
      <c r="E18" s="268"/>
      <c r="F18" s="373">
        <v>0.46249000000000001</v>
      </c>
      <c r="G18" s="373">
        <f>F2.2!G15</f>
        <v>0.46249000000000001</v>
      </c>
      <c r="H18" s="305">
        <f t="shared" ref="H18:H22" si="2">G18-F18</f>
        <v>0</v>
      </c>
      <c r="I18" s="305"/>
      <c r="J18" s="396">
        <v>0.89500000000000002</v>
      </c>
      <c r="K18" s="396">
        <v>0.89500000000000002</v>
      </c>
      <c r="L18" s="396">
        <v>0.89500000000000002</v>
      </c>
      <c r="M18" s="396">
        <v>0.89500000000000002</v>
      </c>
      <c r="N18" s="396">
        <v>0.89500000000000002</v>
      </c>
      <c r="O18" s="1433"/>
    </row>
    <row r="19" spans="1:15" s="29" customFormat="1" ht="15.5" x14ac:dyDescent="0.25">
      <c r="B19" s="244"/>
      <c r="C19" s="257" t="s">
        <v>599</v>
      </c>
      <c r="D19" s="244" t="s">
        <v>96</v>
      </c>
      <c r="E19" s="268"/>
      <c r="F19" s="373">
        <v>0.44533</v>
      </c>
      <c r="G19" s="373">
        <f>F2.2!G16</f>
        <v>0.44533</v>
      </c>
      <c r="H19" s="305">
        <f t="shared" si="2"/>
        <v>0</v>
      </c>
      <c r="I19" s="305"/>
      <c r="J19" s="396">
        <v>0.89500000000000002</v>
      </c>
      <c r="K19" s="396">
        <v>0.89500000000000002</v>
      </c>
      <c r="L19" s="396">
        <v>0.89500000000000002</v>
      </c>
      <c r="M19" s="396">
        <v>0.89500000000000002</v>
      </c>
      <c r="N19" s="396">
        <v>0.89500000000000002</v>
      </c>
      <c r="O19" s="1434"/>
    </row>
    <row r="20" spans="1:15" s="29" customFormat="1" ht="15.5" x14ac:dyDescent="0.25">
      <c r="B20" s="244" t="s">
        <v>115</v>
      </c>
      <c r="C20" s="256" t="s">
        <v>600</v>
      </c>
      <c r="D20" s="244"/>
      <c r="E20" s="268"/>
      <c r="F20" s="373">
        <v>0.81580999999999992</v>
      </c>
      <c r="G20" s="373"/>
      <c r="H20" s="305"/>
      <c r="I20" s="305"/>
      <c r="J20" s="396">
        <v>0.83499999999999996</v>
      </c>
      <c r="K20" s="396">
        <v>0.82250000000000001</v>
      </c>
      <c r="L20" s="396">
        <v>0.83499999999999996</v>
      </c>
      <c r="M20" s="396">
        <v>0.83499999999999996</v>
      </c>
      <c r="N20" s="396">
        <v>0.83499999999999996</v>
      </c>
      <c r="O20" s="265"/>
    </row>
    <row r="21" spans="1:15" s="29" customFormat="1" ht="15.5" x14ac:dyDescent="0.25">
      <c r="B21" s="244"/>
      <c r="C21" s="257" t="s">
        <v>598</v>
      </c>
      <c r="D21" s="244" t="s">
        <v>96</v>
      </c>
      <c r="E21" s="268"/>
      <c r="F21" s="373">
        <v>0.83346999999999993</v>
      </c>
      <c r="G21" s="373">
        <f>F2.2!G18</f>
        <v>0.83346999999999993</v>
      </c>
      <c r="H21" s="305">
        <f t="shared" si="2"/>
        <v>0</v>
      </c>
      <c r="I21" s="305"/>
      <c r="J21" s="396">
        <v>0.83499999999999996</v>
      </c>
      <c r="K21" s="396">
        <v>0.82250000000000001</v>
      </c>
      <c r="L21" s="396">
        <v>0.83499999999999996</v>
      </c>
      <c r="M21" s="396">
        <v>0.83499999999999996</v>
      </c>
      <c r="N21" s="396">
        <v>0.83499999999999996</v>
      </c>
      <c r="O21" s="265"/>
    </row>
    <row r="22" spans="1:15" s="29" customFormat="1" ht="15.5" x14ac:dyDescent="0.25">
      <c r="B22" s="244"/>
      <c r="C22" s="257" t="s">
        <v>599</v>
      </c>
      <c r="D22" s="244" t="s">
        <v>96</v>
      </c>
      <c r="E22" s="268"/>
      <c r="F22" s="373">
        <v>0.81228</v>
      </c>
      <c r="G22" s="373">
        <f>F2.2!G19</f>
        <v>0.81228</v>
      </c>
      <c r="H22" s="305">
        <f t="shared" si="2"/>
        <v>0</v>
      </c>
      <c r="I22" s="305"/>
      <c r="J22" s="396">
        <v>0.83499999999999996</v>
      </c>
      <c r="K22" s="396">
        <v>0.82250000000000001</v>
      </c>
      <c r="L22" s="396">
        <v>0.83499999999999996</v>
      </c>
      <c r="M22" s="396">
        <v>0.83499999999999996</v>
      </c>
      <c r="N22" s="396">
        <v>0.83499999999999996</v>
      </c>
      <c r="O22" s="265"/>
    </row>
    <row r="23" spans="1:15" s="29" customFormat="1" ht="15.5" x14ac:dyDescent="0.25">
      <c r="B23" s="244"/>
      <c r="C23" s="255"/>
      <c r="D23" s="244"/>
      <c r="E23" s="268"/>
      <c r="F23" s="373"/>
      <c r="G23" s="373"/>
      <c r="H23" s="373"/>
      <c r="I23" s="373"/>
      <c r="J23" s="396"/>
      <c r="K23" s="396"/>
      <c r="L23" s="396"/>
      <c r="M23" s="396"/>
      <c r="N23" s="396"/>
      <c r="O23" s="265"/>
    </row>
    <row r="24" spans="1:15" s="29" customFormat="1" ht="15.5" x14ac:dyDescent="0.25">
      <c r="B24" s="267">
        <v>3</v>
      </c>
      <c r="C24" s="272" t="s">
        <v>361</v>
      </c>
      <c r="D24" s="244"/>
      <c r="E24" s="268"/>
      <c r="F24" s="373"/>
      <c r="G24" s="373"/>
      <c r="H24" s="373"/>
      <c r="I24" s="373"/>
      <c r="J24" s="396"/>
      <c r="K24" s="396"/>
      <c r="L24" s="396"/>
      <c r="M24" s="396"/>
      <c r="N24" s="396"/>
      <c r="O24" s="265"/>
    </row>
    <row r="25" spans="1:15" s="249" customFormat="1" ht="15.5" x14ac:dyDescent="0.25">
      <c r="A25" s="29"/>
      <c r="B25" s="274">
        <f>B24+0.1</f>
        <v>3.1</v>
      </c>
      <c r="C25" s="273" t="s">
        <v>97</v>
      </c>
      <c r="D25" s="266" t="s">
        <v>96</v>
      </c>
      <c r="E25" s="373">
        <f>F25</f>
        <v>0.85</v>
      </c>
      <c r="F25" s="372">
        <v>0.85</v>
      </c>
      <c r="G25" s="373">
        <f>F25</f>
        <v>0.85</v>
      </c>
      <c r="H25" s="373">
        <f>G25-F25</f>
        <v>0</v>
      </c>
      <c r="I25" s="372">
        <v>0.85</v>
      </c>
      <c r="J25" s="396">
        <f>F2.2!J20</f>
        <v>0.85</v>
      </c>
      <c r="K25" s="396">
        <f>F2.2!K20</f>
        <v>0.85</v>
      </c>
      <c r="L25" s="396">
        <f>F2.2!L20</f>
        <v>0.85</v>
      </c>
      <c r="M25" s="396">
        <f>F2.2!M20</f>
        <v>0.85</v>
      </c>
      <c r="N25" s="396">
        <f>F2.2!N20</f>
        <v>0.85</v>
      </c>
      <c r="O25" s="322"/>
    </row>
    <row r="26" spans="1:15" s="323" customFormat="1" ht="15.5" x14ac:dyDescent="0.25">
      <c r="A26" s="29"/>
      <c r="B26" s="319">
        <v>3.2</v>
      </c>
      <c r="C26" s="320" t="s">
        <v>635</v>
      </c>
      <c r="D26" s="321" t="s">
        <v>96</v>
      </c>
      <c r="E26" s="373"/>
      <c r="F26" s="373">
        <v>0.54333295258885095</v>
      </c>
      <c r="G26" s="373">
        <f>F2.2!G21</f>
        <v>0.54333295258885095</v>
      </c>
      <c r="H26" s="373">
        <f>G26-F26</f>
        <v>0</v>
      </c>
      <c r="I26" s="373">
        <f>J26</f>
        <v>0.71713625985886253</v>
      </c>
      <c r="J26" s="396">
        <f>F2.2!J21</f>
        <v>0.71713625985886253</v>
      </c>
      <c r="K26" s="396">
        <f>F2.2!K21</f>
        <v>0.85000000000000009</v>
      </c>
      <c r="L26" s="396">
        <f>F2.2!L21</f>
        <v>0.85</v>
      </c>
      <c r="M26" s="396">
        <f>F2.2!M21</f>
        <v>0.85000000000000009</v>
      </c>
      <c r="N26" s="396">
        <f>F2.2!N21</f>
        <v>0.85000000000000009</v>
      </c>
      <c r="O26" s="322"/>
    </row>
    <row r="27" spans="1:15" s="29" customFormat="1" ht="15.5" x14ac:dyDescent="0.25">
      <c r="B27" s="244">
        <v>3.3</v>
      </c>
      <c r="C27" s="258" t="s">
        <v>628</v>
      </c>
      <c r="D27" s="244" t="s">
        <v>96</v>
      </c>
      <c r="E27" s="268"/>
      <c r="F27" s="373">
        <v>0.50367383171375912</v>
      </c>
      <c r="G27" s="305"/>
      <c r="H27" s="305">
        <f>G27-F27</f>
        <v>-0.50367383171375912</v>
      </c>
      <c r="I27" s="305">
        <f>J27</f>
        <v>0.71713625985886253</v>
      </c>
      <c r="J27" s="396">
        <f>J26</f>
        <v>0.71713625985886253</v>
      </c>
      <c r="K27" s="396">
        <f t="shared" ref="K27:N27" si="3">K26</f>
        <v>0.85000000000000009</v>
      </c>
      <c r="L27" s="396">
        <f t="shared" si="3"/>
        <v>0.85</v>
      </c>
      <c r="M27" s="396">
        <f t="shared" si="3"/>
        <v>0.85000000000000009</v>
      </c>
      <c r="N27" s="396">
        <f t="shared" si="3"/>
        <v>0.85000000000000009</v>
      </c>
      <c r="O27" s="265"/>
    </row>
    <row r="28" spans="1:15" s="29" customFormat="1" ht="15.5" x14ac:dyDescent="0.25">
      <c r="B28" s="244"/>
      <c r="C28" s="255"/>
      <c r="D28" s="244"/>
      <c r="E28" s="268"/>
      <c r="F28" s="268"/>
      <c r="G28" s="268"/>
      <c r="H28" s="268"/>
      <c r="I28" s="268"/>
      <c r="J28" s="269"/>
      <c r="K28" s="269"/>
      <c r="L28" s="269"/>
      <c r="M28" s="269"/>
      <c r="N28" s="269"/>
      <c r="O28" s="265"/>
    </row>
    <row r="29" spans="1:15" s="29" customFormat="1" ht="15.5" x14ac:dyDescent="0.25">
      <c r="B29" s="267">
        <v>4</v>
      </c>
      <c r="C29" s="272" t="s">
        <v>155</v>
      </c>
      <c r="D29" s="244"/>
      <c r="E29" s="268"/>
      <c r="F29" s="268"/>
      <c r="G29" s="268"/>
      <c r="H29" s="268"/>
      <c r="I29" s="268"/>
      <c r="J29" s="269"/>
      <c r="K29" s="269"/>
      <c r="L29" s="269"/>
      <c r="M29" s="269"/>
      <c r="N29" s="269"/>
      <c r="O29" s="265"/>
    </row>
    <row r="30" spans="1:15" s="29" customFormat="1" ht="15.5" x14ac:dyDescent="0.25">
      <c r="B30" s="244">
        <f>B29+0.1</f>
        <v>4.0999999999999996</v>
      </c>
      <c r="C30" s="255" t="s">
        <v>636</v>
      </c>
      <c r="D30" s="244" t="s">
        <v>98</v>
      </c>
      <c r="E30" s="378">
        <v>807.84</v>
      </c>
      <c r="F30" s="351">
        <f>G30</f>
        <v>308.238</v>
      </c>
      <c r="G30" s="351">
        <f>F2.2!G23</f>
        <v>308.238</v>
      </c>
      <c r="H30" s="351">
        <f>G30-F30</f>
        <v>0</v>
      </c>
      <c r="I30" s="351">
        <f>J30</f>
        <v>4146.1949999999997</v>
      </c>
      <c r="J30" s="287">
        <f>F2.2!J23</f>
        <v>4146.1949999999997</v>
      </c>
      <c r="K30" s="287">
        <f>F2.2!K23</f>
        <v>4914.3600000000006</v>
      </c>
      <c r="L30" s="287">
        <f>F2.2!L23</f>
        <v>4927.8239999999996</v>
      </c>
      <c r="M30" s="287">
        <f>F2.2!M23</f>
        <v>4914.3600000000006</v>
      </c>
      <c r="N30" s="287">
        <f>F2.2!N23</f>
        <v>4914.3600000000006</v>
      </c>
      <c r="O30" s="265"/>
    </row>
    <row r="31" spans="1:15" s="29" customFormat="1" ht="15.5" x14ac:dyDescent="0.25">
      <c r="B31" s="244">
        <v>4.2</v>
      </c>
      <c r="C31" s="255" t="s">
        <v>641</v>
      </c>
      <c r="D31" s="244" t="s">
        <v>98</v>
      </c>
      <c r="E31" s="378"/>
      <c r="F31" s="367">
        <f>Assumptions!G19</f>
        <v>308.238</v>
      </c>
      <c r="G31" s="367">
        <v>285.73899999999998</v>
      </c>
      <c r="H31" s="367"/>
      <c r="I31" s="367"/>
      <c r="J31" s="287">
        <f>F2.2!J24</f>
        <v>0</v>
      </c>
      <c r="K31" s="287">
        <f>F2.2!K24</f>
        <v>0</v>
      </c>
      <c r="L31" s="287">
        <f>F2.2!L24</f>
        <v>0</v>
      </c>
      <c r="M31" s="287">
        <f>F2.2!M24</f>
        <v>0</v>
      </c>
      <c r="N31" s="287">
        <f>F2.2!N24</f>
        <v>0</v>
      </c>
      <c r="O31" s="265"/>
    </row>
    <row r="32" spans="1:15" s="29" customFormat="1" ht="15.5" x14ac:dyDescent="0.25">
      <c r="B32" s="244"/>
      <c r="C32" s="259"/>
      <c r="D32" s="244"/>
      <c r="E32" s="268"/>
      <c r="F32" s="173"/>
      <c r="G32" s="394"/>
      <c r="H32" s="173"/>
      <c r="I32" s="173"/>
      <c r="J32" s="343"/>
      <c r="K32" s="343"/>
      <c r="L32" s="343"/>
      <c r="M32" s="343"/>
      <c r="N32" s="343"/>
      <c r="O32" s="265"/>
    </row>
    <row r="33" spans="1:15" s="29" customFormat="1" ht="15.5" x14ac:dyDescent="0.25">
      <c r="B33" s="267">
        <v>5</v>
      </c>
      <c r="C33" s="275" t="s">
        <v>345</v>
      </c>
      <c r="D33" s="244"/>
      <c r="E33" s="268"/>
      <c r="F33" s="173"/>
      <c r="G33" s="394"/>
      <c r="H33" s="173"/>
      <c r="I33" s="173"/>
      <c r="J33" s="343"/>
      <c r="K33" s="343"/>
      <c r="L33" s="343"/>
      <c r="M33" s="343"/>
      <c r="N33" s="343"/>
      <c r="O33" s="265"/>
    </row>
    <row r="34" spans="1:15" s="377" customFormat="1" ht="31" x14ac:dyDescent="0.25">
      <c r="A34" s="29"/>
      <c r="B34" s="374">
        <f>B33+0.1</f>
        <v>5.0999999999999996</v>
      </c>
      <c r="C34" s="375" t="s">
        <v>871</v>
      </c>
      <c r="D34" s="373" t="s">
        <v>96</v>
      </c>
      <c r="E34" s="373">
        <v>5.7500000000000002E-2</v>
      </c>
      <c r="F34" s="372">
        <f>Assumptions!G37</f>
        <v>5.7500000000000002E-2</v>
      </c>
      <c r="G34" s="372">
        <f>F34</f>
        <v>5.7500000000000002E-2</v>
      </c>
      <c r="H34" s="372"/>
      <c r="I34" s="372">
        <v>5.7500000000000002E-2</v>
      </c>
      <c r="J34" s="372">
        <f>F2.2!J25</f>
        <v>5.7500000000000002E-2</v>
      </c>
      <c r="K34" s="372">
        <f>F2.2!K25</f>
        <v>5.7500000000000002E-2</v>
      </c>
      <c r="L34" s="372">
        <f>F2.2!L25</f>
        <v>5.7500000000000002E-2</v>
      </c>
      <c r="M34" s="372">
        <f>F2.2!M25</f>
        <v>5.7500000000000002E-2</v>
      </c>
      <c r="N34" s="372">
        <f>F2.2!N25</f>
        <v>5.7500000000000002E-2</v>
      </c>
      <c r="O34" s="376"/>
    </row>
    <row r="35" spans="1:15" s="29" customFormat="1" ht="45.65" customHeight="1" x14ac:dyDescent="0.25">
      <c r="B35" s="244">
        <v>5.2</v>
      </c>
      <c r="C35" s="259" t="s">
        <v>637</v>
      </c>
      <c r="D35" s="244" t="s">
        <v>96</v>
      </c>
      <c r="E35" s="268"/>
      <c r="F35" s="372">
        <f>Assumptions!G39</f>
        <v>0</v>
      </c>
      <c r="G35" s="372">
        <f>F35</f>
        <v>0</v>
      </c>
      <c r="H35" s="245"/>
      <c r="I35" s="245"/>
      <c r="J35" s="372">
        <f>F2.2!J26</f>
        <v>0</v>
      </c>
      <c r="K35" s="372">
        <f>F2.2!K26</f>
        <v>0</v>
      </c>
      <c r="L35" s="372">
        <f>F2.2!L26</f>
        <v>0</v>
      </c>
      <c r="M35" s="372">
        <f>F2.2!M26</f>
        <v>0</v>
      </c>
      <c r="N35" s="372">
        <f>F2.2!N26</f>
        <v>0</v>
      </c>
      <c r="O35" s="265"/>
    </row>
    <row r="36" spans="1:15" s="29" customFormat="1" ht="31" x14ac:dyDescent="0.25">
      <c r="B36" s="244"/>
      <c r="C36" s="259" t="s">
        <v>862</v>
      </c>
      <c r="D36" s="244" t="s">
        <v>96</v>
      </c>
      <c r="E36" s="268"/>
      <c r="F36" s="372">
        <f>Assumptions!G40</f>
        <v>0</v>
      </c>
      <c r="G36" s="372">
        <f>F36</f>
        <v>0</v>
      </c>
      <c r="H36" s="245"/>
      <c r="I36" s="245"/>
      <c r="J36" s="372">
        <f>F2.2!J27</f>
        <v>0</v>
      </c>
      <c r="K36" s="372">
        <f>F2.2!K27</f>
        <v>1E-3</v>
      </c>
      <c r="L36" s="372">
        <f>F2.2!L27</f>
        <v>2E-3</v>
      </c>
      <c r="M36" s="372">
        <f>F2.2!M27</f>
        <v>2E-3</v>
      </c>
      <c r="N36" s="372">
        <f>F2.2!N27</f>
        <v>2E-3</v>
      </c>
      <c r="O36" s="265"/>
    </row>
    <row r="37" spans="1:15" s="29" customFormat="1" ht="15.5" x14ac:dyDescent="0.25">
      <c r="B37" s="244"/>
      <c r="C37" s="259" t="s">
        <v>863</v>
      </c>
      <c r="D37" s="244" t="s">
        <v>96</v>
      </c>
      <c r="E37" s="1184">
        <f>SUM(E34:E36)</f>
        <v>5.7500000000000002E-2</v>
      </c>
      <c r="F37" s="356">
        <f>SUM(F34:F36)</f>
        <v>5.7500000000000002E-2</v>
      </c>
      <c r="G37" s="356">
        <f>SUM(G34:G36)</f>
        <v>5.7500000000000002E-2</v>
      </c>
      <c r="H37" s="245"/>
      <c r="I37" s="356">
        <f>SUM(I34:I36)</f>
        <v>5.7500000000000002E-2</v>
      </c>
      <c r="J37" s="356">
        <f t="shared" ref="J37:N37" si="4">SUM(J34:J36)</f>
        <v>5.7500000000000002E-2</v>
      </c>
      <c r="K37" s="356">
        <f t="shared" si="4"/>
        <v>5.8500000000000003E-2</v>
      </c>
      <c r="L37" s="356">
        <f t="shared" si="4"/>
        <v>5.9500000000000004E-2</v>
      </c>
      <c r="M37" s="356">
        <f t="shared" si="4"/>
        <v>5.9500000000000004E-2</v>
      </c>
      <c r="N37" s="356">
        <f t="shared" si="4"/>
        <v>5.9500000000000004E-2</v>
      </c>
      <c r="O37" s="265"/>
    </row>
    <row r="38" spans="1:15" s="29" customFormat="1" ht="31" x14ac:dyDescent="0.25">
      <c r="B38" s="244">
        <v>5.3</v>
      </c>
      <c r="C38" s="259" t="s">
        <v>872</v>
      </c>
      <c r="D38" s="244" t="s">
        <v>96</v>
      </c>
      <c r="E38" s="1184"/>
      <c r="F38" s="373">
        <f>F34</f>
        <v>5.7500000000000002E-2</v>
      </c>
      <c r="G38" s="373">
        <f>F2.2!G29</f>
        <v>9.5600000000000004E-2</v>
      </c>
      <c r="H38" s="373">
        <f>G38-F38</f>
        <v>3.8100000000000002E-2</v>
      </c>
      <c r="I38" s="373">
        <f>I34</f>
        <v>5.7500000000000002E-2</v>
      </c>
      <c r="J38" s="372">
        <f>F2.2!J29</f>
        <v>7.0479112561758386E-2</v>
      </c>
      <c r="K38" s="372">
        <f>F2.2!K29</f>
        <v>5.7500000000000002E-2</v>
      </c>
      <c r="L38" s="372">
        <f>F2.2!L29</f>
        <v>5.7500000000000002E-2</v>
      </c>
      <c r="M38" s="372">
        <f>F2.2!M29</f>
        <v>5.7500000000000002E-2</v>
      </c>
      <c r="N38" s="372">
        <f>F2.2!N29</f>
        <v>5.7500000000000002E-2</v>
      </c>
      <c r="O38" s="265"/>
    </row>
    <row r="39" spans="1:15" s="29" customFormat="1" ht="31" x14ac:dyDescent="0.25">
      <c r="B39" s="244">
        <v>5.4</v>
      </c>
      <c r="C39" s="259" t="s">
        <v>873</v>
      </c>
      <c r="D39" s="244" t="s">
        <v>96</v>
      </c>
      <c r="E39" s="268"/>
      <c r="F39" s="373">
        <f t="shared" ref="F39:F40" si="5">F35</f>
        <v>0</v>
      </c>
      <c r="G39" s="373">
        <f>F2.2!G30</f>
        <v>0</v>
      </c>
      <c r="H39" s="373">
        <f t="shared" ref="H39:H41" si="6">G39-F39</f>
        <v>0</v>
      </c>
      <c r="I39" s="373">
        <f t="shared" ref="I39:I40" si="7">I35</f>
        <v>0</v>
      </c>
      <c r="J39" s="373"/>
      <c r="K39" s="373">
        <f>F2.2!K30</f>
        <v>0</v>
      </c>
      <c r="L39" s="373">
        <f>F2.2!L30</f>
        <v>0</v>
      </c>
      <c r="M39" s="373">
        <f>F2.2!M30</f>
        <v>0</v>
      </c>
      <c r="N39" s="373">
        <f>F2.2!N30</f>
        <v>0</v>
      </c>
      <c r="O39" s="265"/>
    </row>
    <row r="40" spans="1:15" s="29" customFormat="1" ht="31" x14ac:dyDescent="0.25">
      <c r="B40" s="244"/>
      <c r="C40" s="259" t="s">
        <v>874</v>
      </c>
      <c r="D40" s="244" t="s">
        <v>96</v>
      </c>
      <c r="E40" s="268"/>
      <c r="F40" s="373">
        <f t="shared" si="5"/>
        <v>0</v>
      </c>
      <c r="G40" s="373">
        <f>F2.2!G31</f>
        <v>0</v>
      </c>
      <c r="H40" s="373">
        <f t="shared" si="6"/>
        <v>0</v>
      </c>
      <c r="I40" s="373">
        <f t="shared" si="7"/>
        <v>0</v>
      </c>
      <c r="J40" s="373"/>
      <c r="K40" s="373">
        <f>F2.2!K31</f>
        <v>1E-3</v>
      </c>
      <c r="L40" s="373">
        <f>F2.2!L31</f>
        <v>2E-3</v>
      </c>
      <c r="M40" s="373">
        <f>F2.2!M31</f>
        <v>2E-3</v>
      </c>
      <c r="N40" s="373">
        <f>F2.2!N31</f>
        <v>2E-3</v>
      </c>
      <c r="O40" s="265"/>
    </row>
    <row r="41" spans="1:15" s="29" customFormat="1" ht="15.5" x14ac:dyDescent="0.25">
      <c r="B41" s="244"/>
      <c r="C41" s="259" t="s">
        <v>875</v>
      </c>
      <c r="D41" s="244"/>
      <c r="E41" s="305"/>
      <c r="F41" s="305">
        <f>SUM(F38:F40)</f>
        <v>5.7500000000000002E-2</v>
      </c>
      <c r="G41" s="305">
        <f>SUM(G38:G40)</f>
        <v>9.5600000000000004E-2</v>
      </c>
      <c r="H41" s="373">
        <f t="shared" si="6"/>
        <v>3.8100000000000002E-2</v>
      </c>
      <c r="I41" s="305">
        <f>SUM(I38:I40)</f>
        <v>5.7500000000000002E-2</v>
      </c>
      <c r="J41" s="305">
        <f>SUM(J38:J40)</f>
        <v>7.0479112561758386E-2</v>
      </c>
      <c r="K41" s="373"/>
      <c r="L41" s="373"/>
      <c r="M41" s="373"/>
      <c r="N41" s="373"/>
      <c r="O41" s="265"/>
    </row>
    <row r="42" spans="1:15" s="29" customFormat="1" ht="31" x14ac:dyDescent="0.25">
      <c r="B42" s="268">
        <v>5.5</v>
      </c>
      <c r="C42" s="286" t="s">
        <v>876</v>
      </c>
      <c r="D42" s="268" t="s">
        <v>98</v>
      </c>
      <c r="E42" s="351">
        <f>E$30*E37</f>
        <v>46.450800000000001</v>
      </c>
      <c r="F42" s="351">
        <f>F$30*F38</f>
        <v>17.723685</v>
      </c>
      <c r="G42" s="351">
        <f>G$30*G38</f>
        <v>29.4675528</v>
      </c>
      <c r="H42" s="351">
        <f t="shared" ref="H42:H45" si="8">G42-F42</f>
        <v>11.7438678</v>
      </c>
      <c r="I42" s="351">
        <f>I$30*I38</f>
        <v>238.40621249999998</v>
      </c>
      <c r="J42" s="351">
        <f>J$30*J38</f>
        <v>292.22014410799977</v>
      </c>
      <c r="K42" s="351">
        <f t="shared" ref="K42:N42" si="9">K$30*K38</f>
        <v>282.57570000000004</v>
      </c>
      <c r="L42" s="351">
        <f t="shared" si="9"/>
        <v>283.34987999999998</v>
      </c>
      <c r="M42" s="351">
        <f t="shared" si="9"/>
        <v>282.57570000000004</v>
      </c>
      <c r="N42" s="351">
        <f t="shared" si="9"/>
        <v>282.57570000000004</v>
      </c>
      <c r="O42" s="265"/>
    </row>
    <row r="43" spans="1:15" s="29" customFormat="1" ht="31" x14ac:dyDescent="0.25">
      <c r="B43" s="268"/>
      <c r="C43" s="259" t="s">
        <v>877</v>
      </c>
      <c r="D43" s="268" t="s">
        <v>98</v>
      </c>
      <c r="E43" s="268"/>
      <c r="F43" s="351">
        <f t="shared" ref="F43:G44" si="10">F$30*F39</f>
        <v>0</v>
      </c>
      <c r="G43" s="351">
        <f t="shared" si="10"/>
        <v>0</v>
      </c>
      <c r="H43" s="351">
        <f t="shared" si="8"/>
        <v>0</v>
      </c>
      <c r="I43" s="351">
        <f t="shared" ref="I43" si="11">I$30*I39</f>
        <v>0</v>
      </c>
      <c r="J43" s="351">
        <f t="shared" ref="J43:N43" si="12">J$30*J39</f>
        <v>0</v>
      </c>
      <c r="K43" s="351">
        <f t="shared" si="12"/>
        <v>0</v>
      </c>
      <c r="L43" s="351">
        <f t="shared" si="12"/>
        <v>0</v>
      </c>
      <c r="M43" s="351">
        <f t="shared" si="12"/>
        <v>0</v>
      </c>
      <c r="N43" s="351">
        <f t="shared" si="12"/>
        <v>0</v>
      </c>
      <c r="O43" s="265"/>
    </row>
    <row r="44" spans="1:15" s="29" customFormat="1" ht="31" x14ac:dyDescent="0.25">
      <c r="B44" s="268"/>
      <c r="C44" s="259" t="s">
        <v>878</v>
      </c>
      <c r="D44" s="268" t="s">
        <v>98</v>
      </c>
      <c r="E44" s="268"/>
      <c r="F44" s="351">
        <f t="shared" si="10"/>
        <v>0</v>
      </c>
      <c r="G44" s="351">
        <f t="shared" si="10"/>
        <v>0</v>
      </c>
      <c r="H44" s="351">
        <f t="shared" si="8"/>
        <v>0</v>
      </c>
      <c r="I44" s="351">
        <f t="shared" ref="I44" si="13">I$30*I40</f>
        <v>0</v>
      </c>
      <c r="J44" s="351">
        <f t="shared" ref="J44:N44" si="14">J$30*J40</f>
        <v>0</v>
      </c>
      <c r="K44" s="351">
        <f t="shared" si="14"/>
        <v>4.9143600000000003</v>
      </c>
      <c r="L44" s="351">
        <f t="shared" si="14"/>
        <v>9.8556479999999986</v>
      </c>
      <c r="M44" s="351">
        <f t="shared" si="14"/>
        <v>9.8287200000000006</v>
      </c>
      <c r="N44" s="351">
        <f t="shared" si="14"/>
        <v>9.8287200000000006</v>
      </c>
      <c r="O44" s="265"/>
    </row>
    <row r="45" spans="1:15" s="29" customFormat="1" ht="31" x14ac:dyDescent="0.25">
      <c r="B45" s="244">
        <v>5.6</v>
      </c>
      <c r="C45" s="259" t="s">
        <v>879</v>
      </c>
      <c r="D45" s="244" t="s">
        <v>98</v>
      </c>
      <c r="E45" s="367">
        <f>SUM(E42:E44)</f>
        <v>46.450800000000001</v>
      </c>
      <c r="F45" s="367">
        <f>SUM(F42:F44)</f>
        <v>17.723685</v>
      </c>
      <c r="G45" s="367">
        <f>SUM(G42:G44)</f>
        <v>29.4675528</v>
      </c>
      <c r="H45" s="351">
        <f t="shared" si="8"/>
        <v>11.7438678</v>
      </c>
      <c r="I45" s="367">
        <f>SUM(I42:I44)</f>
        <v>238.40621249999998</v>
      </c>
      <c r="J45" s="367">
        <f t="shared" ref="J45:N45" si="15">SUM(J42:J44)</f>
        <v>292.22014410799977</v>
      </c>
      <c r="K45" s="367">
        <f t="shared" si="15"/>
        <v>287.49006000000003</v>
      </c>
      <c r="L45" s="367">
        <f t="shared" si="15"/>
        <v>293.20552799999996</v>
      </c>
      <c r="M45" s="367">
        <f t="shared" si="15"/>
        <v>292.40442000000002</v>
      </c>
      <c r="N45" s="367">
        <f t="shared" si="15"/>
        <v>292.40442000000002</v>
      </c>
      <c r="O45" s="265"/>
    </row>
    <row r="46" spans="1:15" s="29" customFormat="1" ht="15.5" x14ac:dyDescent="0.25">
      <c r="B46" s="244"/>
      <c r="C46" s="259"/>
      <c r="D46" s="244"/>
      <c r="E46" s="268"/>
      <c r="F46" s="351"/>
      <c r="G46" s="351"/>
      <c r="H46" s="351"/>
      <c r="I46" s="351"/>
      <c r="J46" s="351"/>
      <c r="K46" s="351"/>
      <c r="L46" s="351"/>
      <c r="M46" s="351"/>
      <c r="N46" s="351"/>
      <c r="O46" s="265"/>
    </row>
    <row r="47" spans="1:15" s="29" customFormat="1" ht="15.5" x14ac:dyDescent="0.25">
      <c r="B47" s="267">
        <v>6</v>
      </c>
      <c r="C47" s="275" t="s">
        <v>99</v>
      </c>
      <c r="D47" s="244"/>
      <c r="E47" s="268"/>
      <c r="F47" s="351"/>
      <c r="G47" s="351"/>
      <c r="H47" s="351"/>
      <c r="I47" s="351"/>
      <c r="J47" s="351"/>
      <c r="K47" s="351"/>
      <c r="L47" s="351"/>
      <c r="M47" s="351"/>
      <c r="N47" s="351"/>
      <c r="O47" s="265"/>
    </row>
    <row r="48" spans="1:15" s="29" customFormat="1" ht="15.5" x14ac:dyDescent="0.25">
      <c r="B48" s="268">
        <v>6.1</v>
      </c>
      <c r="C48" s="258" t="s">
        <v>639</v>
      </c>
      <c r="D48" s="268" t="s">
        <v>98</v>
      </c>
      <c r="E48" s="378">
        <v>761.39</v>
      </c>
      <c r="F48" s="351">
        <f>F30-F45</f>
        <v>290.51431500000001</v>
      </c>
      <c r="G48" s="351">
        <f>G30-$G$45</f>
        <v>278.77044719999998</v>
      </c>
      <c r="H48" s="351">
        <f>G48-F48</f>
        <v>-11.743867800000032</v>
      </c>
      <c r="I48" s="351">
        <f>I30-I45</f>
        <v>3907.7887874999997</v>
      </c>
      <c r="J48" s="351">
        <f t="shared" ref="J48:N48" si="16">J30-J45</f>
        <v>3853.9748558920001</v>
      </c>
      <c r="K48" s="351">
        <f t="shared" si="16"/>
        <v>4626.8699400000005</v>
      </c>
      <c r="L48" s="351">
        <f t="shared" si="16"/>
        <v>4634.6184720000001</v>
      </c>
      <c r="M48" s="351">
        <f t="shared" si="16"/>
        <v>4621.9555800000007</v>
      </c>
      <c r="N48" s="351">
        <f t="shared" si="16"/>
        <v>4621.9555800000007</v>
      </c>
      <c r="O48" s="265"/>
    </row>
    <row r="49" spans="2:24" s="29" customFormat="1" ht="15.5" x14ac:dyDescent="0.25">
      <c r="B49" s="244">
        <v>6.2</v>
      </c>
      <c r="C49" s="255" t="s">
        <v>640</v>
      </c>
      <c r="D49" s="244" t="s">
        <v>98</v>
      </c>
      <c r="E49" s="378"/>
      <c r="F49" s="367"/>
      <c r="G49" s="351">
        <f>G31-$G$45</f>
        <v>256.27144719999995</v>
      </c>
      <c r="H49" s="367">
        <f>G49-F49</f>
        <v>256.27144719999995</v>
      </c>
      <c r="I49" s="367"/>
      <c r="J49" s="367"/>
      <c r="K49" s="367"/>
      <c r="L49" s="367"/>
      <c r="M49" s="367"/>
      <c r="N49" s="367"/>
      <c r="O49" s="265"/>
    </row>
    <row r="50" spans="2:24" s="29" customFormat="1" ht="15.5" x14ac:dyDescent="0.25">
      <c r="B50" s="244"/>
      <c r="C50" s="259"/>
      <c r="D50" s="244"/>
      <c r="E50" s="268"/>
      <c r="F50" s="352"/>
      <c r="G50" s="352"/>
      <c r="H50" s="352"/>
      <c r="I50" s="352"/>
      <c r="J50" s="352"/>
      <c r="K50" s="352"/>
      <c r="L50" s="352"/>
      <c r="M50" s="352"/>
      <c r="N50" s="352"/>
      <c r="O50" s="265"/>
    </row>
    <row r="51" spans="2:24" s="29" customFormat="1" ht="15.5" x14ac:dyDescent="0.25">
      <c r="B51" s="267">
        <v>7</v>
      </c>
      <c r="C51" s="275" t="s">
        <v>426</v>
      </c>
      <c r="D51" s="244"/>
      <c r="E51" s="268"/>
      <c r="F51" s="352"/>
      <c r="G51" s="352"/>
      <c r="H51" s="352"/>
      <c r="I51" s="352"/>
      <c r="J51" s="352"/>
      <c r="K51" s="352"/>
      <c r="L51" s="352"/>
      <c r="M51" s="352"/>
      <c r="N51" s="352"/>
      <c r="O51" s="265"/>
    </row>
    <row r="52" spans="2:24" s="29" customFormat="1" ht="15.5" x14ac:dyDescent="0.25">
      <c r="B52" s="244">
        <f>B51+0.1</f>
        <v>7.1</v>
      </c>
      <c r="C52" s="259" t="s">
        <v>100</v>
      </c>
      <c r="D52" s="244" t="s">
        <v>101</v>
      </c>
      <c r="E52" s="378">
        <v>2139.0500000000002</v>
      </c>
      <c r="F52" s="352">
        <f>F2.2!F39</f>
        <v>2139.0500000000002</v>
      </c>
      <c r="G52" s="352"/>
      <c r="H52" s="352"/>
      <c r="I52" s="352">
        <f>F2.2!$I$39</f>
        <v>2139.0500000000002</v>
      </c>
      <c r="J52" s="352">
        <f>F2.2!J39</f>
        <v>2139.0500000000002</v>
      </c>
      <c r="K52" s="352">
        <f>F2.2!K39</f>
        <v>2139.0500000000002</v>
      </c>
      <c r="L52" s="352">
        <f>F2.2!L39</f>
        <v>2139.0500000000002</v>
      </c>
      <c r="M52" s="352">
        <f>F2.2!M39</f>
        <v>2139.0500000000002</v>
      </c>
      <c r="N52" s="352">
        <f>F2.2!N39</f>
        <v>2139.0500000000002</v>
      </c>
      <c r="O52" s="265"/>
    </row>
    <row r="53" spans="2:24" s="29" customFormat="1" ht="15.5" x14ac:dyDescent="0.25">
      <c r="B53" s="244">
        <f>B52+0.1</f>
        <v>7.1999999999999993</v>
      </c>
      <c r="C53" s="255" t="s">
        <v>306</v>
      </c>
      <c r="D53" s="244" t="s">
        <v>101</v>
      </c>
      <c r="E53" s="378"/>
      <c r="F53" s="352"/>
      <c r="G53" s="352">
        <f>F2.2!G40</f>
        <v>2419.8421362534796</v>
      </c>
      <c r="H53" s="352">
        <f>G53-F52</f>
        <v>280.79213625347938</v>
      </c>
      <c r="I53" s="352"/>
      <c r="J53" s="352">
        <f>F2.2!J40</f>
        <v>2301.2570264392934</v>
      </c>
      <c r="K53" s="352">
        <f>F2.2!K40</f>
        <v>2139.0500000000002</v>
      </c>
      <c r="L53" s="352">
        <f>F2.2!L40</f>
        <v>2139.0500000000002</v>
      </c>
      <c r="M53" s="352">
        <f>F2.2!M40</f>
        <v>2139.0500000000002</v>
      </c>
      <c r="N53" s="352">
        <f>F2.2!N40</f>
        <v>2139.0500000000002</v>
      </c>
      <c r="O53" s="265"/>
    </row>
    <row r="54" spans="2:24" s="29" customFormat="1" ht="15.5" x14ac:dyDescent="0.25">
      <c r="B54" s="244"/>
      <c r="C54" s="255"/>
      <c r="D54" s="244"/>
      <c r="E54" s="268"/>
      <c r="F54" s="352"/>
      <c r="G54" s="352"/>
      <c r="H54" s="352"/>
      <c r="I54" s="352"/>
      <c r="J54" s="352"/>
      <c r="K54" s="352"/>
      <c r="L54" s="352"/>
      <c r="M54" s="352"/>
      <c r="N54" s="352"/>
      <c r="O54" s="265"/>
    </row>
    <row r="55" spans="2:24" s="29" customFormat="1" ht="15.5" x14ac:dyDescent="0.25">
      <c r="B55" s="267">
        <v>8</v>
      </c>
      <c r="C55" s="272" t="s">
        <v>362</v>
      </c>
      <c r="D55" s="244"/>
      <c r="E55" s="268"/>
      <c r="F55" s="352"/>
      <c r="G55" s="352"/>
      <c r="H55" s="352"/>
      <c r="I55" s="352"/>
      <c r="J55" s="352"/>
      <c r="K55" s="352"/>
      <c r="L55" s="352"/>
      <c r="M55" s="352"/>
      <c r="N55" s="352"/>
      <c r="O55" s="265"/>
    </row>
    <row r="56" spans="2:24" s="29" customFormat="1" ht="15.5" x14ac:dyDescent="0.25">
      <c r="B56" s="244">
        <f>B55+0.1</f>
        <v>8.1</v>
      </c>
      <c r="C56" s="255" t="s">
        <v>102</v>
      </c>
      <c r="D56" s="244" t="s">
        <v>103</v>
      </c>
      <c r="E56" s="378">
        <v>0.5</v>
      </c>
      <c r="F56" s="352">
        <f>F2.2!$F$41</f>
        <v>0.5</v>
      </c>
      <c r="G56" s="352"/>
      <c r="H56" s="352"/>
      <c r="I56" s="352">
        <f>F2.2!$I$41</f>
        <v>0.5</v>
      </c>
      <c r="J56" s="352">
        <f>F2.2!J41</f>
        <v>0.5</v>
      </c>
      <c r="K56" s="352">
        <f>F2.2!K41</f>
        <v>0.5</v>
      </c>
      <c r="L56" s="352">
        <f>F2.2!L41</f>
        <v>0.5</v>
      </c>
      <c r="M56" s="352">
        <f>F2.2!M41</f>
        <v>0.5</v>
      </c>
      <c r="N56" s="352">
        <f>F2.2!N41</f>
        <v>0.5</v>
      </c>
      <c r="O56" s="265"/>
    </row>
    <row r="57" spans="2:24" s="29" customFormat="1" ht="31" x14ac:dyDescent="0.25">
      <c r="B57" s="244">
        <f>B56+0.1</f>
        <v>8.1999999999999993</v>
      </c>
      <c r="C57" s="255" t="s">
        <v>307</v>
      </c>
      <c r="D57" s="244" t="s">
        <v>103</v>
      </c>
      <c r="E57" s="261"/>
      <c r="F57" s="352"/>
      <c r="G57" s="352">
        <f>F2.2!$G$42</f>
        <v>3.2469999999999999</v>
      </c>
      <c r="H57" s="352">
        <f>G57-F56</f>
        <v>2.7469999999999999</v>
      </c>
      <c r="I57" s="352"/>
      <c r="J57" s="352">
        <f>F2.2!J42</f>
        <v>0.93264065004178542</v>
      </c>
      <c r="K57" s="352">
        <f>F2.2!K42</f>
        <v>0.5</v>
      </c>
      <c r="L57" s="352">
        <f>F2.2!L42</f>
        <v>0.5</v>
      </c>
      <c r="M57" s="352">
        <f>F2.2!M42</f>
        <v>0.5</v>
      </c>
      <c r="N57" s="352">
        <f>F2.2!N42</f>
        <v>0.5</v>
      </c>
      <c r="O57" s="265"/>
    </row>
    <row r="58" spans="2:24" s="29" customFormat="1" ht="15.5" x14ac:dyDescent="0.25">
      <c r="B58" s="244"/>
      <c r="C58" s="255"/>
      <c r="D58" s="244"/>
      <c r="E58" s="244"/>
      <c r="F58" s="173"/>
      <c r="G58" s="173"/>
      <c r="H58" s="173"/>
      <c r="I58" s="173"/>
      <c r="J58" s="343"/>
      <c r="K58" s="343"/>
      <c r="L58" s="343"/>
      <c r="M58" s="343"/>
      <c r="N58" s="343"/>
      <c r="O58" s="265"/>
    </row>
    <row r="59" spans="2:24" s="29" customFormat="1" ht="15.5" x14ac:dyDescent="0.25">
      <c r="B59" s="267">
        <v>9</v>
      </c>
      <c r="C59" s="272" t="s">
        <v>140</v>
      </c>
      <c r="D59" s="244"/>
      <c r="E59" s="244"/>
      <c r="F59" s="173"/>
      <c r="G59" s="173"/>
      <c r="H59" s="173"/>
      <c r="I59" s="173"/>
      <c r="J59" s="343"/>
      <c r="K59" s="343"/>
      <c r="L59" s="343"/>
      <c r="M59" s="343"/>
      <c r="N59" s="343"/>
      <c r="O59" s="265"/>
    </row>
    <row r="60" spans="2:24" s="29" customFormat="1" ht="15.5" x14ac:dyDescent="0.25">
      <c r="B60" s="244">
        <f>B59+0.1</f>
        <v>9.1</v>
      </c>
      <c r="C60" s="255" t="s">
        <v>104</v>
      </c>
      <c r="D60" s="244" t="s">
        <v>96</v>
      </c>
      <c r="E60" s="270">
        <v>8.0000000000000002E-3</v>
      </c>
      <c r="F60" s="325">
        <f>F2.2!F43</f>
        <v>8.0000000000000002E-3</v>
      </c>
      <c r="G60" s="478"/>
      <c r="H60" s="479"/>
      <c r="I60" s="325">
        <f>F2.2!I43</f>
        <v>8.0000000000000002E-3</v>
      </c>
      <c r="J60" s="395">
        <f>F2.2!J43</f>
        <v>8.0000000000000002E-3</v>
      </c>
      <c r="K60" s="395">
        <f>F2.2!K43</f>
        <v>8.0000000000000002E-3</v>
      </c>
      <c r="L60" s="395">
        <f>F2.2!L43</f>
        <v>8.0000000000000002E-3</v>
      </c>
      <c r="M60" s="395">
        <f>F2.2!M43</f>
        <v>8.0000000000000002E-3</v>
      </c>
      <c r="N60" s="395">
        <f>F2.2!N43</f>
        <v>8.0000000000000002E-3</v>
      </c>
      <c r="O60" s="417"/>
    </row>
    <row r="61" spans="2:24" s="29" customFormat="1" ht="15.5" x14ac:dyDescent="0.25">
      <c r="B61" s="244">
        <f>B60+0.1</f>
        <v>9.1999999999999993</v>
      </c>
      <c r="C61" s="255" t="s">
        <v>308</v>
      </c>
      <c r="D61" s="244" t="s">
        <v>96</v>
      </c>
      <c r="E61" s="270"/>
      <c r="F61" s="479"/>
      <c r="G61" s="372">
        <f>F2.2!G44</f>
        <v>1.34E-2</v>
      </c>
      <c r="H61" s="325">
        <f>G61-F60</f>
        <v>5.4000000000000003E-3</v>
      </c>
      <c r="I61" s="325"/>
      <c r="J61" s="395">
        <f>F2.2!J44</f>
        <v>8.0000000000000002E-3</v>
      </c>
      <c r="K61" s="395">
        <f>F2.2!K44</f>
        <v>8.0000000000000002E-3</v>
      </c>
      <c r="L61" s="395">
        <f>F2.2!L44</f>
        <v>8.0000000000000002E-3</v>
      </c>
      <c r="M61" s="395">
        <f>F2.2!M44</f>
        <v>8.0000000000000002E-3</v>
      </c>
      <c r="N61" s="395">
        <f>F2.2!N44</f>
        <v>8.0000000000000002E-3</v>
      </c>
      <c r="O61" s="417"/>
    </row>
    <row r="62" spans="2:24" s="29" customFormat="1" x14ac:dyDescent="0.25">
      <c r="B62" s="127"/>
      <c r="C62" s="128"/>
      <c r="D62" s="129"/>
      <c r="E62" s="129"/>
      <c r="F62" s="129"/>
      <c r="G62" s="129"/>
      <c r="H62" s="129"/>
      <c r="I62" s="129"/>
      <c r="J62" s="782"/>
      <c r="K62" s="782"/>
      <c r="L62" s="782"/>
      <c r="M62" s="782"/>
      <c r="N62" s="8"/>
      <c r="O62" s="8"/>
      <c r="P62" s="8"/>
      <c r="Q62" s="8"/>
      <c r="R62" s="8"/>
      <c r="S62" s="8"/>
      <c r="T62" s="127"/>
      <c r="U62" s="127"/>
      <c r="V62" s="127"/>
      <c r="W62" s="127"/>
      <c r="X62" s="127"/>
    </row>
    <row r="63" spans="2:24" ht="16" x14ac:dyDescent="0.3">
      <c r="D63" s="38"/>
      <c r="E63" s="38"/>
      <c r="F63" s="38"/>
      <c r="G63" s="38"/>
      <c r="H63" s="38"/>
      <c r="I63" s="38"/>
      <c r="J63" s="38"/>
      <c r="K63" s="38"/>
      <c r="L63" s="38"/>
      <c r="M63" s="38"/>
      <c r="N63" s="34"/>
      <c r="O63" s="34"/>
      <c r="P63" s="34"/>
      <c r="Q63" s="34"/>
      <c r="R63" s="34"/>
      <c r="S63" s="34"/>
      <c r="T63" s="34"/>
      <c r="U63" s="34"/>
      <c r="V63" s="34"/>
      <c r="W63" s="34"/>
      <c r="X63" s="34"/>
    </row>
    <row r="64" spans="2:24" ht="16" x14ac:dyDescent="0.3">
      <c r="B64" s="10"/>
      <c r="N64" s="34"/>
      <c r="O64" s="34"/>
      <c r="P64" s="34"/>
      <c r="Q64" s="34"/>
      <c r="R64" s="34"/>
      <c r="S64" s="34"/>
      <c r="T64" s="34"/>
      <c r="U64" s="34"/>
      <c r="V64" s="34"/>
      <c r="W64" s="34"/>
      <c r="X64" s="34"/>
    </row>
    <row r="65" spans="3:24" ht="16" x14ac:dyDescent="0.3">
      <c r="C65" s="36"/>
      <c r="N65" s="34"/>
      <c r="O65" s="34"/>
      <c r="P65" s="34"/>
      <c r="Q65" s="34"/>
      <c r="R65" s="34"/>
      <c r="S65" s="34"/>
      <c r="T65" s="34"/>
      <c r="U65" s="34"/>
      <c r="V65" s="34"/>
      <c r="W65" s="34"/>
      <c r="X65" s="34"/>
    </row>
    <row r="66" spans="3:24" x14ac:dyDescent="0.3">
      <c r="N66" s="40"/>
      <c r="O66" s="40"/>
      <c r="P66" s="40"/>
      <c r="Q66" s="40"/>
      <c r="R66" s="40"/>
      <c r="S66" s="40"/>
      <c r="T66" s="40"/>
      <c r="U66" s="40"/>
      <c r="V66" s="40"/>
      <c r="W66" s="40"/>
      <c r="X66" s="40"/>
    </row>
    <row r="67" spans="3:24" x14ac:dyDescent="0.3">
      <c r="Q67" s="41"/>
    </row>
  </sheetData>
  <mergeCells count="16">
    <mergeCell ref="O16:O19"/>
    <mergeCell ref="O2:Y2"/>
    <mergeCell ref="O3:Y3"/>
    <mergeCell ref="O4:Y4"/>
    <mergeCell ref="B7:B9"/>
    <mergeCell ref="C7:C9"/>
    <mergeCell ref="D7:D9"/>
    <mergeCell ref="O7:O9"/>
    <mergeCell ref="B2:M2"/>
    <mergeCell ref="B3:M3"/>
    <mergeCell ref="E7:H7"/>
    <mergeCell ref="B4:M4"/>
    <mergeCell ref="K7:N7"/>
    <mergeCell ref="I7:J7"/>
    <mergeCell ref="I8:I9"/>
    <mergeCell ref="J8:J9"/>
  </mergeCells>
  <printOptions horizontalCentered="1" verticalCentered="1"/>
  <pageMargins left="3.937007874015748E-2" right="3.937007874015748E-2" top="0.15748031496062992" bottom="0.15748031496062992" header="0.31496062992125984" footer="0.31496062992125984"/>
  <pageSetup paperSize="9" scale="60" orientation="landscape" r:id="rId1"/>
  <headerFooter alignWithMargins="0"/>
  <colBreaks count="1" manualBreakCount="1">
    <brk id="13" max="5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B2:L29"/>
  <sheetViews>
    <sheetView zoomScale="52" workbookViewId="0">
      <selection activeCell="E11" sqref="E11:L21"/>
    </sheetView>
  </sheetViews>
  <sheetFormatPr defaultColWidth="9.1796875" defaultRowHeight="14" x14ac:dyDescent="0.3"/>
  <cols>
    <col min="1" max="1" width="3.1796875" style="1" customWidth="1"/>
    <col min="2" max="2" width="8" style="1" customWidth="1"/>
    <col min="3" max="4" width="12.54296875" style="1" customWidth="1"/>
    <col min="5" max="5" width="24" style="1" customWidth="1"/>
    <col min="6" max="6" width="18.453125" style="1" customWidth="1"/>
    <col min="7" max="7" width="18" style="1" customWidth="1"/>
    <col min="8" max="12" width="15.54296875" style="1" customWidth="1"/>
    <col min="13" max="16384" width="9.1796875" style="1"/>
  </cols>
  <sheetData>
    <row r="2" spans="2:12" x14ac:dyDescent="0.3">
      <c r="B2" s="1406" t="str">
        <f>Index!B2</f>
        <v xml:space="preserve">      Maharashtra State Power Generation Company Ltd.</v>
      </c>
      <c r="C2" s="1406"/>
      <c r="D2" s="1406"/>
      <c r="E2" s="1657"/>
      <c r="F2" s="1657"/>
      <c r="G2" s="1657"/>
      <c r="H2" s="1657"/>
      <c r="I2" s="1657"/>
      <c r="J2" s="1657"/>
      <c r="K2" s="1657"/>
      <c r="L2" s="1657"/>
    </row>
    <row r="3" spans="2:12" x14ac:dyDescent="0.3">
      <c r="B3" s="1407" t="s">
        <v>919</v>
      </c>
      <c r="C3" s="1407"/>
      <c r="D3" s="1407"/>
      <c r="E3" s="1657"/>
      <c r="F3" s="1657"/>
      <c r="G3" s="1657"/>
      <c r="H3" s="1657"/>
      <c r="I3" s="1657"/>
      <c r="J3" s="1657"/>
      <c r="K3" s="1657"/>
      <c r="L3" s="1657"/>
    </row>
    <row r="4" spans="2:12" x14ac:dyDescent="0.3">
      <c r="B4" s="1407" t="s">
        <v>920</v>
      </c>
      <c r="C4" s="1407"/>
      <c r="D4" s="1407"/>
      <c r="E4" s="1657"/>
      <c r="F4" s="1657"/>
      <c r="G4" s="1657"/>
      <c r="H4" s="1657"/>
      <c r="I4" s="1657"/>
      <c r="J4" s="1657"/>
      <c r="K4" s="1657"/>
      <c r="L4" s="1657"/>
    </row>
    <row r="5" spans="2:12" x14ac:dyDescent="0.3">
      <c r="B5" s="1406" t="str">
        <f>Index!B3</f>
        <v>MYT Petition Formats for Bhusawal Unit 6</v>
      </c>
      <c r="C5" s="1406"/>
      <c r="D5" s="1406"/>
      <c r="E5" s="1657"/>
      <c r="F5" s="1657"/>
      <c r="G5" s="1657"/>
      <c r="H5" s="1657"/>
      <c r="I5" s="1657"/>
      <c r="J5" s="1657"/>
      <c r="K5" s="1657"/>
      <c r="L5" s="1657"/>
    </row>
    <row r="6" spans="2:12" x14ac:dyDescent="0.3">
      <c r="B6" s="42"/>
      <c r="C6" s="42"/>
      <c r="D6" s="42"/>
      <c r="E6" s="13"/>
      <c r="F6" s="13"/>
      <c r="G6" s="13"/>
    </row>
    <row r="7" spans="2:12" x14ac:dyDescent="0.3">
      <c r="B7" s="1481" t="s">
        <v>327</v>
      </c>
      <c r="C7" s="1481" t="s">
        <v>921</v>
      </c>
      <c r="D7" s="1475" t="s">
        <v>922</v>
      </c>
      <c r="E7" s="1462" t="s">
        <v>923</v>
      </c>
      <c r="F7" s="1477" t="s">
        <v>924</v>
      </c>
      <c r="G7" s="1475" t="s">
        <v>925</v>
      </c>
      <c r="H7" s="1404" t="s">
        <v>926</v>
      </c>
      <c r="I7" s="1404"/>
      <c r="J7" s="1404"/>
      <c r="K7" s="1404"/>
      <c r="L7" s="1404"/>
    </row>
    <row r="8" spans="2:12" s="29" customFormat="1" x14ac:dyDescent="0.25">
      <c r="B8" s="1481"/>
      <c r="C8" s="1481"/>
      <c r="D8" s="1559"/>
      <c r="E8" s="1462"/>
      <c r="F8" s="1660"/>
      <c r="G8" s="1660"/>
      <c r="H8" s="531" t="s">
        <v>849</v>
      </c>
      <c r="I8" s="97" t="s">
        <v>850</v>
      </c>
      <c r="J8" s="97" t="s">
        <v>851</v>
      </c>
      <c r="K8" s="97" t="s">
        <v>852</v>
      </c>
      <c r="L8" s="97" t="s">
        <v>853</v>
      </c>
    </row>
    <row r="9" spans="2:12" s="29" customFormat="1" x14ac:dyDescent="0.25">
      <c r="B9" s="1658"/>
      <c r="C9" s="1658"/>
      <c r="D9" s="1476"/>
      <c r="E9" s="1659"/>
      <c r="F9" s="1478"/>
      <c r="G9" s="1478"/>
      <c r="H9" s="531" t="s">
        <v>20</v>
      </c>
      <c r="I9" s="97" t="s">
        <v>20</v>
      </c>
      <c r="J9" s="97" t="s">
        <v>20</v>
      </c>
      <c r="K9" s="97" t="s">
        <v>20</v>
      </c>
      <c r="L9" s="97" t="s">
        <v>20</v>
      </c>
    </row>
    <row r="10" spans="2:12" s="29" customFormat="1" x14ac:dyDescent="0.25">
      <c r="B10" s="540"/>
      <c r="C10" s="540"/>
      <c r="D10" s="540"/>
      <c r="E10" s="541"/>
      <c r="F10" s="541"/>
      <c r="G10" s="541"/>
      <c r="H10" s="31"/>
      <c r="I10" s="31"/>
      <c r="J10" s="31"/>
      <c r="K10" s="31"/>
      <c r="L10" s="31"/>
    </row>
    <row r="11" spans="2:12" s="4" customFormat="1" x14ac:dyDescent="0.3">
      <c r="B11" s="98">
        <v>1</v>
      </c>
      <c r="C11" s="98" t="s">
        <v>927</v>
      </c>
      <c r="D11" s="98"/>
      <c r="E11" s="1649" t="s">
        <v>2967</v>
      </c>
      <c r="F11" s="1650"/>
      <c r="G11" s="1650"/>
      <c r="H11" s="1650"/>
      <c r="I11" s="1650"/>
      <c r="J11" s="1650"/>
      <c r="K11" s="1650"/>
      <c r="L11" s="1651"/>
    </row>
    <row r="12" spans="2:12" s="4" customFormat="1" x14ac:dyDescent="0.3">
      <c r="B12" s="542"/>
      <c r="C12" s="543" t="s">
        <v>928</v>
      </c>
      <c r="D12" s="543"/>
      <c r="E12" s="1652"/>
      <c r="F12" s="1407"/>
      <c r="G12" s="1407"/>
      <c r="H12" s="1407"/>
      <c r="I12" s="1407"/>
      <c r="J12" s="1407"/>
      <c r="K12" s="1407"/>
      <c r="L12" s="1653"/>
    </row>
    <row r="13" spans="2:12" s="4" customFormat="1" x14ac:dyDescent="0.3">
      <c r="B13" s="3"/>
      <c r="C13" s="544" t="s">
        <v>929</v>
      </c>
      <c r="D13" s="544"/>
      <c r="E13" s="1652"/>
      <c r="F13" s="1407"/>
      <c r="G13" s="1407"/>
      <c r="H13" s="1407"/>
      <c r="I13" s="1407"/>
      <c r="J13" s="1407"/>
      <c r="K13" s="1407"/>
      <c r="L13" s="1653"/>
    </row>
    <row r="14" spans="2:12" s="4" customFormat="1" x14ac:dyDescent="0.3">
      <c r="B14" s="545"/>
      <c r="C14" s="545"/>
      <c r="D14" s="545"/>
      <c r="E14" s="1652"/>
      <c r="F14" s="1407"/>
      <c r="G14" s="1407"/>
      <c r="H14" s="1407"/>
      <c r="I14" s="1407"/>
      <c r="J14" s="1407"/>
      <c r="K14" s="1407"/>
      <c r="L14" s="1653"/>
    </row>
    <row r="15" spans="2:12" s="4" customFormat="1" x14ac:dyDescent="0.3">
      <c r="B15" s="98">
        <f>B12+1</f>
        <v>1</v>
      </c>
      <c r="C15" s="98"/>
      <c r="D15" s="98"/>
      <c r="E15" s="1652"/>
      <c r="F15" s="1407"/>
      <c r="G15" s="1407"/>
      <c r="H15" s="1407"/>
      <c r="I15" s="1407"/>
      <c r="J15" s="1407"/>
      <c r="K15" s="1407"/>
      <c r="L15" s="1653"/>
    </row>
    <row r="16" spans="2:12" s="4" customFormat="1" x14ac:dyDescent="0.3">
      <c r="B16" s="98"/>
      <c r="C16" s="98"/>
      <c r="D16" s="98"/>
      <c r="E16" s="1652"/>
      <c r="F16" s="1407"/>
      <c r="G16" s="1407"/>
      <c r="H16" s="1407"/>
      <c r="I16" s="1407"/>
      <c r="J16" s="1407"/>
      <c r="K16" s="1407"/>
      <c r="L16" s="1653"/>
    </row>
    <row r="17" spans="2:12" s="4" customFormat="1" x14ac:dyDescent="0.3">
      <c r="B17" s="98"/>
      <c r="C17" s="98"/>
      <c r="D17" s="98"/>
      <c r="E17" s="1652"/>
      <c r="F17" s="1407"/>
      <c r="G17" s="1407"/>
      <c r="H17" s="1407"/>
      <c r="I17" s="1407"/>
      <c r="J17" s="1407"/>
      <c r="K17" s="1407"/>
      <c r="L17" s="1653"/>
    </row>
    <row r="18" spans="2:12" s="4" customFormat="1" x14ac:dyDescent="0.3">
      <c r="B18" s="98"/>
      <c r="C18" s="98"/>
      <c r="D18" s="98"/>
      <c r="E18" s="1652"/>
      <c r="F18" s="1407"/>
      <c r="G18" s="1407"/>
      <c r="H18" s="1407"/>
      <c r="I18" s="1407"/>
      <c r="J18" s="1407"/>
      <c r="K18" s="1407"/>
      <c r="L18" s="1653"/>
    </row>
    <row r="19" spans="2:12" s="4" customFormat="1" x14ac:dyDescent="0.3">
      <c r="B19" s="98"/>
      <c r="C19" s="98"/>
      <c r="D19" s="98"/>
      <c r="E19" s="1652"/>
      <c r="F19" s="1407"/>
      <c r="G19" s="1407"/>
      <c r="H19" s="1407"/>
      <c r="I19" s="1407"/>
      <c r="J19" s="1407"/>
      <c r="K19" s="1407"/>
      <c r="L19" s="1653"/>
    </row>
    <row r="20" spans="2:12" s="4" customFormat="1" x14ac:dyDescent="0.3">
      <c r="B20" s="98"/>
      <c r="C20" s="98"/>
      <c r="D20" s="98"/>
      <c r="E20" s="1652"/>
      <c r="F20" s="1407"/>
      <c r="G20" s="1407"/>
      <c r="H20" s="1407"/>
      <c r="I20" s="1407"/>
      <c r="J20" s="1407"/>
      <c r="K20" s="1407"/>
      <c r="L20" s="1653"/>
    </row>
    <row r="21" spans="2:12" s="4" customFormat="1" x14ac:dyDescent="0.3">
      <c r="B21" s="98"/>
      <c r="C21" s="98"/>
      <c r="D21" s="98"/>
      <c r="E21" s="1654"/>
      <c r="F21" s="1655"/>
      <c r="G21" s="1655"/>
      <c r="H21" s="1655"/>
      <c r="I21" s="1655"/>
      <c r="J21" s="1655"/>
      <c r="K21" s="1655"/>
      <c r="L21" s="1656"/>
    </row>
    <row r="22" spans="2:12" x14ac:dyDescent="0.3">
      <c r="E22" s="29"/>
      <c r="F22" s="29"/>
      <c r="G22" s="29"/>
      <c r="H22" s="4"/>
      <c r="I22" s="4"/>
      <c r="J22" s="4"/>
      <c r="K22" s="4"/>
      <c r="L22" s="4"/>
    </row>
    <row r="23" spans="2:12" x14ac:dyDescent="0.3">
      <c r="B23" s="43"/>
      <c r="C23" s="43"/>
      <c r="D23" s="43"/>
      <c r="E23" s="5"/>
      <c r="F23" s="5"/>
      <c r="G23" s="5"/>
      <c r="H23" s="4"/>
      <c r="I23" s="4"/>
      <c r="J23" s="4"/>
      <c r="K23" s="4"/>
      <c r="L23" s="4"/>
    </row>
    <row r="24" spans="2:12" x14ac:dyDescent="0.3">
      <c r="C24" s="4" t="s">
        <v>141</v>
      </c>
      <c r="D24" s="546" t="s">
        <v>930</v>
      </c>
      <c r="H24" s="4"/>
      <c r="I24" s="4"/>
      <c r="J24" s="4"/>
      <c r="K24" s="4"/>
      <c r="L24" s="4"/>
    </row>
    <row r="25" spans="2:12" x14ac:dyDescent="0.3">
      <c r="E25" s="480"/>
      <c r="F25" s="480"/>
      <c r="G25" s="480"/>
    </row>
    <row r="26" spans="2:12" x14ac:dyDescent="0.3">
      <c r="B26" s="5"/>
      <c r="C26" s="5"/>
      <c r="D26" s="5"/>
      <c r="E26" s="5"/>
      <c r="F26" s="5"/>
      <c r="G26" s="5"/>
    </row>
    <row r="27" spans="2:12" x14ac:dyDescent="0.3">
      <c r="B27" s="5"/>
      <c r="C27" s="5"/>
      <c r="D27" s="5"/>
      <c r="E27" s="5"/>
      <c r="F27" s="5"/>
      <c r="G27" s="5"/>
    </row>
    <row r="28" spans="2:12" x14ac:dyDescent="0.3">
      <c r="B28" s="5"/>
      <c r="C28" s="5"/>
      <c r="D28" s="5"/>
      <c r="E28" s="5"/>
      <c r="F28" s="5"/>
      <c r="G28" s="5"/>
    </row>
    <row r="29" spans="2:12" x14ac:dyDescent="0.3">
      <c r="B29" s="5"/>
      <c r="C29" s="547"/>
      <c r="D29" s="5"/>
      <c r="E29" s="5"/>
      <c r="F29" s="5"/>
      <c r="G29" s="5"/>
    </row>
  </sheetData>
  <mergeCells count="12">
    <mergeCell ref="E11:L21"/>
    <mergeCell ref="H7:L7"/>
    <mergeCell ref="B2:L2"/>
    <mergeCell ref="B3:L3"/>
    <mergeCell ref="B4:L4"/>
    <mergeCell ref="B5:L5"/>
    <mergeCell ref="B7:B9"/>
    <mergeCell ref="C7:C9"/>
    <mergeCell ref="D7:D9"/>
    <mergeCell ref="E7:E9"/>
    <mergeCell ref="F7:F9"/>
    <mergeCell ref="G7:G9"/>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55"/>
  <sheetViews>
    <sheetView showGridLines="0" zoomScale="60" zoomScaleNormal="60" workbookViewId="0">
      <selection activeCell="I238" sqref="I238"/>
    </sheetView>
  </sheetViews>
  <sheetFormatPr defaultColWidth="9.1796875" defaultRowHeight="14.5" outlineLevelRow="1" x14ac:dyDescent="0.25"/>
  <cols>
    <col min="1" max="1" width="9.1796875" style="802"/>
    <col min="2" max="2" width="9.1796875" style="803"/>
    <col min="3" max="3" width="21.54296875" style="802" bestFit="1" customWidth="1"/>
    <col min="4" max="4" width="38" style="802" bestFit="1" customWidth="1"/>
    <col min="5" max="5" width="63.453125" style="804" bestFit="1" customWidth="1"/>
    <col min="6" max="6" width="36.1796875" style="802" bestFit="1" customWidth="1"/>
    <col min="7" max="7" width="19.1796875" style="802" customWidth="1"/>
    <col min="8" max="11" width="16.1796875" style="802" customWidth="1"/>
    <col min="12" max="12" width="19.54296875" style="802" customWidth="1"/>
    <col min="13" max="13" width="17.453125" style="802" customWidth="1"/>
    <col min="14" max="14" width="16.1796875" style="805" hidden="1" customWidth="1"/>
    <col min="15" max="15" width="20.81640625" style="802" hidden="1" customWidth="1"/>
    <col min="16" max="16" width="17.453125" style="802" hidden="1" customWidth="1"/>
    <col min="17" max="17" width="20.81640625" style="802" hidden="1" customWidth="1"/>
    <col min="18" max="18" width="15.81640625" style="819" hidden="1" customWidth="1"/>
    <col min="19" max="19" width="95.1796875" style="802" customWidth="1"/>
    <col min="20" max="20" width="9.1796875" style="802"/>
    <col min="21" max="21" width="10.81640625" style="802" bestFit="1" customWidth="1"/>
    <col min="22" max="16384" width="9.1796875" style="802"/>
  </cols>
  <sheetData>
    <row r="1" spans="2:19" x14ac:dyDescent="0.25">
      <c r="O1" s="805"/>
      <c r="P1" s="805"/>
      <c r="Q1" s="805"/>
      <c r="R1" s="805"/>
    </row>
    <row r="2" spans="2:19" ht="26" x14ac:dyDescent="0.25">
      <c r="B2" s="1663" t="s">
        <v>1223</v>
      </c>
      <c r="C2" s="1663"/>
      <c r="D2" s="1663"/>
      <c r="E2" s="1663"/>
      <c r="F2" s="1663"/>
      <c r="G2" s="1663"/>
      <c r="H2" s="1663"/>
      <c r="I2" s="1663"/>
      <c r="J2" s="1663"/>
      <c r="K2" s="1663"/>
      <c r="L2" s="1663"/>
      <c r="M2" s="1663"/>
      <c r="N2" s="1663"/>
      <c r="O2" s="1663"/>
      <c r="P2" s="1663"/>
      <c r="Q2" s="1663"/>
      <c r="R2" s="1663"/>
      <c r="S2" s="1663"/>
    </row>
    <row r="3" spans="2:19" ht="18" customHeight="1" x14ac:dyDescent="0.25">
      <c r="B3" s="906" t="s">
        <v>406</v>
      </c>
      <c r="C3" s="903" t="s">
        <v>1224</v>
      </c>
      <c r="D3" s="903" t="s">
        <v>1225</v>
      </c>
      <c r="E3" s="904" t="s">
        <v>1226</v>
      </c>
      <c r="F3" s="905" t="s">
        <v>91</v>
      </c>
      <c r="G3" s="1662" t="s">
        <v>1227</v>
      </c>
      <c r="H3" s="1662"/>
      <c r="I3" s="1662"/>
      <c r="J3" s="1662"/>
      <c r="K3" s="1662"/>
      <c r="L3" s="1662"/>
      <c r="M3" s="1662"/>
      <c r="N3" s="1662"/>
      <c r="O3" s="1662"/>
      <c r="P3" s="1662"/>
      <c r="Q3" s="1662"/>
      <c r="R3" s="1662"/>
      <c r="S3" s="907" t="s">
        <v>25</v>
      </c>
    </row>
    <row r="4" spans="2:19" x14ac:dyDescent="0.25">
      <c r="B4" s="908">
        <v>1</v>
      </c>
      <c r="C4" s="806" t="s">
        <v>0</v>
      </c>
      <c r="D4" s="806"/>
      <c r="E4" s="804" t="s">
        <v>1228</v>
      </c>
      <c r="F4" s="803" t="s">
        <v>398</v>
      </c>
      <c r="G4" s="884">
        <v>45710</v>
      </c>
      <c r="H4" s="884"/>
      <c r="I4" s="1006"/>
      <c r="J4" s="884"/>
      <c r="K4" s="884"/>
      <c r="L4" s="884"/>
      <c r="O4" s="805"/>
      <c r="P4" s="805"/>
      <c r="Q4" s="807"/>
      <c r="R4" s="805"/>
      <c r="S4" s="909"/>
    </row>
    <row r="5" spans="2:19" x14ac:dyDescent="0.25">
      <c r="B5" s="910"/>
      <c r="E5" s="804" t="s">
        <v>1229</v>
      </c>
      <c r="F5" s="803" t="s">
        <v>94</v>
      </c>
      <c r="G5" s="808">
        <v>660</v>
      </c>
      <c r="H5" s="808"/>
      <c r="I5" s="808"/>
      <c r="J5" s="808"/>
      <c r="K5" s="808"/>
      <c r="L5" s="808"/>
      <c r="O5" s="805"/>
      <c r="P5" s="805"/>
      <c r="Q5" s="807"/>
      <c r="R5" s="805"/>
      <c r="S5" s="909"/>
    </row>
    <row r="6" spans="2:19" x14ac:dyDescent="0.35">
      <c r="B6" s="910"/>
      <c r="E6" s="804" t="s">
        <v>1230</v>
      </c>
      <c r="F6" s="803" t="s">
        <v>1231</v>
      </c>
      <c r="G6" s="808">
        <f>1</f>
        <v>1</v>
      </c>
      <c r="H6" s="808"/>
      <c r="I6" s="808"/>
      <c r="J6" s="808"/>
      <c r="K6" s="808"/>
      <c r="L6" s="808"/>
      <c r="O6" s="805"/>
      <c r="P6" s="902"/>
      <c r="Q6" s="807"/>
      <c r="R6" s="805"/>
      <c r="S6" s="909"/>
    </row>
    <row r="7" spans="2:19" x14ac:dyDescent="0.25">
      <c r="B7" s="910"/>
      <c r="E7" s="804" t="s">
        <v>1232</v>
      </c>
      <c r="F7" s="803" t="s">
        <v>94</v>
      </c>
      <c r="G7" s="809">
        <f>G5*G6</f>
        <v>660</v>
      </c>
      <c r="H7" s="885"/>
      <c r="I7" s="885"/>
      <c r="J7" s="885"/>
      <c r="K7" s="885"/>
      <c r="L7" s="885"/>
      <c r="O7" s="805"/>
      <c r="P7" s="805"/>
      <c r="Q7" s="805"/>
      <c r="R7" s="805"/>
      <c r="S7" s="911"/>
    </row>
    <row r="8" spans="2:19" x14ac:dyDescent="0.25">
      <c r="B8" s="910"/>
      <c r="E8" s="804" t="s">
        <v>1233</v>
      </c>
      <c r="F8" s="803" t="s">
        <v>423</v>
      </c>
      <c r="G8" s="810">
        <f>G9/G7</f>
        <v>8.8066377600577024</v>
      </c>
      <c r="H8" s="886"/>
      <c r="I8" s="886"/>
      <c r="J8" s="886"/>
      <c r="K8" s="1034"/>
      <c r="L8" s="886"/>
      <c r="O8" s="805"/>
      <c r="P8" s="805"/>
      <c r="Q8" s="805"/>
      <c r="R8" s="805"/>
      <c r="S8" s="912"/>
    </row>
    <row r="9" spans="2:19" x14ac:dyDescent="0.25">
      <c r="B9" s="910"/>
      <c r="E9" s="811" t="s">
        <v>979</v>
      </c>
      <c r="F9" s="812" t="s">
        <v>423</v>
      </c>
      <c r="G9" s="813">
        <f>G13</f>
        <v>5812.3809216380832</v>
      </c>
      <c r="H9" s="813"/>
      <c r="I9" s="813"/>
      <c r="J9" s="813"/>
      <c r="K9" s="813"/>
      <c r="L9" s="813"/>
      <c r="N9" s="814"/>
      <c r="O9" s="805"/>
      <c r="P9" s="805"/>
      <c r="Q9" s="805"/>
      <c r="R9" s="805"/>
      <c r="S9" s="912"/>
    </row>
    <row r="10" spans="2:19" x14ac:dyDescent="0.25">
      <c r="B10" s="908">
        <v>2</v>
      </c>
      <c r="C10" s="815" t="s">
        <v>1234</v>
      </c>
      <c r="D10" s="816" t="s">
        <v>972</v>
      </c>
      <c r="E10" s="817"/>
      <c r="F10" s="815"/>
      <c r="G10" s="815"/>
      <c r="H10" s="815"/>
      <c r="I10" s="815"/>
      <c r="J10" s="815"/>
      <c r="K10" s="815"/>
      <c r="L10" s="815"/>
      <c r="N10" s="818"/>
      <c r="S10" s="913"/>
    </row>
    <row r="11" spans="2:19" x14ac:dyDescent="0.25">
      <c r="B11" s="910"/>
      <c r="E11" s="804" t="s">
        <v>1235</v>
      </c>
      <c r="G11" s="820">
        <f>'F4'!E12</f>
        <v>4690.3526113346534</v>
      </c>
      <c r="H11" s="820"/>
      <c r="I11" s="820"/>
      <c r="J11" s="820"/>
      <c r="K11" s="820"/>
      <c r="L11" s="820"/>
      <c r="N11" s="814"/>
      <c r="S11" s="935" t="s">
        <v>1236</v>
      </c>
    </row>
    <row r="12" spans="2:19" x14ac:dyDescent="0.25">
      <c r="B12" s="910"/>
      <c r="E12" s="804" t="s">
        <v>399</v>
      </c>
      <c r="F12" s="821"/>
      <c r="G12" s="820">
        <f>'F4'!E13</f>
        <v>1122.0283103034301</v>
      </c>
      <c r="H12" s="820"/>
      <c r="I12" s="820"/>
      <c r="J12" s="820"/>
      <c r="K12" s="820"/>
      <c r="L12" s="820"/>
      <c r="O12" s="822"/>
      <c r="S12" s="935" t="s">
        <v>1237</v>
      </c>
    </row>
    <row r="13" spans="2:19" x14ac:dyDescent="0.25">
      <c r="B13" s="910"/>
      <c r="E13" s="811" t="s">
        <v>1238</v>
      </c>
      <c r="G13" s="813">
        <f>SUM(G11:G12)</f>
        <v>5812.3809216380832</v>
      </c>
      <c r="H13" s="813"/>
      <c r="I13" s="813"/>
      <c r="J13" s="813"/>
      <c r="K13" s="813"/>
      <c r="L13" s="813"/>
      <c r="N13" s="814"/>
      <c r="S13" s="914"/>
    </row>
    <row r="14" spans="2:19" x14ac:dyDescent="0.25">
      <c r="B14" s="910"/>
      <c r="E14" s="832"/>
      <c r="F14" s="803"/>
      <c r="G14" s="820"/>
      <c r="H14" s="824"/>
      <c r="I14" s="824"/>
      <c r="J14" s="824"/>
      <c r="K14" s="824"/>
      <c r="L14" s="824"/>
      <c r="S14" s="915"/>
    </row>
    <row r="15" spans="2:19" x14ac:dyDescent="0.25">
      <c r="B15" s="910">
        <v>3</v>
      </c>
      <c r="C15" s="802" t="s">
        <v>2826</v>
      </c>
      <c r="E15" s="832" t="s">
        <v>2827</v>
      </c>
      <c r="F15" s="803" t="s">
        <v>96</v>
      </c>
      <c r="G15" s="1001">
        <f>1-G16</f>
        <v>0.85238388337456161</v>
      </c>
      <c r="H15" s="1001">
        <f t="shared" ref="H15:L15" si="0">1-H16</f>
        <v>0.8</v>
      </c>
      <c r="I15" s="1001">
        <f t="shared" si="0"/>
        <v>0.8</v>
      </c>
      <c r="J15" s="1001">
        <f t="shared" si="0"/>
        <v>0.8</v>
      </c>
      <c r="K15" s="1001">
        <f t="shared" si="0"/>
        <v>0.8</v>
      </c>
      <c r="L15" s="1001">
        <f t="shared" si="0"/>
        <v>0.8</v>
      </c>
      <c r="S15" s="915"/>
    </row>
    <row r="16" spans="2:19" x14ac:dyDescent="0.25">
      <c r="B16" s="910"/>
      <c r="E16" s="832" t="s">
        <v>1067</v>
      </c>
      <c r="F16" s="803" t="s">
        <v>96</v>
      </c>
      <c r="G16" s="1001">
        <v>0.14761611662543833</v>
      </c>
      <c r="H16" s="1001">
        <v>0.2</v>
      </c>
      <c r="I16" s="1001">
        <f>H16</f>
        <v>0.2</v>
      </c>
      <c r="J16" s="1001">
        <f t="shared" ref="J16:L16" si="1">I16</f>
        <v>0.2</v>
      </c>
      <c r="K16" s="1001">
        <f t="shared" si="1"/>
        <v>0.2</v>
      </c>
      <c r="L16" s="1001">
        <f t="shared" si="1"/>
        <v>0.2</v>
      </c>
      <c r="S16" s="915"/>
    </row>
    <row r="17" spans="2:19" x14ac:dyDescent="0.25">
      <c r="B17" s="910"/>
      <c r="E17" s="832"/>
      <c r="F17" s="803"/>
      <c r="G17" s="824"/>
      <c r="H17" s="824"/>
      <c r="I17" s="824"/>
      <c r="J17" s="824"/>
      <c r="K17" s="824"/>
      <c r="L17" s="824"/>
      <c r="S17" s="915"/>
    </row>
    <row r="18" spans="2:19" x14ac:dyDescent="0.25">
      <c r="B18" s="910"/>
      <c r="E18" s="832"/>
      <c r="F18" s="803"/>
      <c r="G18" s="824"/>
      <c r="H18" s="824"/>
      <c r="I18" s="824"/>
      <c r="J18" s="824"/>
      <c r="K18" s="824"/>
      <c r="L18" s="824"/>
      <c r="S18" s="915"/>
    </row>
    <row r="19" spans="2:19" x14ac:dyDescent="0.25">
      <c r="B19" s="910">
        <v>4</v>
      </c>
      <c r="C19" s="806" t="s">
        <v>1410</v>
      </c>
      <c r="E19" s="891" t="s">
        <v>2850</v>
      </c>
      <c r="F19" s="890" t="s">
        <v>98</v>
      </c>
      <c r="G19" s="820">
        <v>308.238</v>
      </c>
      <c r="H19" s="824">
        <f>F2.2!J23</f>
        <v>4146.1949999999997</v>
      </c>
      <c r="I19" s="824">
        <f>F2.2!K23</f>
        <v>4914.3600000000006</v>
      </c>
      <c r="J19" s="824">
        <f>F2.2!L23</f>
        <v>4927.8239999999996</v>
      </c>
      <c r="K19" s="824">
        <f>F2.2!M23</f>
        <v>4914.3600000000006</v>
      </c>
      <c r="L19" s="824">
        <f>F2.2!N23</f>
        <v>4914.3600000000006</v>
      </c>
      <c r="S19" s="915"/>
    </row>
    <row r="20" spans="2:19" x14ac:dyDescent="0.25">
      <c r="B20" s="910"/>
      <c r="E20" s="891" t="s">
        <v>2851</v>
      </c>
      <c r="F20" s="890" t="s">
        <v>98</v>
      </c>
      <c r="G20" s="820"/>
      <c r="S20" s="915"/>
    </row>
    <row r="21" spans="2:19" s="1027" customFormat="1" x14ac:dyDescent="0.25">
      <c r="B21" s="1298"/>
      <c r="E21" s="1299" t="s">
        <v>2831</v>
      </c>
      <c r="F21" s="1296" t="s">
        <v>98</v>
      </c>
      <c r="G21" s="1300"/>
      <c r="H21" s="1301">
        <f>$G$5*24*365/1000*85%</f>
        <v>4914.3600000000006</v>
      </c>
      <c r="I21" s="1301">
        <f>$G$5*24*365/1000*85%</f>
        <v>4914.3600000000006</v>
      </c>
      <c r="J21" s="1301">
        <f>$G$5*24*366/1000*85%</f>
        <v>4927.8239999999996</v>
      </c>
      <c r="K21" s="1301">
        <f t="shared" ref="K21:L21" si="2">$G$5*24*365/1000*85%</f>
        <v>4914.3600000000006</v>
      </c>
      <c r="L21" s="1301">
        <f t="shared" si="2"/>
        <v>4914.3600000000006</v>
      </c>
      <c r="N21" s="818"/>
      <c r="R21" s="1302"/>
      <c r="S21" s="1303"/>
    </row>
    <row r="22" spans="2:19" hidden="1" outlineLevel="1" x14ac:dyDescent="0.25">
      <c r="B22" s="910"/>
      <c r="E22" s="825" t="s">
        <v>597</v>
      </c>
      <c r="F22" s="803"/>
      <c r="G22" s="824"/>
      <c r="H22" s="824"/>
      <c r="I22" s="824"/>
      <c r="J22" s="824"/>
      <c r="K22" s="824"/>
      <c r="L22" s="824"/>
      <c r="S22" s="915"/>
    </row>
    <row r="23" spans="2:19" hidden="1" outlineLevel="1" x14ac:dyDescent="0.25">
      <c r="B23" s="910"/>
      <c r="E23" s="825" t="s">
        <v>598</v>
      </c>
      <c r="F23" s="890" t="s">
        <v>96</v>
      </c>
      <c r="G23" s="857"/>
      <c r="H23" s="824"/>
      <c r="I23" s="824"/>
      <c r="J23" s="824"/>
      <c r="K23" s="824"/>
      <c r="L23" s="824"/>
      <c r="S23" s="915"/>
    </row>
    <row r="24" spans="2:19" hidden="1" outlineLevel="1" x14ac:dyDescent="0.25">
      <c r="B24" s="910"/>
      <c r="E24" s="825" t="s">
        <v>599</v>
      </c>
      <c r="F24" s="890" t="s">
        <v>96</v>
      </c>
      <c r="G24" s="857"/>
      <c r="H24" s="824"/>
      <c r="I24" s="824"/>
      <c r="J24" s="824"/>
      <c r="K24" s="824"/>
      <c r="L24" s="824"/>
      <c r="S24" s="915"/>
    </row>
    <row r="25" spans="2:19" hidden="1" outlineLevel="1" x14ac:dyDescent="0.25">
      <c r="B25" s="910"/>
      <c r="E25" s="825" t="s">
        <v>600</v>
      </c>
      <c r="F25" s="803"/>
      <c r="G25" s="824"/>
      <c r="H25" s="824"/>
      <c r="I25" s="824"/>
      <c r="J25" s="824"/>
      <c r="K25" s="824"/>
      <c r="L25" s="824"/>
      <c r="S25" s="915"/>
    </row>
    <row r="26" spans="2:19" hidden="1" outlineLevel="1" x14ac:dyDescent="0.25">
      <c r="B26" s="910"/>
      <c r="E26" s="825" t="s">
        <v>598</v>
      </c>
      <c r="F26" s="890" t="s">
        <v>96</v>
      </c>
      <c r="G26" s="857"/>
      <c r="H26" s="824"/>
      <c r="I26" s="824"/>
      <c r="J26" s="824"/>
      <c r="K26" s="824"/>
      <c r="L26" s="824"/>
      <c r="S26" s="915"/>
    </row>
    <row r="27" spans="2:19" hidden="1" outlineLevel="1" x14ac:dyDescent="0.25">
      <c r="B27" s="910"/>
      <c r="E27" s="825" t="s">
        <v>599</v>
      </c>
      <c r="F27" s="890" t="s">
        <v>96</v>
      </c>
      <c r="G27" s="857"/>
      <c r="H27" s="824"/>
      <c r="I27" s="824"/>
      <c r="J27" s="824"/>
      <c r="K27" s="824"/>
      <c r="L27" s="824"/>
      <c r="S27" s="915"/>
    </row>
    <row r="28" spans="2:19" collapsed="1" x14ac:dyDescent="0.25">
      <c r="B28" s="910"/>
      <c r="E28" s="832"/>
      <c r="F28" s="803"/>
      <c r="G28" s="824"/>
      <c r="H28" s="824"/>
      <c r="I28" s="824"/>
      <c r="J28" s="824"/>
      <c r="K28" s="824"/>
      <c r="L28" s="824"/>
      <c r="S28" s="915"/>
    </row>
    <row r="29" spans="2:19" x14ac:dyDescent="0.25">
      <c r="B29" s="910"/>
      <c r="E29" s="832"/>
      <c r="F29" s="803"/>
      <c r="G29" s="824"/>
      <c r="H29" s="824"/>
      <c r="I29" s="824"/>
      <c r="J29" s="824"/>
      <c r="K29" s="824"/>
      <c r="L29" s="824"/>
      <c r="S29" s="915"/>
    </row>
    <row r="30" spans="2:19" x14ac:dyDescent="0.25">
      <c r="B30" s="910"/>
      <c r="G30" s="887" t="s">
        <v>1284</v>
      </c>
      <c r="H30" s="887" t="s">
        <v>1167</v>
      </c>
      <c r="I30" s="887" t="s">
        <v>1168</v>
      </c>
      <c r="J30" s="887" t="s">
        <v>1169</v>
      </c>
      <c r="K30" s="887" t="s">
        <v>1170</v>
      </c>
      <c r="L30" s="887" t="s">
        <v>1171</v>
      </c>
      <c r="S30" s="916"/>
    </row>
    <row r="31" spans="2:19" x14ac:dyDescent="0.25">
      <c r="B31" s="910">
        <v>5</v>
      </c>
      <c r="C31" s="806" t="s">
        <v>1239</v>
      </c>
      <c r="D31" s="806"/>
      <c r="N31" s="802"/>
      <c r="S31" s="916"/>
    </row>
    <row r="32" spans="2:19" x14ac:dyDescent="0.25">
      <c r="B32" s="910"/>
      <c r="E32" s="825" t="s">
        <v>2843</v>
      </c>
      <c r="F32" s="826" t="s">
        <v>96</v>
      </c>
      <c r="G32" s="827">
        <f>85%</f>
        <v>0.85</v>
      </c>
      <c r="H32" s="827">
        <f>F2.2!J21</f>
        <v>0.71713625985886253</v>
      </c>
      <c r="I32" s="827">
        <f>F2.2!K21</f>
        <v>0.85000000000000009</v>
      </c>
      <c r="J32" s="827">
        <f>F2.2!L21</f>
        <v>0.85</v>
      </c>
      <c r="K32" s="827">
        <f>F2.2!M21</f>
        <v>0.85000000000000009</v>
      </c>
      <c r="L32" s="827">
        <f>F2.2!N21</f>
        <v>0.85000000000000009</v>
      </c>
      <c r="S32" s="917" t="s">
        <v>860</v>
      </c>
    </row>
    <row r="33" spans="2:19" x14ac:dyDescent="0.25">
      <c r="B33" s="910"/>
      <c r="E33" s="825" t="s">
        <v>2841</v>
      </c>
      <c r="F33" s="826" t="s">
        <v>96</v>
      </c>
      <c r="G33" s="1022">
        <v>0.51398977912589505</v>
      </c>
      <c r="H33" s="1022">
        <f>F2.2!J13</f>
        <v>0.83201869926531768</v>
      </c>
      <c r="I33" s="1022">
        <f>F2.2!K13</f>
        <v>0.85000000000000009</v>
      </c>
      <c r="J33" s="1022">
        <f>F2.2!L13</f>
        <v>0.85</v>
      </c>
      <c r="K33" s="1022">
        <f>F2.2!M13</f>
        <v>0.85000000000000009</v>
      </c>
      <c r="L33" s="1022">
        <f>F2.2!N13</f>
        <v>0.85000000000000009</v>
      </c>
      <c r="S33" s="917"/>
    </row>
    <row r="34" spans="2:19" x14ac:dyDescent="0.25">
      <c r="B34" s="910"/>
      <c r="E34" s="825"/>
      <c r="F34" s="826" t="s">
        <v>96</v>
      </c>
      <c r="G34" s="1022"/>
      <c r="H34" s="1022"/>
      <c r="I34" s="1022"/>
      <c r="J34" s="1022"/>
      <c r="K34" s="1022"/>
      <c r="L34" s="1022"/>
      <c r="S34" s="917"/>
    </row>
    <row r="35" spans="2:19" x14ac:dyDescent="0.25">
      <c r="B35" s="910"/>
      <c r="E35" s="825"/>
      <c r="F35" s="826"/>
      <c r="G35" s="827"/>
      <c r="H35" s="827"/>
      <c r="I35" s="827"/>
      <c r="J35" s="827"/>
      <c r="K35" s="827"/>
      <c r="L35" s="827"/>
      <c r="S35" s="917"/>
    </row>
    <row r="36" spans="2:19" x14ac:dyDescent="0.25">
      <c r="B36" s="910"/>
      <c r="E36" s="828" t="s">
        <v>1409</v>
      </c>
      <c r="F36" s="826"/>
      <c r="G36" s="827"/>
      <c r="H36" s="827"/>
      <c r="I36" s="827"/>
      <c r="J36" s="827"/>
      <c r="K36" s="827"/>
      <c r="L36" s="827"/>
      <c r="S36" s="917"/>
    </row>
    <row r="37" spans="2:19" ht="29" x14ac:dyDescent="0.25">
      <c r="B37" s="910"/>
      <c r="E37" s="825" t="s">
        <v>1240</v>
      </c>
      <c r="F37" s="826" t="s">
        <v>96</v>
      </c>
      <c r="G37" s="829">
        <v>5.7500000000000002E-2</v>
      </c>
      <c r="H37" s="829">
        <v>5.7500000000000002E-2</v>
      </c>
      <c r="I37" s="829">
        <v>5.7500000000000002E-2</v>
      </c>
      <c r="J37" s="829">
        <v>5.7500000000000002E-2</v>
      </c>
      <c r="K37" s="829">
        <v>5.7500000000000002E-2</v>
      </c>
      <c r="L37" s="829">
        <v>5.7500000000000002E-2</v>
      </c>
      <c r="S37" s="936" t="s">
        <v>1424</v>
      </c>
    </row>
    <row r="38" spans="2:19" x14ac:dyDescent="0.25">
      <c r="B38" s="910"/>
      <c r="E38" s="825" t="s">
        <v>1241</v>
      </c>
      <c r="F38" s="826" t="s">
        <v>96</v>
      </c>
      <c r="G38" s="1021"/>
      <c r="H38" s="1276"/>
      <c r="I38" s="1276"/>
      <c r="J38" s="1276"/>
      <c r="K38" s="1276"/>
      <c r="L38" s="1276"/>
      <c r="S38" s="917"/>
    </row>
    <row r="39" spans="2:19" ht="29" x14ac:dyDescent="0.25">
      <c r="B39" s="910"/>
      <c r="E39" s="825" t="s">
        <v>1242</v>
      </c>
      <c r="F39" s="826" t="s">
        <v>96</v>
      </c>
      <c r="G39" s="829"/>
      <c r="H39" s="829"/>
      <c r="I39" s="1393">
        <f>1%*0</f>
        <v>0</v>
      </c>
      <c r="J39" s="1393">
        <f>1%*0</f>
        <v>0</v>
      </c>
      <c r="K39" s="1393">
        <f>1%*0</f>
        <v>0</v>
      </c>
      <c r="L39" s="1393">
        <f>1%*0</f>
        <v>0</v>
      </c>
      <c r="S39" s="936" t="s">
        <v>1425</v>
      </c>
    </row>
    <row r="40" spans="2:19" ht="29" x14ac:dyDescent="0.25">
      <c r="B40" s="910"/>
      <c r="E40" s="825" t="s">
        <v>1243</v>
      </c>
      <c r="F40" s="826" t="s">
        <v>96</v>
      </c>
      <c r="G40" s="829"/>
      <c r="H40" s="829"/>
      <c r="I40" s="829">
        <v>2E-3</v>
      </c>
      <c r="J40" s="829">
        <v>2E-3</v>
      </c>
      <c r="K40" s="829">
        <v>2E-3</v>
      </c>
      <c r="L40" s="829">
        <v>2E-3</v>
      </c>
      <c r="S40" s="936" t="s">
        <v>1425</v>
      </c>
    </row>
    <row r="41" spans="2:19" x14ac:dyDescent="0.25">
      <c r="B41" s="910"/>
      <c r="E41" s="830" t="s">
        <v>1244</v>
      </c>
      <c r="F41" s="812" t="s">
        <v>96</v>
      </c>
      <c r="G41" s="831">
        <f>SUM(G37:G40)</f>
        <v>5.7500000000000002E-2</v>
      </c>
      <c r="H41" s="831">
        <f t="shared" ref="H41:L41" si="3">SUM(H37:H40)</f>
        <v>5.7500000000000002E-2</v>
      </c>
      <c r="I41" s="831">
        <f t="shared" si="3"/>
        <v>5.9500000000000004E-2</v>
      </c>
      <c r="J41" s="831">
        <f t="shared" si="3"/>
        <v>5.9500000000000004E-2</v>
      </c>
      <c r="K41" s="831">
        <f t="shared" si="3"/>
        <v>5.9500000000000004E-2</v>
      </c>
      <c r="L41" s="831">
        <f t="shared" si="3"/>
        <v>5.9500000000000004E-2</v>
      </c>
      <c r="S41" s="918"/>
    </row>
    <row r="42" spans="2:19" x14ac:dyDescent="0.25">
      <c r="B42" s="910"/>
      <c r="E42" s="830"/>
      <c r="F42" s="812"/>
      <c r="G42" s="831"/>
      <c r="H42" s="831"/>
      <c r="I42" s="831"/>
      <c r="J42" s="831"/>
      <c r="K42" s="831"/>
      <c r="L42" s="831"/>
      <c r="S42" s="918"/>
    </row>
    <row r="43" spans="2:19" x14ac:dyDescent="0.25">
      <c r="B43" s="910"/>
      <c r="E43" s="828" t="s">
        <v>2842</v>
      </c>
      <c r="F43" s="826"/>
      <c r="G43" s="827"/>
      <c r="H43" s="831"/>
      <c r="I43" s="831"/>
      <c r="J43" s="831"/>
      <c r="K43" s="831"/>
      <c r="L43" s="831"/>
      <c r="S43" s="918"/>
    </row>
    <row r="44" spans="2:19" x14ac:dyDescent="0.25">
      <c r="B44" s="910"/>
      <c r="E44" s="825" t="s">
        <v>1240</v>
      </c>
      <c r="F44" s="826" t="s">
        <v>96</v>
      </c>
      <c r="G44" s="831">
        <v>9.5600000000000004E-2</v>
      </c>
      <c r="H44" s="831">
        <f>H37</f>
        <v>5.7500000000000002E-2</v>
      </c>
      <c r="I44" s="831">
        <f t="shared" ref="I44:L44" si="4">I37</f>
        <v>5.7500000000000002E-2</v>
      </c>
      <c r="J44" s="831">
        <f t="shared" si="4"/>
        <v>5.7500000000000002E-2</v>
      </c>
      <c r="K44" s="831">
        <f t="shared" si="4"/>
        <v>5.7500000000000002E-2</v>
      </c>
      <c r="L44" s="831">
        <f t="shared" si="4"/>
        <v>5.7500000000000002E-2</v>
      </c>
      <c r="S44" s="918"/>
    </row>
    <row r="45" spans="2:19" x14ac:dyDescent="0.25">
      <c r="B45" s="910"/>
      <c r="E45" s="825" t="s">
        <v>1241</v>
      </c>
      <c r="F45" s="826" t="s">
        <v>96</v>
      </c>
      <c r="G45" s="1021"/>
      <c r="H45" s="831">
        <f>H38</f>
        <v>0</v>
      </c>
      <c r="I45" s="831">
        <f t="shared" ref="I45:L45" si="5">I38</f>
        <v>0</v>
      </c>
      <c r="J45" s="831">
        <f t="shared" si="5"/>
        <v>0</v>
      </c>
      <c r="K45" s="831">
        <f t="shared" si="5"/>
        <v>0</v>
      </c>
      <c r="L45" s="831">
        <f t="shared" si="5"/>
        <v>0</v>
      </c>
      <c r="S45" s="918"/>
    </row>
    <row r="46" spans="2:19" x14ac:dyDescent="0.25">
      <c r="B46" s="910"/>
      <c r="D46" s="1000"/>
      <c r="E46" s="825" t="s">
        <v>1242</v>
      </c>
      <c r="F46" s="826" t="s">
        <v>96</v>
      </c>
      <c r="G46" s="1021"/>
      <c r="H46" s="831"/>
      <c r="I46" s="831">
        <f t="shared" ref="I46:L46" si="6">I39</f>
        <v>0</v>
      </c>
      <c r="J46" s="831">
        <f t="shared" si="6"/>
        <v>0</v>
      </c>
      <c r="K46" s="831">
        <f t="shared" si="6"/>
        <v>0</v>
      </c>
      <c r="L46" s="831">
        <f t="shared" si="6"/>
        <v>0</v>
      </c>
      <c r="S46" s="918"/>
    </row>
    <row r="47" spans="2:19" x14ac:dyDescent="0.25">
      <c r="B47" s="910"/>
      <c r="E47" s="825" t="s">
        <v>1243</v>
      </c>
      <c r="F47" s="826" t="s">
        <v>96</v>
      </c>
      <c r="G47" s="1021"/>
      <c r="H47" s="831"/>
      <c r="I47" s="831">
        <f>I40/2</f>
        <v>1E-3</v>
      </c>
      <c r="J47" s="831">
        <f t="shared" ref="J47:L47" si="7">J40</f>
        <v>2E-3</v>
      </c>
      <c r="K47" s="831">
        <f t="shared" si="7"/>
        <v>2E-3</v>
      </c>
      <c r="L47" s="831">
        <f t="shared" si="7"/>
        <v>2E-3</v>
      </c>
      <c r="S47" s="918"/>
    </row>
    <row r="48" spans="2:19" x14ac:dyDescent="0.25">
      <c r="B48" s="910"/>
      <c r="E48" s="830" t="s">
        <v>1244</v>
      </c>
      <c r="F48" s="812" t="s">
        <v>96</v>
      </c>
      <c r="G48" s="831">
        <f>SUM(G44:G47)</f>
        <v>9.5600000000000004E-2</v>
      </c>
      <c r="H48" s="831">
        <f t="shared" ref="H48:L48" si="8">SUM(H44:H47)</f>
        <v>5.7500000000000002E-2</v>
      </c>
      <c r="I48" s="831">
        <f t="shared" si="8"/>
        <v>5.8500000000000003E-2</v>
      </c>
      <c r="J48" s="831">
        <f t="shared" si="8"/>
        <v>5.9500000000000004E-2</v>
      </c>
      <c r="K48" s="831">
        <f t="shared" si="8"/>
        <v>5.9500000000000004E-2</v>
      </c>
      <c r="L48" s="831">
        <f t="shared" si="8"/>
        <v>5.9500000000000004E-2</v>
      </c>
      <c r="S48" s="919"/>
    </row>
    <row r="49" spans="2:19" x14ac:dyDescent="0.25">
      <c r="B49" s="910"/>
      <c r="E49" s="830"/>
      <c r="F49" s="812"/>
      <c r="G49" s="831"/>
      <c r="H49" s="823"/>
      <c r="I49" s="823"/>
      <c r="J49" s="823"/>
      <c r="K49" s="823"/>
      <c r="L49" s="823"/>
      <c r="S49" s="919"/>
    </row>
    <row r="50" spans="2:19" x14ac:dyDescent="0.25">
      <c r="B50" s="910"/>
      <c r="E50" s="833" t="s">
        <v>1245</v>
      </c>
      <c r="G50" s="887" t="s">
        <v>1284</v>
      </c>
      <c r="H50" s="887" t="s">
        <v>1167</v>
      </c>
      <c r="I50" s="887" t="s">
        <v>1168</v>
      </c>
      <c r="J50" s="887" t="s">
        <v>1169</v>
      </c>
      <c r="K50" s="887" t="s">
        <v>1170</v>
      </c>
      <c r="L50" s="887" t="s">
        <v>1171</v>
      </c>
      <c r="S50" s="916"/>
    </row>
    <row r="51" spans="2:19" hidden="1" x14ac:dyDescent="0.25">
      <c r="B51" s="910"/>
      <c r="E51" s="832" t="s">
        <v>1246</v>
      </c>
      <c r="F51" s="803" t="s">
        <v>1247</v>
      </c>
      <c r="G51" s="859"/>
      <c r="H51" s="859"/>
      <c r="I51" s="859"/>
      <c r="J51" s="859"/>
      <c r="K51" s="859"/>
      <c r="L51" s="859"/>
      <c r="S51" s="920"/>
    </row>
    <row r="52" spans="2:19" hidden="1" x14ac:dyDescent="0.25">
      <c r="B52" s="910"/>
      <c r="E52" s="832" t="s">
        <v>1248</v>
      </c>
      <c r="F52" s="803" t="s">
        <v>96</v>
      </c>
      <c r="G52" s="858"/>
      <c r="H52" s="858"/>
      <c r="I52" s="858"/>
      <c r="J52" s="858"/>
      <c r="K52" s="858"/>
      <c r="L52" s="858"/>
      <c r="S52" s="920"/>
    </row>
    <row r="53" spans="2:19" hidden="1" x14ac:dyDescent="0.25">
      <c r="B53" s="910"/>
      <c r="E53" s="832" t="s">
        <v>1249</v>
      </c>
      <c r="F53" s="803" t="s">
        <v>1247</v>
      </c>
      <c r="G53" s="888" t="e">
        <f>G51/G52</f>
        <v>#DIV/0!</v>
      </c>
      <c r="H53" s="888" t="e">
        <f>H51/H52</f>
        <v>#DIV/0!</v>
      </c>
      <c r="I53" s="888" t="e">
        <f t="shared" ref="I53:L53" si="9">I51/I52</f>
        <v>#DIV/0!</v>
      </c>
      <c r="J53" s="888" t="e">
        <f t="shared" si="9"/>
        <v>#DIV/0!</v>
      </c>
      <c r="K53" s="888" t="e">
        <f t="shared" si="9"/>
        <v>#DIV/0!</v>
      </c>
      <c r="L53" s="888" t="e">
        <f t="shared" si="9"/>
        <v>#DIV/0!</v>
      </c>
      <c r="S53" s="921"/>
    </row>
    <row r="54" spans="2:19" x14ac:dyDescent="0.25">
      <c r="B54" s="910"/>
      <c r="E54" s="830" t="s">
        <v>1412</v>
      </c>
      <c r="F54" s="812" t="s">
        <v>1250</v>
      </c>
      <c r="G54" s="1060">
        <v>2139.0500000000002</v>
      </c>
      <c r="H54" s="1060">
        <v>2139.0500000000002</v>
      </c>
      <c r="I54" s="1060">
        <v>2139.0500000000002</v>
      </c>
      <c r="J54" s="1060">
        <v>2139.0500000000002</v>
      </c>
      <c r="K54" s="1060">
        <v>2139.0500000000002</v>
      </c>
      <c r="L54" s="1060">
        <v>2139.0500000000002</v>
      </c>
      <c r="S54" s="922" t="s">
        <v>1426</v>
      </c>
    </row>
    <row r="55" spans="2:19" x14ac:dyDescent="0.25">
      <c r="B55" s="910"/>
      <c r="E55" s="830" t="s">
        <v>2833</v>
      </c>
      <c r="F55" s="812" t="s">
        <v>1250</v>
      </c>
      <c r="G55" s="1060">
        <v>2531</v>
      </c>
      <c r="H55" s="1060">
        <f>H54</f>
        <v>2139.0500000000002</v>
      </c>
      <c r="I55" s="1060">
        <f t="shared" ref="I55:L55" si="10">I54</f>
        <v>2139.0500000000002</v>
      </c>
      <c r="J55" s="1060">
        <f t="shared" si="10"/>
        <v>2139.0500000000002</v>
      </c>
      <c r="K55" s="1060">
        <f t="shared" si="10"/>
        <v>2139.0500000000002</v>
      </c>
      <c r="L55" s="1060">
        <f t="shared" si="10"/>
        <v>2139.0500000000002</v>
      </c>
      <c r="S55" s="923"/>
    </row>
    <row r="56" spans="2:19" x14ac:dyDescent="0.25">
      <c r="B56" s="910"/>
      <c r="S56" s="923"/>
    </row>
    <row r="57" spans="2:19" ht="29" x14ac:dyDescent="0.25">
      <c r="B57" s="910">
        <v>6</v>
      </c>
      <c r="C57" s="806" t="s">
        <v>1251</v>
      </c>
      <c r="D57" s="806" t="s">
        <v>1252</v>
      </c>
      <c r="E57" s="832" t="s">
        <v>1253</v>
      </c>
      <c r="F57" s="803" t="s">
        <v>103</v>
      </c>
      <c r="G57" s="820">
        <v>0.5</v>
      </c>
      <c r="H57" s="820">
        <v>0.5</v>
      </c>
      <c r="I57" s="820">
        <v>0.5</v>
      </c>
      <c r="J57" s="820">
        <v>0.5</v>
      </c>
      <c r="K57" s="820">
        <v>0.5</v>
      </c>
      <c r="L57" s="820">
        <v>0.5</v>
      </c>
      <c r="S57" s="925" t="s">
        <v>1427</v>
      </c>
    </row>
    <row r="58" spans="2:19" x14ac:dyDescent="0.25">
      <c r="B58" s="910"/>
      <c r="E58" s="832" t="s">
        <v>1254</v>
      </c>
      <c r="F58" s="803" t="s">
        <v>1255</v>
      </c>
      <c r="G58" s="835"/>
      <c r="H58" s="835">
        <v>10000</v>
      </c>
      <c r="I58" s="835">
        <v>10000</v>
      </c>
      <c r="J58" s="835">
        <v>10000</v>
      </c>
      <c r="K58" s="835">
        <v>10000</v>
      </c>
      <c r="L58" s="835">
        <v>10000</v>
      </c>
      <c r="S58" s="923" t="s">
        <v>1256</v>
      </c>
    </row>
    <row r="59" spans="2:19" x14ac:dyDescent="0.25">
      <c r="B59" s="910"/>
      <c r="E59" s="804" t="s">
        <v>1257</v>
      </c>
      <c r="F59" s="803" t="s">
        <v>726</v>
      </c>
      <c r="G59" s="835"/>
      <c r="H59" s="835">
        <v>60000</v>
      </c>
      <c r="I59" s="835"/>
      <c r="J59" s="835"/>
      <c r="K59" s="835"/>
      <c r="L59" s="835"/>
      <c r="N59"/>
      <c r="O59"/>
      <c r="P59"/>
      <c r="Q59"/>
      <c r="S59" s="923" t="s">
        <v>1258</v>
      </c>
    </row>
    <row r="60" spans="2:19" x14ac:dyDescent="0.25">
      <c r="B60" s="910"/>
      <c r="E60" s="804" t="s">
        <v>1259</v>
      </c>
      <c r="F60" s="803" t="s">
        <v>96</v>
      </c>
      <c r="G60" s="1023"/>
      <c r="H60" s="1023">
        <v>0.03</v>
      </c>
      <c r="I60" s="1023">
        <f>H60</f>
        <v>0.03</v>
      </c>
      <c r="J60" s="1023">
        <f t="shared" ref="J60:L60" si="11">I60</f>
        <v>0.03</v>
      </c>
      <c r="K60" s="1023">
        <f t="shared" si="11"/>
        <v>0.03</v>
      </c>
      <c r="L60" s="1023">
        <f t="shared" si="11"/>
        <v>0.03</v>
      </c>
      <c r="N60"/>
      <c r="O60"/>
      <c r="P60"/>
      <c r="Q60"/>
      <c r="S60" s="923" t="s">
        <v>1256</v>
      </c>
    </row>
    <row r="61" spans="2:19" x14ac:dyDescent="0.25">
      <c r="B61" s="910"/>
      <c r="F61" s="803"/>
      <c r="G61" s="835"/>
      <c r="H61" s="835"/>
      <c r="I61" s="835"/>
      <c r="J61" s="835"/>
      <c r="K61" s="835"/>
      <c r="L61" s="835"/>
      <c r="N61"/>
      <c r="O61"/>
      <c r="P61"/>
      <c r="Q61"/>
      <c r="S61" s="923"/>
    </row>
    <row r="62" spans="2:19" x14ac:dyDescent="0.25">
      <c r="B62" s="910"/>
      <c r="E62" s="891" t="s">
        <v>2830</v>
      </c>
      <c r="F62" s="803" t="s">
        <v>103</v>
      </c>
      <c r="G62" s="820">
        <v>3.2469999999999999</v>
      </c>
      <c r="H62" s="937">
        <f>H57</f>
        <v>0.5</v>
      </c>
      <c r="I62" s="937">
        <f t="shared" ref="I62:L62" si="12">I57</f>
        <v>0.5</v>
      </c>
      <c r="J62" s="937">
        <f t="shared" si="12"/>
        <v>0.5</v>
      </c>
      <c r="K62" s="937">
        <f t="shared" si="12"/>
        <v>0.5</v>
      </c>
      <c r="L62" s="937">
        <f t="shared" si="12"/>
        <v>0.5</v>
      </c>
      <c r="N62"/>
      <c r="O62"/>
      <c r="P62"/>
      <c r="Q62"/>
      <c r="S62" s="923"/>
    </row>
    <row r="63" spans="2:19" x14ac:dyDescent="0.25">
      <c r="B63" s="910"/>
      <c r="F63" s="803"/>
      <c r="G63" s="835"/>
      <c r="H63" s="835"/>
      <c r="I63" s="835"/>
      <c r="J63" s="835"/>
      <c r="K63" s="835"/>
      <c r="L63" s="835"/>
      <c r="N63"/>
      <c r="O63"/>
      <c r="P63"/>
      <c r="Q63"/>
      <c r="S63" s="923"/>
    </row>
    <row r="64" spans="2:19" x14ac:dyDescent="0.25">
      <c r="B64" s="910"/>
      <c r="F64" s="803"/>
      <c r="G64" s="835"/>
      <c r="H64" s="835"/>
      <c r="I64" s="835"/>
      <c r="J64" s="835"/>
      <c r="K64" s="835"/>
      <c r="L64" s="835"/>
      <c r="N64"/>
      <c r="O64"/>
      <c r="P64"/>
      <c r="Q64"/>
      <c r="S64" s="923"/>
    </row>
    <row r="65" spans="2:19" x14ac:dyDescent="0.25">
      <c r="B65" s="910"/>
      <c r="C65" s="806" t="s">
        <v>1260</v>
      </c>
      <c r="D65" s="1025" t="s">
        <v>2846</v>
      </c>
      <c r="F65" s="803"/>
      <c r="G65" s="835"/>
      <c r="H65" s="835"/>
      <c r="I65" s="835"/>
      <c r="J65" s="835"/>
      <c r="K65" s="835"/>
      <c r="L65" s="835"/>
      <c r="N65"/>
      <c r="O65"/>
      <c r="P65"/>
      <c r="Q65"/>
      <c r="S65" s="923"/>
    </row>
    <row r="66" spans="2:19" x14ac:dyDescent="0.25">
      <c r="B66" s="910"/>
      <c r="E66" s="1025" t="s">
        <v>2844</v>
      </c>
      <c r="F66" s="803"/>
      <c r="G66" s="835"/>
      <c r="H66" s="835"/>
      <c r="I66" s="835"/>
      <c r="J66" s="835"/>
      <c r="K66" s="835"/>
      <c r="L66" s="835"/>
      <c r="N66"/>
      <c r="O66"/>
      <c r="P66"/>
      <c r="Q66"/>
      <c r="S66" s="923"/>
    </row>
    <row r="67" spans="2:19" x14ac:dyDescent="0.25">
      <c r="B67" s="910"/>
      <c r="E67" s="832" t="s">
        <v>1261</v>
      </c>
      <c r="F67" s="803" t="s">
        <v>1262</v>
      </c>
      <c r="G67" s="835"/>
      <c r="H67" s="835"/>
      <c r="I67" s="835"/>
      <c r="J67" s="835"/>
      <c r="K67" s="835"/>
      <c r="L67" s="835"/>
      <c r="N67"/>
      <c r="O67"/>
      <c r="P67"/>
      <c r="Q67"/>
      <c r="S67" s="923"/>
    </row>
    <row r="68" spans="2:19" x14ac:dyDescent="0.25">
      <c r="B68" s="910"/>
      <c r="E68" s="832" t="s">
        <v>1263</v>
      </c>
      <c r="F68" s="803" t="s">
        <v>1262</v>
      </c>
      <c r="G68" s="835"/>
      <c r="H68" s="835"/>
      <c r="I68" s="835"/>
      <c r="J68" s="835"/>
      <c r="K68" s="835"/>
      <c r="L68" s="835"/>
      <c r="N68"/>
      <c r="O68"/>
      <c r="P68"/>
      <c r="Q68"/>
      <c r="S68" s="923" t="s">
        <v>1264</v>
      </c>
    </row>
    <row r="69" spans="2:19" ht="15.5" x14ac:dyDescent="0.25">
      <c r="B69" s="910"/>
      <c r="E69" s="832" t="s">
        <v>1265</v>
      </c>
      <c r="F69" s="803" t="s">
        <v>1262</v>
      </c>
      <c r="G69" s="835">
        <v>3303.42</v>
      </c>
      <c r="H69" s="1381">
        <v>3204.1328385407064</v>
      </c>
      <c r="I69" s="1381">
        <f>G238</f>
        <v>3204.1370133046266</v>
      </c>
      <c r="J69" s="1381">
        <f t="shared" ref="J69:L69" si="13">I69</f>
        <v>3204.1370133046266</v>
      </c>
      <c r="K69" s="1381">
        <f t="shared" si="13"/>
        <v>3204.1370133046266</v>
      </c>
      <c r="L69" s="1028">
        <f t="shared" si="13"/>
        <v>3204.1370133046266</v>
      </c>
      <c r="M69" s="1027" t="s">
        <v>2848</v>
      </c>
      <c r="N69"/>
      <c r="O69"/>
      <c r="P69"/>
      <c r="Q69"/>
      <c r="S69" s="923"/>
    </row>
    <row r="70" spans="2:19" x14ac:dyDescent="0.25">
      <c r="B70" s="910"/>
      <c r="E70" s="832"/>
      <c r="F70" s="803"/>
      <c r="G70" s="835"/>
      <c r="H70" s="835"/>
      <c r="I70" s="835"/>
      <c r="J70" s="835"/>
      <c r="K70" s="835"/>
      <c r="L70" s="835"/>
      <c r="N70"/>
      <c r="O70"/>
      <c r="P70"/>
      <c r="Q70"/>
      <c r="S70" s="923"/>
    </row>
    <row r="71" spans="2:19" x14ac:dyDescent="0.25">
      <c r="B71" s="910"/>
      <c r="E71" s="1025" t="s">
        <v>2845</v>
      </c>
      <c r="F71" s="803"/>
      <c r="G71" s="835"/>
      <c r="H71" s="835"/>
      <c r="I71" s="835"/>
      <c r="J71" s="835"/>
      <c r="K71" s="835"/>
      <c r="L71" s="835"/>
      <c r="N71"/>
      <c r="O71"/>
      <c r="P71"/>
      <c r="Q71"/>
      <c r="S71" s="923"/>
    </row>
    <row r="72" spans="2:19" ht="15.5" x14ac:dyDescent="0.25">
      <c r="B72" s="910"/>
      <c r="E72" s="832" t="s">
        <v>1265</v>
      </c>
      <c r="F72" s="803" t="s">
        <v>1262</v>
      </c>
      <c r="G72" s="835"/>
      <c r="H72" s="1029">
        <v>4682.4400924482306</v>
      </c>
      <c r="I72" s="1029"/>
      <c r="J72" s="1028">
        <f t="shared" ref="J72:L72" si="14">I72</f>
        <v>0</v>
      </c>
      <c r="K72" s="1028">
        <f t="shared" si="14"/>
        <v>0</v>
      </c>
      <c r="L72" s="1028">
        <f t="shared" si="14"/>
        <v>0</v>
      </c>
      <c r="M72" s="1027" t="s">
        <v>2848</v>
      </c>
      <c r="N72"/>
      <c r="O72"/>
      <c r="P72"/>
      <c r="Q72"/>
      <c r="S72" s="923"/>
    </row>
    <row r="73" spans="2:19" x14ac:dyDescent="0.25">
      <c r="B73" s="910"/>
      <c r="E73" s="832"/>
      <c r="F73" s="803"/>
      <c r="G73" s="835"/>
      <c r="H73" s="835"/>
      <c r="I73" s="835"/>
      <c r="J73" s="835"/>
      <c r="K73" s="835"/>
      <c r="L73" s="835"/>
      <c r="N73"/>
      <c r="O73"/>
      <c r="P73"/>
      <c r="Q73"/>
      <c r="S73" s="923"/>
    </row>
    <row r="74" spans="2:19" ht="15.5" x14ac:dyDescent="0.25">
      <c r="B74" s="910"/>
      <c r="D74" s="1026" t="s">
        <v>2847</v>
      </c>
      <c r="E74" s="1027" t="s">
        <v>2844</v>
      </c>
      <c r="F74" s="890" t="s">
        <v>1413</v>
      </c>
      <c r="G74" s="835"/>
      <c r="H74" s="1030">
        <f>(H54*($G$7*24*365/1000*85%)-F2.2!J109)*1000/(H69-85)</f>
        <v>3362595.352926814</v>
      </c>
      <c r="I74" s="1030">
        <f>(I54*($G$7*24*365/1000*85%)-F2.2!K109)*1000/(I69-85)</f>
        <v>3362832.8040284114</v>
      </c>
      <c r="J74" s="1030">
        <f>(J54*($G$7*24*366/1000*85%)-F2.2!L109)*1000/(J69-85)</f>
        <v>3372046.0445873928</v>
      </c>
      <c r="K74" s="1030">
        <f>(K54*($G$7*24*365/1000*85%)-F2.2!M109)*1000/(K69-85)</f>
        <v>3362832.8040284114</v>
      </c>
      <c r="L74" s="1030">
        <f>(L54*($G$7*24*365/1000*85%)-F2.2!N109)*1000/(L69-85)</f>
        <v>3362832.8040284114</v>
      </c>
      <c r="M74" s="1027" t="s">
        <v>2848</v>
      </c>
      <c r="N74"/>
      <c r="O74"/>
      <c r="P74"/>
      <c r="Q74"/>
      <c r="S74" s="923"/>
    </row>
    <row r="75" spans="2:19" ht="15.5" x14ac:dyDescent="0.25">
      <c r="B75" s="910"/>
      <c r="E75" s="891" t="s">
        <v>2845</v>
      </c>
      <c r="F75" s="890" t="s">
        <v>1413</v>
      </c>
      <c r="G75" s="835"/>
      <c r="H75" s="1030">
        <v>0</v>
      </c>
      <c r="I75" s="1031">
        <f>H75</f>
        <v>0</v>
      </c>
      <c r="J75" s="1031">
        <f t="shared" ref="J75:L75" si="15">I75</f>
        <v>0</v>
      </c>
      <c r="K75" s="1031">
        <f t="shared" si="15"/>
        <v>0</v>
      </c>
      <c r="L75" s="1031">
        <f t="shared" si="15"/>
        <v>0</v>
      </c>
      <c r="M75" s="1027" t="s">
        <v>2848</v>
      </c>
      <c r="N75"/>
      <c r="O75"/>
      <c r="P75"/>
      <c r="Q75"/>
      <c r="S75" s="923"/>
    </row>
    <row r="76" spans="2:19" x14ac:dyDescent="0.25">
      <c r="B76" s="910"/>
      <c r="E76" s="832"/>
      <c r="F76" s="803"/>
      <c r="G76" s="835"/>
      <c r="H76" s="835"/>
      <c r="I76" s="835"/>
      <c r="J76" s="835"/>
      <c r="K76" s="835"/>
      <c r="L76" s="835"/>
      <c r="N76"/>
      <c r="O76"/>
      <c r="P76"/>
      <c r="Q76"/>
      <c r="S76" s="923"/>
    </row>
    <row r="77" spans="2:19" ht="29" x14ac:dyDescent="0.25">
      <c r="B77" s="910"/>
      <c r="E77" s="832" t="s">
        <v>1266</v>
      </c>
      <c r="F77" s="803" t="s">
        <v>1262</v>
      </c>
      <c r="G77" s="835">
        <v>120</v>
      </c>
      <c r="H77" s="835">
        <v>85</v>
      </c>
      <c r="I77" s="835">
        <v>85</v>
      </c>
      <c r="J77" s="835">
        <v>85</v>
      </c>
      <c r="K77" s="835">
        <v>85</v>
      </c>
      <c r="L77" s="835">
        <v>85</v>
      </c>
      <c r="N77"/>
      <c r="O77"/>
      <c r="P77"/>
      <c r="Q77"/>
      <c r="S77" s="925" t="s">
        <v>1428</v>
      </c>
    </row>
    <row r="78" spans="2:19" x14ac:dyDescent="0.25">
      <c r="B78" s="910"/>
      <c r="E78" s="832" t="s">
        <v>1267</v>
      </c>
      <c r="F78" s="803" t="s">
        <v>1262</v>
      </c>
      <c r="G78" s="835">
        <f t="shared" ref="G78:L78" si="16">G69-G77</f>
        <v>3183.42</v>
      </c>
      <c r="H78" s="835">
        <f t="shared" si="16"/>
        <v>3119.1328385407064</v>
      </c>
      <c r="I78" s="835">
        <f t="shared" si="16"/>
        <v>3119.1370133046266</v>
      </c>
      <c r="J78" s="835">
        <f t="shared" si="16"/>
        <v>3119.1370133046266</v>
      </c>
      <c r="K78" s="835">
        <f t="shared" si="16"/>
        <v>3119.1370133046266</v>
      </c>
      <c r="L78" s="835">
        <f t="shared" si="16"/>
        <v>3119.1370133046266</v>
      </c>
      <c r="N78"/>
      <c r="O78"/>
      <c r="P78"/>
      <c r="Q78"/>
      <c r="S78" s="923"/>
    </row>
    <row r="79" spans="2:19" ht="29" x14ac:dyDescent="0.25">
      <c r="B79" s="910"/>
      <c r="E79" s="889" t="s">
        <v>1411</v>
      </c>
      <c r="F79" s="803" t="s">
        <v>96</v>
      </c>
      <c r="G79" s="836">
        <v>8.0000000000000002E-3</v>
      </c>
      <c r="H79" s="836">
        <v>8.0000000000000002E-3</v>
      </c>
      <c r="I79" s="836">
        <v>8.0000000000000002E-3</v>
      </c>
      <c r="J79" s="836">
        <v>8.0000000000000002E-3</v>
      </c>
      <c r="K79" s="836">
        <v>8.0000000000000002E-3</v>
      </c>
      <c r="L79" s="836">
        <v>8.0000000000000002E-3</v>
      </c>
      <c r="N79"/>
      <c r="O79"/>
      <c r="P79"/>
      <c r="Q79"/>
      <c r="S79" s="925" t="s">
        <v>1429</v>
      </c>
    </row>
    <row r="80" spans="2:19" x14ac:dyDescent="0.25">
      <c r="B80" s="910"/>
      <c r="E80" s="889" t="s">
        <v>2825</v>
      </c>
      <c r="F80" s="803" t="s">
        <v>96</v>
      </c>
      <c r="G80" s="836">
        <v>1.3599999999999999E-2</v>
      </c>
      <c r="H80" s="836">
        <f>H79</f>
        <v>8.0000000000000002E-3</v>
      </c>
      <c r="I80" s="836">
        <f t="shared" ref="I80:L80" si="17">I79</f>
        <v>8.0000000000000002E-3</v>
      </c>
      <c r="J80" s="836">
        <f t="shared" si="17"/>
        <v>8.0000000000000002E-3</v>
      </c>
      <c r="K80" s="836">
        <f t="shared" si="17"/>
        <v>8.0000000000000002E-3</v>
      </c>
      <c r="L80" s="836">
        <f t="shared" si="17"/>
        <v>8.0000000000000002E-3</v>
      </c>
      <c r="N80"/>
      <c r="O80"/>
      <c r="P80"/>
      <c r="Q80"/>
      <c r="S80" s="923"/>
    </row>
    <row r="81" spans="2:19" x14ac:dyDescent="0.25">
      <c r="B81" s="910"/>
      <c r="E81" s="804" t="s">
        <v>1268</v>
      </c>
      <c r="F81" s="803" t="s">
        <v>96</v>
      </c>
      <c r="G81" s="1023"/>
      <c r="H81" s="1023">
        <v>0.03</v>
      </c>
      <c r="I81" s="1023">
        <v>0.03</v>
      </c>
      <c r="J81" s="1023">
        <v>0.03</v>
      </c>
      <c r="K81" s="1023">
        <v>0.03</v>
      </c>
      <c r="L81" s="1023">
        <v>0.03</v>
      </c>
      <c r="N81"/>
      <c r="O81"/>
      <c r="P81"/>
      <c r="Q81"/>
      <c r="S81" s="923" t="s">
        <v>1256</v>
      </c>
    </row>
    <row r="82" spans="2:19" hidden="1" x14ac:dyDescent="0.25">
      <c r="B82" s="910"/>
      <c r="F82" s="803"/>
      <c r="G82" s="1023"/>
      <c r="H82" s="1023"/>
      <c r="I82" s="1023"/>
      <c r="J82" s="1023"/>
      <c r="K82" s="1023"/>
      <c r="L82" s="1023"/>
      <c r="N82"/>
      <c r="O82"/>
      <c r="P82"/>
      <c r="Q82"/>
      <c r="S82" s="923" t="s">
        <v>1256</v>
      </c>
    </row>
    <row r="83" spans="2:19" hidden="1" x14ac:dyDescent="0.25">
      <c r="B83" s="910"/>
      <c r="F83" s="803"/>
      <c r="G83" s="1277"/>
      <c r="H83" s="1277"/>
      <c r="I83" s="1277"/>
      <c r="J83" s="1277"/>
      <c r="K83" s="1277"/>
      <c r="L83" s="1277"/>
      <c r="N83"/>
      <c r="O83"/>
      <c r="P83"/>
      <c r="Q83"/>
      <c r="S83" s="923"/>
    </row>
    <row r="84" spans="2:19" x14ac:dyDescent="0.25">
      <c r="B84" s="910"/>
      <c r="F84" s="803"/>
      <c r="G84" s="1278"/>
      <c r="H84" s="1278"/>
      <c r="I84" s="1278"/>
      <c r="J84" s="1278"/>
      <c r="K84" s="1278"/>
      <c r="L84" s="1278"/>
      <c r="N84" s="837"/>
      <c r="O84"/>
      <c r="P84"/>
      <c r="Q84"/>
      <c r="S84" s="923"/>
    </row>
    <row r="85" spans="2:19" x14ac:dyDescent="0.25">
      <c r="B85" s="910"/>
      <c r="E85" s="811"/>
      <c r="F85" s="812"/>
      <c r="G85" s="838"/>
      <c r="H85" s="838"/>
      <c r="I85" s="838"/>
      <c r="J85" s="838"/>
      <c r="K85" s="838"/>
      <c r="L85" s="838"/>
      <c r="N85" s="839"/>
      <c r="O85"/>
      <c r="P85"/>
      <c r="Q85"/>
      <c r="S85" s="923"/>
    </row>
    <row r="86" spans="2:19" hidden="1" x14ac:dyDescent="0.25">
      <c r="B86" s="910"/>
      <c r="E86" s="811"/>
      <c r="F86" s="812"/>
      <c r="G86" s="838"/>
      <c r="H86" s="838"/>
      <c r="I86" s="838"/>
      <c r="J86" s="838"/>
      <c r="K86" s="838"/>
      <c r="L86" s="838"/>
      <c r="N86" s="839"/>
      <c r="O86"/>
      <c r="P86"/>
      <c r="Q86"/>
      <c r="S86" s="923"/>
    </row>
    <row r="87" spans="2:19" hidden="1" x14ac:dyDescent="0.25">
      <c r="B87" s="910"/>
      <c r="D87" s="806"/>
      <c r="E87" s="811"/>
      <c r="F87" s="812"/>
      <c r="G87" s="838"/>
      <c r="H87" s="838"/>
      <c r="I87" s="838"/>
      <c r="J87" s="838"/>
      <c r="K87" s="838"/>
      <c r="L87" s="838"/>
      <c r="N87" s="839"/>
      <c r="O87"/>
      <c r="P87"/>
      <c r="Q87"/>
      <c r="S87" s="923"/>
    </row>
    <row r="88" spans="2:19" hidden="1" x14ac:dyDescent="0.25">
      <c r="B88" s="910"/>
      <c r="E88" s="832"/>
      <c r="F88" s="890"/>
      <c r="G88" s="838"/>
      <c r="H88" s="838"/>
      <c r="I88" s="838"/>
      <c r="J88" s="838"/>
      <c r="K88" s="838"/>
      <c r="L88" s="838"/>
      <c r="N88" s="839"/>
      <c r="O88"/>
      <c r="P88"/>
      <c r="Q88"/>
      <c r="S88" s="923"/>
    </row>
    <row r="89" spans="2:19" hidden="1" x14ac:dyDescent="0.25">
      <c r="B89" s="910"/>
      <c r="E89" s="832"/>
      <c r="F89" s="890"/>
      <c r="G89" s="838"/>
      <c r="H89" s="838"/>
      <c r="I89" s="838"/>
      <c r="J89" s="838"/>
      <c r="K89" s="838"/>
      <c r="L89" s="838"/>
      <c r="N89" s="839"/>
      <c r="O89"/>
      <c r="P89"/>
      <c r="Q89"/>
      <c r="S89" s="923"/>
    </row>
    <row r="90" spans="2:19" hidden="1" x14ac:dyDescent="0.25">
      <c r="B90" s="910"/>
      <c r="E90" s="832"/>
      <c r="F90" s="890"/>
      <c r="G90" s="838"/>
      <c r="H90" s="838"/>
      <c r="I90" s="838"/>
      <c r="J90" s="838"/>
      <c r="K90" s="838"/>
      <c r="L90" s="838"/>
      <c r="N90" s="839"/>
      <c r="O90"/>
      <c r="P90"/>
      <c r="Q90"/>
      <c r="S90" s="923"/>
    </row>
    <row r="91" spans="2:19" hidden="1" x14ac:dyDescent="0.25">
      <c r="B91" s="910"/>
      <c r="E91" s="832"/>
      <c r="F91" s="803"/>
      <c r="G91" s="838"/>
      <c r="H91" s="838"/>
      <c r="I91" s="838"/>
      <c r="J91" s="838"/>
      <c r="K91" s="838"/>
      <c r="L91" s="838"/>
      <c r="N91" s="839"/>
      <c r="O91"/>
      <c r="P91"/>
      <c r="Q91"/>
      <c r="S91" s="923"/>
    </row>
    <row r="92" spans="2:19" hidden="1" x14ac:dyDescent="0.25">
      <c r="B92" s="910"/>
      <c r="E92" s="832"/>
      <c r="F92" s="803"/>
      <c r="G92" s="838"/>
      <c r="H92" s="838"/>
      <c r="I92" s="838"/>
      <c r="J92" s="838"/>
      <c r="K92" s="838"/>
      <c r="L92" s="838"/>
      <c r="N92" s="839"/>
      <c r="O92"/>
      <c r="P92"/>
      <c r="Q92"/>
      <c r="S92" s="923"/>
    </row>
    <row r="93" spans="2:19" hidden="1" x14ac:dyDescent="0.25">
      <c r="B93" s="910"/>
      <c r="E93" s="889"/>
      <c r="F93" s="803"/>
      <c r="G93" s="838"/>
      <c r="H93" s="838"/>
      <c r="I93" s="838"/>
      <c r="J93" s="838"/>
      <c r="K93" s="838"/>
      <c r="L93" s="838"/>
      <c r="N93" s="839"/>
      <c r="O93"/>
      <c r="P93"/>
      <c r="Q93"/>
      <c r="S93" s="923"/>
    </row>
    <row r="94" spans="2:19" hidden="1" x14ac:dyDescent="0.25">
      <c r="B94" s="910"/>
      <c r="E94" s="832"/>
      <c r="F94" s="803"/>
      <c r="G94" s="840"/>
      <c r="H94" s="840"/>
      <c r="I94" s="840"/>
      <c r="J94" s="840"/>
      <c r="K94" s="840"/>
      <c r="L94" s="840"/>
      <c r="N94" s="839"/>
      <c r="S94" s="923"/>
    </row>
    <row r="95" spans="2:19" hidden="1" x14ac:dyDescent="0.25">
      <c r="B95" s="910"/>
      <c r="E95" s="832"/>
      <c r="F95" s="803"/>
      <c r="G95" s="892"/>
      <c r="H95" s="892"/>
      <c r="I95" s="892"/>
      <c r="J95" s="892"/>
      <c r="K95" s="892"/>
      <c r="L95" s="892"/>
      <c r="N95" s="839"/>
      <c r="S95" s="923"/>
    </row>
    <row r="96" spans="2:19" hidden="1" x14ac:dyDescent="0.25">
      <c r="B96" s="910"/>
      <c r="F96" s="803"/>
      <c r="G96" s="840"/>
      <c r="H96" s="840"/>
      <c r="I96" s="840"/>
      <c r="J96" s="840"/>
      <c r="K96" s="840"/>
      <c r="L96" s="840"/>
      <c r="N96" s="839"/>
      <c r="S96" s="923"/>
    </row>
    <row r="97" spans="2:19" hidden="1" x14ac:dyDescent="0.25">
      <c r="B97" s="910"/>
      <c r="F97" s="803"/>
      <c r="G97" s="840"/>
      <c r="H97" s="840"/>
      <c r="I97" s="840"/>
      <c r="J97" s="840"/>
      <c r="K97" s="840"/>
      <c r="L97" s="840"/>
      <c r="N97" s="839"/>
      <c r="S97" s="923"/>
    </row>
    <row r="98" spans="2:19" hidden="1" x14ac:dyDescent="0.25">
      <c r="B98" s="910"/>
      <c r="F98" s="803"/>
      <c r="G98" s="840"/>
      <c r="H98" s="840"/>
      <c r="I98" s="840"/>
      <c r="J98" s="840"/>
      <c r="K98" s="840"/>
      <c r="L98" s="840"/>
      <c r="N98" s="839"/>
      <c r="S98" s="923"/>
    </row>
    <row r="99" spans="2:19" hidden="1" x14ac:dyDescent="0.25">
      <c r="B99" s="910"/>
      <c r="F99" s="803"/>
      <c r="G99" s="840"/>
      <c r="H99" s="840"/>
      <c r="I99" s="840"/>
      <c r="J99" s="840"/>
      <c r="K99" s="840"/>
      <c r="L99" s="840"/>
      <c r="N99" s="839"/>
      <c r="S99" s="923"/>
    </row>
    <row r="100" spans="2:19" hidden="1" x14ac:dyDescent="0.25">
      <c r="B100" s="910"/>
      <c r="F100" s="803"/>
      <c r="G100" s="840"/>
      <c r="H100" s="840"/>
      <c r="I100" s="840"/>
      <c r="J100" s="840"/>
      <c r="K100" s="840"/>
      <c r="L100" s="840"/>
      <c r="N100" s="839"/>
      <c r="S100" s="923"/>
    </row>
    <row r="101" spans="2:19" x14ac:dyDescent="0.25">
      <c r="B101" s="910"/>
      <c r="D101" s="805"/>
      <c r="E101" s="841"/>
      <c r="F101" s="842"/>
      <c r="G101" s="887" t="s">
        <v>1284</v>
      </c>
      <c r="H101" s="887" t="s">
        <v>1167</v>
      </c>
      <c r="I101" s="887" t="s">
        <v>1168</v>
      </c>
      <c r="J101" s="887" t="s">
        <v>1169</v>
      </c>
      <c r="K101" s="887" t="s">
        <v>1170</v>
      </c>
      <c r="L101" s="887" t="s">
        <v>1171</v>
      </c>
      <c r="S101" s="923"/>
    </row>
    <row r="102" spans="2:19" x14ac:dyDescent="0.25">
      <c r="B102" s="910"/>
      <c r="D102" s="806" t="s">
        <v>1269</v>
      </c>
      <c r="E102" s="811" t="s">
        <v>1270</v>
      </c>
      <c r="F102" s="890" t="s">
        <v>1271</v>
      </c>
      <c r="G102" s="1279"/>
      <c r="H102" s="1279"/>
      <c r="I102" s="1279"/>
      <c r="J102" s="1279"/>
      <c r="K102" s="1279"/>
      <c r="L102" s="1279"/>
      <c r="S102" s="923"/>
    </row>
    <row r="103" spans="2:19" x14ac:dyDescent="0.25">
      <c r="B103" s="910"/>
      <c r="D103" s="806"/>
      <c r="E103" s="804" t="s">
        <v>1272</v>
      </c>
      <c r="F103" s="890"/>
      <c r="G103" s="1280"/>
      <c r="H103" s="1280"/>
      <c r="I103" s="1280"/>
      <c r="J103" s="1280"/>
      <c r="K103" s="1280"/>
      <c r="L103" s="1280"/>
      <c r="S103" s="923"/>
    </row>
    <row r="104" spans="2:19" x14ac:dyDescent="0.25">
      <c r="B104" s="910"/>
      <c r="E104" s="804" t="s">
        <v>1273</v>
      </c>
      <c r="F104" s="890" t="s">
        <v>1274</v>
      </c>
      <c r="G104" s="1281" t="s">
        <v>3072</v>
      </c>
      <c r="H104" s="1281" t="s">
        <v>3072</v>
      </c>
      <c r="I104" s="1281" t="s">
        <v>3072</v>
      </c>
      <c r="J104" s="1281" t="s">
        <v>3072</v>
      </c>
      <c r="K104" s="1281" t="s">
        <v>3072</v>
      </c>
      <c r="L104" s="1281" t="s">
        <v>3072</v>
      </c>
      <c r="S104" s="923" t="s">
        <v>12</v>
      </c>
    </row>
    <row r="105" spans="2:19" x14ac:dyDescent="0.25">
      <c r="B105" s="910"/>
      <c r="E105" s="804" t="s">
        <v>1275</v>
      </c>
      <c r="F105" s="803" t="s">
        <v>96</v>
      </c>
      <c r="G105" s="1282"/>
      <c r="H105" s="1282"/>
      <c r="I105" s="1282"/>
      <c r="J105" s="1282"/>
      <c r="K105" s="1282"/>
      <c r="L105" s="1282"/>
      <c r="S105" s="923"/>
    </row>
    <row r="106" spans="2:19" x14ac:dyDescent="0.25">
      <c r="B106" s="910"/>
      <c r="E106" s="889" t="s">
        <v>1414</v>
      </c>
      <c r="F106" s="803" t="s">
        <v>96</v>
      </c>
      <c r="G106" s="1283">
        <v>7.4999999999999997E-3</v>
      </c>
      <c r="H106" s="1283">
        <v>7.4999999999999997E-3</v>
      </c>
      <c r="I106" s="1283">
        <v>7.4999999999999997E-3</v>
      </c>
      <c r="J106" s="1283">
        <v>7.4999999999999997E-3</v>
      </c>
      <c r="K106" s="1283">
        <v>7.4999999999999997E-3</v>
      </c>
      <c r="L106" s="1283">
        <v>7.4999999999999997E-3</v>
      </c>
      <c r="S106" s="923"/>
    </row>
    <row r="107" spans="2:19" x14ac:dyDescent="0.25">
      <c r="B107" s="910"/>
      <c r="E107" s="889" t="s">
        <v>1415</v>
      </c>
      <c r="F107" s="803" t="s">
        <v>96</v>
      </c>
      <c r="G107" s="1282">
        <v>0.89</v>
      </c>
      <c r="H107" s="1282">
        <v>0.89</v>
      </c>
      <c r="I107" s="1282">
        <v>0.89</v>
      </c>
      <c r="J107" s="1282">
        <v>0.89</v>
      </c>
      <c r="K107" s="1282">
        <v>0.89</v>
      </c>
      <c r="L107" s="1282">
        <v>0.89</v>
      </c>
      <c r="S107" s="923"/>
    </row>
    <row r="108" spans="2:19" ht="29" x14ac:dyDescent="0.25">
      <c r="B108" s="910"/>
      <c r="E108" s="811" t="s">
        <v>1176</v>
      </c>
      <c r="F108" s="803" t="s">
        <v>1416</v>
      </c>
      <c r="G108" s="1284">
        <v>200</v>
      </c>
      <c r="H108" s="1284">
        <v>200</v>
      </c>
      <c r="I108" s="1284">
        <v>200</v>
      </c>
      <c r="J108" s="1284">
        <v>200</v>
      </c>
      <c r="K108" s="1284">
        <v>200</v>
      </c>
      <c r="L108" s="1284">
        <v>200</v>
      </c>
      <c r="S108" s="923"/>
    </row>
    <row r="109" spans="2:19" x14ac:dyDescent="0.25">
      <c r="B109" s="910"/>
      <c r="E109" s="804" t="s">
        <v>1179</v>
      </c>
      <c r="F109" s="890" t="s">
        <v>96</v>
      </c>
      <c r="G109" s="1282">
        <v>0.96</v>
      </c>
      <c r="H109" s="1282">
        <v>0.96</v>
      </c>
      <c r="I109" s="1282">
        <v>0.96</v>
      </c>
      <c r="J109" s="1282">
        <v>0.96</v>
      </c>
      <c r="K109" s="1282">
        <v>0.96</v>
      </c>
      <c r="L109" s="1282">
        <v>0.96</v>
      </c>
      <c r="S109" s="924"/>
    </row>
    <row r="110" spans="2:19" x14ac:dyDescent="0.25">
      <c r="B110" s="910"/>
      <c r="F110" s="890"/>
      <c r="S110" s="924"/>
    </row>
    <row r="111" spans="2:19" x14ac:dyDescent="0.25">
      <c r="B111" s="910"/>
      <c r="D111" s="811" t="s">
        <v>1276</v>
      </c>
      <c r="E111" s="843" t="s">
        <v>1277</v>
      </c>
      <c r="F111" s="890" t="s">
        <v>1274</v>
      </c>
      <c r="G111" s="818">
        <v>116.82</v>
      </c>
      <c r="H111" s="818">
        <v>116.82</v>
      </c>
      <c r="I111" s="818">
        <v>116.82</v>
      </c>
      <c r="J111" s="818">
        <v>116.82</v>
      </c>
      <c r="K111" s="818">
        <v>116.82</v>
      </c>
      <c r="L111" s="818">
        <v>116.82</v>
      </c>
      <c r="S111" s="923" t="s">
        <v>12</v>
      </c>
    </row>
    <row r="112" spans="2:19" x14ac:dyDescent="0.25">
      <c r="B112" s="910"/>
      <c r="E112" s="843" t="s">
        <v>1278</v>
      </c>
      <c r="F112" s="890" t="s">
        <v>96</v>
      </c>
      <c r="G112" s="1285"/>
      <c r="H112" s="1285"/>
      <c r="I112" s="1285"/>
      <c r="J112" s="1285"/>
      <c r="K112" s="1285"/>
      <c r="L112" s="1285"/>
      <c r="S112" s="923"/>
    </row>
    <row r="113" spans="2:19" x14ac:dyDescent="0.25">
      <c r="B113" s="910"/>
      <c r="E113" s="811" t="s">
        <v>1279</v>
      </c>
      <c r="F113" s="803" t="s">
        <v>1280</v>
      </c>
      <c r="G113" s="1279"/>
      <c r="H113" s="1279"/>
      <c r="I113" s="1279"/>
      <c r="J113" s="1279"/>
      <c r="K113" s="1279"/>
      <c r="L113" s="1279"/>
      <c r="S113" s="923"/>
    </row>
    <row r="114" spans="2:19" x14ac:dyDescent="0.25">
      <c r="B114" s="910"/>
      <c r="E114" s="811" t="s">
        <v>1184</v>
      </c>
      <c r="F114" s="803"/>
      <c r="G114" s="1286" t="s">
        <v>2837</v>
      </c>
      <c r="H114" s="1286" t="s">
        <v>2837</v>
      </c>
      <c r="I114" s="1286" t="s">
        <v>2837</v>
      </c>
      <c r="J114" s="1286" t="s">
        <v>2837</v>
      </c>
      <c r="K114" s="1286" t="s">
        <v>2837</v>
      </c>
      <c r="L114" s="1286" t="s">
        <v>2837</v>
      </c>
      <c r="S114" s="923"/>
    </row>
    <row r="115" spans="2:19" x14ac:dyDescent="0.25">
      <c r="B115" s="910"/>
      <c r="E115" s="811" t="s">
        <v>1417</v>
      </c>
      <c r="F115" s="803" t="s">
        <v>1418</v>
      </c>
      <c r="G115" s="1279">
        <v>0.6</v>
      </c>
      <c r="H115" s="1279">
        <v>0.6</v>
      </c>
      <c r="I115" s="1279">
        <v>0.6</v>
      </c>
      <c r="J115" s="1279">
        <v>0.6</v>
      </c>
      <c r="K115" s="1279">
        <v>0.6</v>
      </c>
      <c r="L115" s="1279">
        <v>0.6</v>
      </c>
      <c r="S115" s="923"/>
    </row>
    <row r="116" spans="2:19" x14ac:dyDescent="0.25">
      <c r="B116" s="910"/>
      <c r="F116" s="803"/>
      <c r="S116" s="923"/>
    </row>
    <row r="117" spans="2:19" x14ac:dyDescent="0.25">
      <c r="B117" s="910"/>
      <c r="F117" s="803"/>
      <c r="S117" s="923"/>
    </row>
    <row r="118" spans="2:19" hidden="1" x14ac:dyDescent="0.25">
      <c r="B118" s="910"/>
      <c r="F118" s="890"/>
      <c r="S118" s="923"/>
    </row>
    <row r="119" spans="2:19" hidden="1" x14ac:dyDescent="0.25">
      <c r="B119" s="910"/>
      <c r="F119" s="890"/>
      <c r="S119" s="923"/>
    </row>
    <row r="120" spans="2:19" hidden="1" x14ac:dyDescent="0.25">
      <c r="B120" s="910"/>
      <c r="F120" s="890"/>
      <c r="S120" s="923"/>
    </row>
    <row r="121" spans="2:19" hidden="1" x14ac:dyDescent="0.25">
      <c r="B121" s="910"/>
      <c r="F121" s="890"/>
      <c r="S121" s="923"/>
    </row>
    <row r="122" spans="2:19" hidden="1" x14ac:dyDescent="0.25">
      <c r="B122" s="910"/>
      <c r="F122" s="890"/>
      <c r="S122" s="923"/>
    </row>
    <row r="123" spans="2:19" hidden="1" x14ac:dyDescent="0.25">
      <c r="B123" s="910"/>
      <c r="F123" s="890"/>
      <c r="S123" s="923"/>
    </row>
    <row r="124" spans="2:19" hidden="1" x14ac:dyDescent="0.25">
      <c r="B124" s="910"/>
      <c r="F124" s="890"/>
      <c r="S124" s="923"/>
    </row>
    <row r="125" spans="2:19" hidden="1" x14ac:dyDescent="0.25">
      <c r="B125" s="910"/>
      <c r="F125" s="890"/>
      <c r="S125" s="923"/>
    </row>
    <row r="126" spans="2:19" hidden="1" x14ac:dyDescent="0.25">
      <c r="B126" s="910"/>
      <c r="F126" s="890"/>
      <c r="S126" s="923"/>
    </row>
    <row r="127" spans="2:19" hidden="1" x14ac:dyDescent="0.25">
      <c r="B127" s="910"/>
      <c r="F127" s="890"/>
      <c r="S127" s="923"/>
    </row>
    <row r="128" spans="2:19" hidden="1" x14ac:dyDescent="0.25">
      <c r="B128" s="910"/>
      <c r="F128" s="890"/>
      <c r="S128" s="923"/>
    </row>
    <row r="129" spans="2:19" hidden="1" x14ac:dyDescent="0.25">
      <c r="B129" s="910"/>
      <c r="F129" s="890"/>
      <c r="S129" s="923"/>
    </row>
    <row r="130" spans="2:19" hidden="1" x14ac:dyDescent="0.25">
      <c r="B130" s="910"/>
      <c r="F130" s="890"/>
      <c r="S130" s="923"/>
    </row>
    <row r="131" spans="2:19" hidden="1" x14ac:dyDescent="0.25">
      <c r="B131" s="910"/>
      <c r="F131" s="890"/>
      <c r="S131" s="923"/>
    </row>
    <row r="132" spans="2:19" hidden="1" x14ac:dyDescent="0.25">
      <c r="B132" s="910"/>
      <c r="F132" s="890"/>
      <c r="S132" s="923"/>
    </row>
    <row r="133" spans="2:19" hidden="1" x14ac:dyDescent="0.25">
      <c r="B133" s="910"/>
      <c r="F133" s="890"/>
      <c r="S133" s="923"/>
    </row>
    <row r="134" spans="2:19" hidden="1" x14ac:dyDescent="0.25">
      <c r="B134" s="910"/>
      <c r="F134" s="890"/>
      <c r="S134" s="923"/>
    </row>
    <row r="135" spans="2:19" hidden="1" x14ac:dyDescent="0.25">
      <c r="B135" s="910"/>
      <c r="F135" s="890"/>
      <c r="S135" s="923"/>
    </row>
    <row r="136" spans="2:19" hidden="1" x14ac:dyDescent="0.25">
      <c r="B136" s="910"/>
      <c r="F136" s="890"/>
      <c r="S136" s="923"/>
    </row>
    <row r="137" spans="2:19" hidden="1" x14ac:dyDescent="0.25">
      <c r="B137" s="910"/>
      <c r="F137" s="890"/>
      <c r="S137" s="923"/>
    </row>
    <row r="138" spans="2:19" hidden="1" x14ac:dyDescent="0.25">
      <c r="B138" s="910"/>
      <c r="F138" s="890"/>
      <c r="S138" s="923"/>
    </row>
    <row r="139" spans="2:19" hidden="1" x14ac:dyDescent="0.25">
      <c r="B139" s="910"/>
      <c r="F139" s="890"/>
      <c r="S139" s="923"/>
    </row>
    <row r="140" spans="2:19" hidden="1" x14ac:dyDescent="0.25">
      <c r="B140" s="910"/>
      <c r="F140" s="890"/>
      <c r="S140" s="923"/>
    </row>
    <row r="141" spans="2:19" hidden="1" x14ac:dyDescent="0.25">
      <c r="B141" s="910"/>
      <c r="F141" s="890"/>
      <c r="S141" s="923"/>
    </row>
    <row r="142" spans="2:19" hidden="1" x14ac:dyDescent="0.25">
      <c r="B142" s="910"/>
      <c r="F142" s="890"/>
      <c r="S142" s="923"/>
    </row>
    <row r="143" spans="2:19" hidden="1" x14ac:dyDescent="0.25">
      <c r="B143" s="910"/>
      <c r="F143" s="890"/>
      <c r="S143" s="923"/>
    </row>
    <row r="144" spans="2:19" hidden="1" x14ac:dyDescent="0.25">
      <c r="B144" s="910"/>
      <c r="F144" s="890"/>
      <c r="S144" s="923"/>
    </row>
    <row r="145" spans="2:19" hidden="1" x14ac:dyDescent="0.25">
      <c r="B145" s="910"/>
      <c r="F145" s="890"/>
      <c r="S145" s="923"/>
    </row>
    <row r="146" spans="2:19" hidden="1" x14ac:dyDescent="0.25">
      <c r="B146" s="910"/>
      <c r="F146" s="890"/>
      <c r="S146" s="923"/>
    </row>
    <row r="147" spans="2:19" hidden="1" x14ac:dyDescent="0.25">
      <c r="B147" s="910"/>
      <c r="F147" s="890"/>
      <c r="S147" s="923"/>
    </row>
    <row r="148" spans="2:19" hidden="1" x14ac:dyDescent="0.25">
      <c r="B148" s="910"/>
      <c r="F148" s="890"/>
      <c r="S148" s="923"/>
    </row>
    <row r="149" spans="2:19" hidden="1" x14ac:dyDescent="0.25">
      <c r="B149" s="910">
        <v>7</v>
      </c>
      <c r="C149" s="806" t="s">
        <v>534</v>
      </c>
      <c r="F149" s="890"/>
      <c r="S149" s="923"/>
    </row>
    <row r="150" spans="2:19" hidden="1" x14ac:dyDescent="0.25">
      <c r="B150" s="910"/>
      <c r="S150" s="923"/>
    </row>
    <row r="151" spans="2:19" x14ac:dyDescent="0.25">
      <c r="B151" s="910"/>
      <c r="S151" s="923"/>
    </row>
    <row r="152" spans="2:19" x14ac:dyDescent="0.25">
      <c r="B152" s="910">
        <v>8</v>
      </c>
      <c r="C152" s="806" t="s">
        <v>1281</v>
      </c>
      <c r="D152" s="806" t="s">
        <v>1282</v>
      </c>
      <c r="E152" s="811" t="s">
        <v>1283</v>
      </c>
      <c r="O152" s="844"/>
      <c r="S152" s="923"/>
    </row>
    <row r="153" spans="2:19" x14ac:dyDescent="0.25">
      <c r="B153" s="910"/>
      <c r="C153" s="806"/>
      <c r="D153" s="806"/>
      <c r="E153" s="804" t="s">
        <v>1284</v>
      </c>
      <c r="F153" s="803" t="s">
        <v>1285</v>
      </c>
      <c r="G153" s="845">
        <f>17.27</f>
        <v>17.27</v>
      </c>
      <c r="H153" s="845"/>
      <c r="I153" s="845"/>
      <c r="J153" s="845"/>
      <c r="K153" s="845"/>
      <c r="L153" s="845"/>
      <c r="O153" s="844"/>
      <c r="S153" s="925" t="s">
        <v>1286</v>
      </c>
    </row>
    <row r="154" spans="2:19" x14ac:dyDescent="0.25">
      <c r="B154" s="910"/>
      <c r="C154" s="806"/>
      <c r="D154" s="806"/>
      <c r="E154" s="804" t="s">
        <v>1167</v>
      </c>
      <c r="F154" s="803" t="s">
        <v>1285</v>
      </c>
      <c r="G154" s="845">
        <v>24.21</v>
      </c>
      <c r="H154" s="845"/>
      <c r="I154" s="845"/>
      <c r="J154" s="845"/>
      <c r="K154" s="845"/>
      <c r="L154" s="845"/>
      <c r="N154" s="846"/>
      <c r="O154" s="844"/>
      <c r="S154" s="925" t="s">
        <v>1287</v>
      </c>
    </row>
    <row r="155" spans="2:19" x14ac:dyDescent="0.25">
      <c r="B155" s="910"/>
      <c r="C155" s="806"/>
      <c r="D155" s="806"/>
      <c r="E155" s="804" t="s">
        <v>1168</v>
      </c>
      <c r="F155" s="803" t="s">
        <v>1285</v>
      </c>
      <c r="G155" s="845">
        <v>25.26</v>
      </c>
      <c r="H155" s="845"/>
      <c r="I155" s="845"/>
      <c r="J155" s="845"/>
      <c r="K155" s="845"/>
      <c r="L155" s="845"/>
      <c r="N155" s="847"/>
      <c r="O155" s="844"/>
      <c r="S155" s="925" t="s">
        <v>1287</v>
      </c>
    </row>
    <row r="156" spans="2:19" x14ac:dyDescent="0.25">
      <c r="B156" s="910"/>
      <c r="C156" s="806"/>
      <c r="D156" s="806"/>
      <c r="E156" s="804" t="s">
        <v>1169</v>
      </c>
      <c r="F156" s="803" t="s">
        <v>1285</v>
      </c>
      <c r="G156" s="845">
        <v>26.36</v>
      </c>
      <c r="H156" s="845"/>
      <c r="I156" s="845"/>
      <c r="J156" s="845"/>
      <c r="K156" s="845"/>
      <c r="L156" s="845"/>
      <c r="N156" s="847"/>
      <c r="O156" s="844"/>
      <c r="S156" s="925" t="s">
        <v>1287</v>
      </c>
    </row>
    <row r="157" spans="2:19" x14ac:dyDescent="0.25">
      <c r="B157" s="910"/>
      <c r="C157" s="806"/>
      <c r="D157" s="806"/>
      <c r="E157" s="804" t="s">
        <v>1170</v>
      </c>
      <c r="F157" s="803" t="s">
        <v>1285</v>
      </c>
      <c r="G157" s="845">
        <v>27.5</v>
      </c>
      <c r="H157" s="845"/>
      <c r="I157" s="845"/>
      <c r="J157" s="845"/>
      <c r="K157" s="845"/>
      <c r="L157" s="845"/>
      <c r="N157" s="847"/>
      <c r="O157" s="844"/>
      <c r="S157" s="925" t="s">
        <v>1287</v>
      </c>
    </row>
    <row r="158" spans="2:19" x14ac:dyDescent="0.25">
      <c r="B158" s="910"/>
      <c r="C158" s="806"/>
      <c r="D158" s="806"/>
      <c r="E158" s="804" t="s">
        <v>1171</v>
      </c>
      <c r="F158" s="803" t="s">
        <v>1285</v>
      </c>
      <c r="G158" s="845">
        <v>28.69</v>
      </c>
      <c r="H158" s="845"/>
      <c r="I158" s="845"/>
      <c r="J158" s="845"/>
      <c r="K158" s="845"/>
      <c r="L158" s="845"/>
      <c r="N158" s="847"/>
      <c r="O158" s="844"/>
      <c r="S158" s="925" t="s">
        <v>1287</v>
      </c>
    </row>
    <row r="159" spans="2:19" hidden="1" x14ac:dyDescent="0.25">
      <c r="B159" s="910"/>
      <c r="D159" s="806"/>
      <c r="F159" s="803"/>
      <c r="G159" s="820"/>
      <c r="H159" s="820"/>
      <c r="I159" s="820"/>
      <c r="J159" s="820"/>
      <c r="K159" s="820"/>
      <c r="L159" s="820"/>
      <c r="S159" s="923"/>
    </row>
    <row r="160" spans="2:19" hidden="1" x14ac:dyDescent="0.25">
      <c r="B160" s="910"/>
      <c r="D160" s="806"/>
      <c r="F160" s="803"/>
      <c r="G160" s="848"/>
      <c r="H160" s="848"/>
      <c r="I160" s="848"/>
      <c r="J160" s="848"/>
      <c r="K160" s="848"/>
      <c r="L160" s="848"/>
      <c r="N160" s="814"/>
      <c r="S160" s="926" t="s">
        <v>1288</v>
      </c>
    </row>
    <row r="161" spans="2:19" hidden="1" x14ac:dyDescent="0.25">
      <c r="B161" s="910"/>
      <c r="D161" s="806"/>
      <c r="E161" s="833"/>
      <c r="F161" s="803"/>
      <c r="G161" s="1287"/>
      <c r="H161" s="1287"/>
      <c r="I161" s="1287"/>
      <c r="J161" s="1287"/>
      <c r="K161" s="1287"/>
      <c r="L161" s="1287"/>
      <c r="S161" s="926"/>
    </row>
    <row r="162" spans="2:19" hidden="1" x14ac:dyDescent="0.25">
      <c r="B162" s="910"/>
      <c r="D162" s="806"/>
      <c r="F162" s="803"/>
      <c r="G162" s="808"/>
      <c r="H162" s="808"/>
      <c r="I162" s="808"/>
      <c r="J162" s="808"/>
      <c r="K162" s="808"/>
      <c r="L162" s="808"/>
      <c r="S162" s="926"/>
    </row>
    <row r="163" spans="2:19" hidden="1" x14ac:dyDescent="0.25">
      <c r="B163" s="910"/>
      <c r="D163" s="806"/>
      <c r="F163" s="803"/>
      <c r="G163" s="808"/>
      <c r="H163" s="808"/>
      <c r="I163" s="808"/>
      <c r="J163" s="808"/>
      <c r="K163" s="808"/>
      <c r="L163" s="808"/>
      <c r="S163" s="926"/>
    </row>
    <row r="164" spans="2:19" hidden="1" x14ac:dyDescent="0.25">
      <c r="B164" s="910"/>
      <c r="D164" s="806"/>
      <c r="F164" s="803"/>
      <c r="G164" s="808"/>
      <c r="H164" s="808"/>
      <c r="I164" s="808"/>
      <c r="J164" s="808"/>
      <c r="K164" s="808"/>
      <c r="L164" s="808"/>
      <c r="S164" s="927"/>
    </row>
    <row r="165" spans="2:19" hidden="1" x14ac:dyDescent="0.25">
      <c r="B165" s="910"/>
      <c r="D165" s="806"/>
      <c r="E165" s="811"/>
      <c r="F165" s="812"/>
      <c r="G165" s="813"/>
      <c r="H165" s="813"/>
      <c r="I165" s="813"/>
      <c r="J165" s="813"/>
      <c r="K165" s="813"/>
      <c r="L165" s="813"/>
      <c r="S165" s="927"/>
    </row>
    <row r="166" spans="2:19" x14ac:dyDescent="0.25">
      <c r="B166" s="910"/>
      <c r="D166" s="806"/>
      <c r="F166" s="1288"/>
      <c r="G166" s="808"/>
      <c r="H166" s="808"/>
      <c r="I166" s="808"/>
      <c r="J166" s="808"/>
      <c r="K166" s="808"/>
      <c r="L166" s="808"/>
      <c r="S166" s="926"/>
    </row>
    <row r="167" spans="2:19" hidden="1" x14ac:dyDescent="0.35">
      <c r="B167" s="910"/>
      <c r="D167" s="806"/>
      <c r="E167" s="811"/>
      <c r="F167" s="812"/>
      <c r="G167" s="849"/>
      <c r="H167" s="849"/>
      <c r="I167" s="849"/>
      <c r="J167" s="849"/>
      <c r="K167" s="849"/>
      <c r="L167" s="849"/>
      <c r="S167" s="926"/>
    </row>
    <row r="168" spans="2:19" hidden="1" x14ac:dyDescent="0.25">
      <c r="B168" s="910"/>
      <c r="D168" s="806"/>
      <c r="F168" s="803"/>
      <c r="G168" s="850"/>
      <c r="H168" s="850"/>
      <c r="I168" s="850"/>
      <c r="J168" s="850"/>
      <c r="K168" s="850"/>
      <c r="L168" s="850"/>
      <c r="S168" s="926"/>
    </row>
    <row r="169" spans="2:19" x14ac:dyDescent="0.25">
      <c r="B169" s="910"/>
      <c r="D169" s="806"/>
      <c r="F169" s="803"/>
      <c r="G169" s="850"/>
      <c r="H169" s="850"/>
      <c r="I169" s="850"/>
      <c r="J169" s="850"/>
      <c r="K169" s="850"/>
      <c r="L169" s="850"/>
      <c r="S169" s="926" t="s">
        <v>1289</v>
      </c>
    </row>
    <row r="170" spans="2:19" x14ac:dyDescent="0.25">
      <c r="B170" s="910"/>
      <c r="D170" s="806"/>
      <c r="E170" s="804" t="s">
        <v>1156</v>
      </c>
      <c r="F170" s="803" t="s">
        <v>96</v>
      </c>
      <c r="G170" s="850">
        <v>4.3299999999999998E-2</v>
      </c>
      <c r="H170" s="850"/>
      <c r="I170" s="850"/>
      <c r="J170" s="850"/>
      <c r="K170" s="850"/>
      <c r="L170" s="850"/>
      <c r="S170" s="926" t="s">
        <v>1290</v>
      </c>
    </row>
    <row r="171" spans="2:19" x14ac:dyDescent="0.25">
      <c r="B171" s="910"/>
      <c r="D171" s="806"/>
      <c r="F171" s="803"/>
      <c r="G171" s="850"/>
      <c r="H171" s="850"/>
      <c r="I171" s="850"/>
      <c r="J171" s="850"/>
      <c r="K171" s="850"/>
      <c r="L171" s="850"/>
      <c r="S171" s="926"/>
    </row>
    <row r="172" spans="2:19" hidden="1" x14ac:dyDescent="0.25">
      <c r="B172" s="910"/>
      <c r="D172" s="806"/>
      <c r="F172" s="803"/>
      <c r="G172" s="850"/>
      <c r="H172" s="850"/>
      <c r="I172" s="850"/>
      <c r="J172" s="850"/>
      <c r="K172" s="850"/>
      <c r="L172" s="850"/>
      <c r="S172" s="926"/>
    </row>
    <row r="173" spans="2:19" hidden="1" x14ac:dyDescent="0.25">
      <c r="B173" s="910"/>
      <c r="D173" s="806"/>
      <c r="E173" s="889"/>
      <c r="F173" s="812"/>
      <c r="G173" s="898"/>
      <c r="H173" s="850"/>
      <c r="I173" s="850"/>
      <c r="J173" s="850"/>
      <c r="K173" s="850"/>
      <c r="L173" s="850"/>
      <c r="S173" s="926"/>
    </row>
    <row r="174" spans="2:19" hidden="1" x14ac:dyDescent="0.25">
      <c r="B174" s="910"/>
      <c r="D174" s="806"/>
      <c r="E174" s="889"/>
      <c r="F174" s="812"/>
      <c r="G174" s="898"/>
      <c r="H174" s="850"/>
      <c r="I174" s="850"/>
      <c r="J174" s="850"/>
      <c r="K174" s="850"/>
      <c r="L174" s="850"/>
      <c r="S174" s="926"/>
    </row>
    <row r="175" spans="2:19" hidden="1" x14ac:dyDescent="0.25">
      <c r="B175" s="910"/>
      <c r="D175" s="806"/>
      <c r="E175" s="889"/>
      <c r="F175" s="812"/>
      <c r="G175" s="898"/>
      <c r="H175" s="850"/>
      <c r="I175" s="850"/>
      <c r="J175" s="850"/>
      <c r="K175" s="850"/>
      <c r="L175" s="850"/>
      <c r="S175" s="926"/>
    </row>
    <row r="176" spans="2:19" hidden="1" x14ac:dyDescent="0.25">
      <c r="B176" s="910"/>
      <c r="D176" s="806"/>
      <c r="E176" s="889"/>
      <c r="F176" s="812"/>
      <c r="G176" s="898"/>
      <c r="H176" s="850"/>
      <c r="I176" s="850"/>
      <c r="J176" s="850"/>
      <c r="K176" s="850"/>
      <c r="L176" s="850"/>
      <c r="S176" s="926"/>
    </row>
    <row r="177" spans="2:19" hidden="1" x14ac:dyDescent="0.25">
      <c r="B177" s="910"/>
      <c r="D177" s="806"/>
      <c r="E177" s="889"/>
      <c r="F177" s="812"/>
      <c r="G177" s="898"/>
      <c r="H177" s="850"/>
      <c r="I177" s="850"/>
      <c r="J177" s="850"/>
      <c r="K177" s="850"/>
      <c r="L177" s="850"/>
      <c r="S177" s="926"/>
    </row>
    <row r="178" spans="2:19" hidden="1" x14ac:dyDescent="0.25">
      <c r="B178" s="910"/>
      <c r="D178" s="806"/>
      <c r="E178" s="889"/>
      <c r="F178" s="812"/>
      <c r="G178" s="898"/>
      <c r="H178" s="850"/>
      <c r="I178" s="850"/>
      <c r="J178" s="850"/>
      <c r="K178" s="850"/>
      <c r="L178" s="850"/>
      <c r="S178" s="926"/>
    </row>
    <row r="179" spans="2:19" hidden="1" x14ac:dyDescent="0.25">
      <c r="B179" s="910"/>
      <c r="D179" s="806"/>
      <c r="E179" s="889"/>
      <c r="F179" s="812"/>
      <c r="G179" s="898"/>
      <c r="H179" s="850"/>
      <c r="I179" s="850"/>
      <c r="J179" s="850"/>
      <c r="K179" s="850"/>
      <c r="L179" s="850"/>
      <c r="S179" s="926"/>
    </row>
    <row r="180" spans="2:19" hidden="1" x14ac:dyDescent="0.25">
      <c r="B180" s="910"/>
      <c r="D180" s="806"/>
      <c r="E180" s="889"/>
      <c r="F180" s="812"/>
      <c r="G180" s="898"/>
      <c r="H180" s="850"/>
      <c r="I180" s="850"/>
      <c r="J180" s="850"/>
      <c r="K180" s="850"/>
      <c r="L180" s="850"/>
      <c r="S180" s="926"/>
    </row>
    <row r="181" spans="2:19" x14ac:dyDescent="0.25">
      <c r="B181" s="910"/>
      <c r="D181" s="806"/>
      <c r="F181" s="803"/>
      <c r="G181" s="850"/>
      <c r="H181" s="850"/>
      <c r="I181" s="850"/>
      <c r="J181" s="850"/>
      <c r="K181" s="850"/>
      <c r="L181" s="850"/>
      <c r="S181" s="926"/>
    </row>
    <row r="182" spans="2:19" x14ac:dyDescent="0.25">
      <c r="B182" s="910"/>
      <c r="D182" s="806"/>
      <c r="F182" s="803"/>
      <c r="G182" s="850"/>
      <c r="H182" s="850"/>
      <c r="I182" s="850"/>
      <c r="J182" s="850"/>
      <c r="K182" s="850"/>
      <c r="L182" s="850"/>
      <c r="S182" s="926"/>
    </row>
    <row r="183" spans="2:19" x14ac:dyDescent="0.25">
      <c r="B183" s="910">
        <v>9</v>
      </c>
      <c r="C183" s="897" t="s">
        <v>1200</v>
      </c>
      <c r="D183" s="806" t="s">
        <v>1200</v>
      </c>
      <c r="E183" s="889"/>
      <c r="F183" s="890"/>
      <c r="G183" s="850"/>
      <c r="H183" s="850"/>
      <c r="I183" s="850"/>
      <c r="J183" s="850"/>
      <c r="K183" s="850"/>
      <c r="L183" s="850"/>
      <c r="S183" s="926"/>
    </row>
    <row r="184" spans="2:19" x14ac:dyDescent="0.3">
      <c r="B184" s="910"/>
      <c r="D184" s="806"/>
      <c r="E184" s="1" t="s">
        <v>3038</v>
      </c>
      <c r="F184" s="890" t="s">
        <v>1421</v>
      </c>
      <c r="G184" s="898">
        <v>481.19494101247517</v>
      </c>
      <c r="H184" s="898">
        <f>SUM(F14.7!G12)</f>
        <v>26.852357610000009</v>
      </c>
      <c r="I184" s="898">
        <f>F14.7!$I$12</f>
        <v>25.666701377524792</v>
      </c>
      <c r="J184" s="898"/>
      <c r="K184" s="898"/>
      <c r="L184" s="898"/>
      <c r="S184" s="926"/>
    </row>
    <row r="185" spans="2:19" x14ac:dyDescent="0.3">
      <c r="B185" s="910"/>
      <c r="D185" s="806"/>
      <c r="E185" s="1"/>
      <c r="F185" s="890"/>
      <c r="G185" s="850"/>
      <c r="H185" s="898"/>
      <c r="I185" s="898">
        <f>44.052+2.02</f>
        <v>46.072000000000003</v>
      </c>
      <c r="J185" s="898"/>
      <c r="K185" s="898"/>
      <c r="L185" s="898"/>
      <c r="S185" s="926"/>
    </row>
    <row r="186" spans="2:19" hidden="1" x14ac:dyDescent="0.25">
      <c r="B186" s="910"/>
      <c r="D186" s="806"/>
      <c r="F186" s="803"/>
      <c r="G186" s="850"/>
      <c r="H186" s="850"/>
      <c r="I186" s="850"/>
      <c r="J186" s="850"/>
      <c r="K186" s="850"/>
      <c r="L186" s="850"/>
      <c r="S186" s="926"/>
    </row>
    <row r="187" spans="2:19" ht="29" hidden="1" x14ac:dyDescent="0.25">
      <c r="B187" s="910"/>
      <c r="D187" s="806"/>
      <c r="F187" s="803"/>
      <c r="G187" s="848"/>
      <c r="H187" s="848"/>
      <c r="I187" s="848"/>
      <c r="J187" s="848"/>
      <c r="K187" s="848"/>
      <c r="L187" s="848"/>
      <c r="S187" s="925" t="s">
        <v>1430</v>
      </c>
    </row>
    <row r="188" spans="2:19" hidden="1" x14ac:dyDescent="0.25">
      <c r="B188" s="910"/>
      <c r="F188" s="803"/>
      <c r="G188" s="851"/>
      <c r="H188" s="851"/>
      <c r="I188" s="851"/>
      <c r="J188" s="851"/>
      <c r="K188" s="851"/>
      <c r="L188" s="851"/>
      <c r="S188" s="923"/>
    </row>
    <row r="189" spans="2:19" hidden="1" x14ac:dyDescent="0.25">
      <c r="B189" s="910"/>
      <c r="F189" s="803"/>
      <c r="G189" s="852"/>
      <c r="H189" s="937"/>
      <c r="I189" s="937"/>
      <c r="J189" s="937"/>
      <c r="K189" s="937"/>
      <c r="L189" s="937"/>
      <c r="S189" s="928"/>
    </row>
    <row r="190" spans="2:19" hidden="1" x14ac:dyDescent="0.25">
      <c r="B190" s="910"/>
      <c r="F190" s="803"/>
      <c r="G190" s="852"/>
      <c r="H190" s="852"/>
      <c r="I190" s="852"/>
      <c r="J190" s="852"/>
      <c r="K190" s="852"/>
      <c r="L190" s="852"/>
      <c r="S190" s="928"/>
    </row>
    <row r="191" spans="2:19" hidden="1" x14ac:dyDescent="0.25">
      <c r="B191" s="910"/>
      <c r="E191" s="889"/>
      <c r="F191" s="890"/>
      <c r="G191" s="937"/>
      <c r="H191" s="937"/>
      <c r="I191" s="937"/>
      <c r="J191" s="937"/>
      <c r="K191" s="937"/>
      <c r="L191" s="937"/>
      <c r="S191" s="928"/>
    </row>
    <row r="192" spans="2:19" hidden="1" x14ac:dyDescent="0.25">
      <c r="B192" s="910"/>
      <c r="F192" s="803"/>
      <c r="G192" s="852"/>
      <c r="H192" s="852"/>
      <c r="I192" s="852"/>
      <c r="J192" s="852"/>
      <c r="K192" s="852"/>
      <c r="L192" s="852"/>
      <c r="S192" s="928"/>
    </row>
    <row r="193" spans="2:19" hidden="1" x14ac:dyDescent="0.25">
      <c r="B193" s="910"/>
      <c r="F193" s="803"/>
      <c r="G193" s="852"/>
      <c r="H193" s="852"/>
      <c r="I193" s="852"/>
      <c r="J193" s="852"/>
      <c r="K193" s="852"/>
      <c r="L193" s="852"/>
      <c r="S193" s="928"/>
    </row>
    <row r="194" spans="2:19" hidden="1" x14ac:dyDescent="0.25">
      <c r="B194" s="910"/>
      <c r="F194" s="803"/>
      <c r="G194" s="852"/>
      <c r="H194" s="852"/>
      <c r="I194" s="852"/>
      <c r="J194" s="852"/>
      <c r="K194" s="852"/>
      <c r="L194" s="852"/>
      <c r="S194" s="928"/>
    </row>
    <row r="195" spans="2:19" hidden="1" x14ac:dyDescent="0.25">
      <c r="B195" s="910"/>
      <c r="D195" s="806"/>
      <c r="F195" s="803"/>
      <c r="G195" s="852"/>
      <c r="H195" s="852"/>
      <c r="I195" s="852"/>
      <c r="J195" s="852"/>
      <c r="K195" s="852"/>
      <c r="L195" s="852"/>
      <c r="S195" s="928"/>
    </row>
    <row r="196" spans="2:19" hidden="1" x14ac:dyDescent="0.25">
      <c r="B196" s="910"/>
      <c r="F196" s="803"/>
      <c r="N196" s="853"/>
      <c r="S196" s="923"/>
    </row>
    <row r="197" spans="2:19" hidden="1" x14ac:dyDescent="0.25">
      <c r="B197" s="910"/>
      <c r="D197" s="806"/>
      <c r="F197" s="803"/>
      <c r="G197" s="834"/>
      <c r="H197" s="834"/>
      <c r="I197" s="834"/>
      <c r="J197" s="834"/>
      <c r="K197" s="834"/>
      <c r="L197" s="834"/>
      <c r="N197" s="853"/>
      <c r="S197" s="926"/>
    </row>
    <row r="198" spans="2:19" hidden="1" x14ac:dyDescent="0.25">
      <c r="B198" s="910"/>
      <c r="D198" s="806"/>
      <c r="F198" s="803"/>
      <c r="G198" s="820"/>
      <c r="H198" s="820"/>
      <c r="I198" s="820"/>
      <c r="J198" s="820"/>
      <c r="K198" s="820"/>
      <c r="L198" s="820"/>
      <c r="N198" s="853"/>
      <c r="S198" s="926"/>
    </row>
    <row r="199" spans="2:19" hidden="1" x14ac:dyDescent="0.25">
      <c r="B199" s="910"/>
      <c r="D199" s="806"/>
      <c r="F199" s="803"/>
      <c r="G199" s="834"/>
      <c r="H199" s="834"/>
      <c r="I199" s="834"/>
      <c r="J199" s="834"/>
      <c r="K199" s="834"/>
      <c r="L199" s="834"/>
      <c r="N199" s="853"/>
      <c r="S199" s="926"/>
    </row>
    <row r="200" spans="2:19" hidden="1" x14ac:dyDescent="0.25">
      <c r="B200" s="910"/>
      <c r="F200" s="803"/>
      <c r="N200" s="853"/>
      <c r="S200" s="926" t="s">
        <v>1291</v>
      </c>
    </row>
    <row r="201" spans="2:19" hidden="1" x14ac:dyDescent="0.25">
      <c r="B201" s="910"/>
      <c r="D201" s="806"/>
      <c r="F201" s="803"/>
      <c r="G201" s="834"/>
      <c r="H201" s="834"/>
      <c r="I201" s="834"/>
      <c r="J201" s="834"/>
      <c r="K201" s="834"/>
      <c r="L201" s="834"/>
      <c r="N201" s="853"/>
      <c r="S201" s="926"/>
    </row>
    <row r="202" spans="2:19" hidden="1" x14ac:dyDescent="0.25">
      <c r="B202" s="910"/>
      <c r="D202" s="806"/>
      <c r="F202" s="803"/>
      <c r="G202" s="820"/>
      <c r="H202" s="820"/>
      <c r="I202" s="820"/>
      <c r="J202" s="820"/>
      <c r="K202" s="820"/>
      <c r="L202" s="820"/>
      <c r="N202" s="853"/>
      <c r="S202" s="926"/>
    </row>
    <row r="203" spans="2:19" hidden="1" x14ac:dyDescent="0.25">
      <c r="B203" s="910"/>
      <c r="D203" s="806"/>
      <c r="E203" s="889"/>
      <c r="F203" s="803"/>
      <c r="G203" s="820"/>
      <c r="H203" s="820"/>
      <c r="I203" s="820"/>
      <c r="J203" s="820"/>
      <c r="K203" s="820"/>
      <c r="L203" s="820"/>
      <c r="N203" s="853"/>
      <c r="S203" s="926"/>
    </row>
    <row r="204" spans="2:19" hidden="1" x14ac:dyDescent="0.25">
      <c r="B204" s="910"/>
      <c r="D204" s="806"/>
      <c r="F204" s="803"/>
      <c r="G204" s="820"/>
      <c r="H204" s="820"/>
      <c r="I204" s="820"/>
      <c r="J204" s="820"/>
      <c r="K204" s="820"/>
      <c r="L204" s="820"/>
      <c r="N204" s="853"/>
      <c r="S204" s="926"/>
    </row>
    <row r="205" spans="2:19" hidden="1" x14ac:dyDescent="0.25">
      <c r="B205" s="910"/>
      <c r="D205" s="806"/>
      <c r="F205" s="803"/>
      <c r="G205" s="834"/>
      <c r="H205" s="834"/>
      <c r="I205" s="834"/>
      <c r="J205" s="834"/>
      <c r="K205" s="834"/>
      <c r="L205" s="834"/>
      <c r="N205" s="853"/>
      <c r="S205" s="926" t="s">
        <v>1292</v>
      </c>
    </row>
    <row r="206" spans="2:19" hidden="1" x14ac:dyDescent="0.25">
      <c r="B206" s="910"/>
      <c r="D206" s="806"/>
      <c r="F206" s="803"/>
      <c r="G206" s="834"/>
      <c r="H206" s="834"/>
      <c r="I206" s="834"/>
      <c r="J206" s="834"/>
      <c r="K206" s="834"/>
      <c r="L206" s="834"/>
      <c r="N206" s="853"/>
      <c r="S206" s="926"/>
    </row>
    <row r="207" spans="2:19" hidden="1" x14ac:dyDescent="0.25">
      <c r="B207" s="910"/>
      <c r="D207" s="806"/>
      <c r="E207" s="889"/>
      <c r="F207" s="803"/>
      <c r="G207" s="834"/>
      <c r="H207" s="834"/>
      <c r="I207" s="834"/>
      <c r="J207" s="834"/>
      <c r="K207" s="834"/>
      <c r="L207" s="834"/>
      <c r="N207" s="853"/>
      <c r="S207" s="926"/>
    </row>
    <row r="208" spans="2:19" hidden="1" x14ac:dyDescent="0.25">
      <c r="B208" s="910"/>
      <c r="D208" s="806"/>
      <c r="F208" s="803"/>
      <c r="G208" s="834"/>
      <c r="H208" s="834"/>
      <c r="I208" s="834"/>
      <c r="J208" s="834"/>
      <c r="K208" s="834"/>
      <c r="L208" s="834"/>
      <c r="N208" s="853"/>
      <c r="S208" s="926"/>
    </row>
    <row r="209" spans="1:19" ht="58" hidden="1" x14ac:dyDescent="0.25">
      <c r="B209" s="910"/>
      <c r="D209" s="806"/>
      <c r="E209" s="889"/>
      <c r="F209" s="803"/>
      <c r="G209" s="834"/>
      <c r="H209" s="834"/>
      <c r="I209" s="834"/>
      <c r="J209" s="834"/>
      <c r="K209" s="834"/>
      <c r="L209" s="834"/>
      <c r="N209" s="853"/>
      <c r="S209" s="925" t="s">
        <v>1431</v>
      </c>
    </row>
    <row r="210" spans="1:19" hidden="1" x14ac:dyDescent="0.25">
      <c r="B210" s="910"/>
      <c r="E210" s="889"/>
      <c r="F210" s="890"/>
      <c r="S210" s="923"/>
    </row>
    <row r="211" spans="1:19" hidden="1" x14ac:dyDescent="0.25">
      <c r="B211" s="910"/>
      <c r="S211" s="923"/>
    </row>
    <row r="212" spans="1:19" ht="29" x14ac:dyDescent="0.25">
      <c r="B212" s="910"/>
      <c r="D212" s="806" t="s">
        <v>1293</v>
      </c>
      <c r="E212" s="804" t="s">
        <v>1294</v>
      </c>
      <c r="F212" s="803" t="s">
        <v>96</v>
      </c>
      <c r="G212" s="834">
        <v>0.14000000000000001</v>
      </c>
      <c r="H212" s="834">
        <v>0.155</v>
      </c>
      <c r="I212" s="834">
        <f>H212</f>
        <v>0.155</v>
      </c>
      <c r="J212" s="834">
        <f t="shared" ref="J212:L212" si="18">I212</f>
        <v>0.155</v>
      </c>
      <c r="K212" s="834">
        <f t="shared" si="18"/>
        <v>0.155</v>
      </c>
      <c r="L212" s="834">
        <f t="shared" si="18"/>
        <v>0.155</v>
      </c>
      <c r="S212" s="925" t="s">
        <v>1432</v>
      </c>
    </row>
    <row r="213" spans="1:19" hidden="1" x14ac:dyDescent="0.25">
      <c r="B213" s="910"/>
      <c r="D213" s="806"/>
      <c r="E213" s="889"/>
      <c r="F213" s="890"/>
      <c r="G213" s="834"/>
      <c r="H213" s="834"/>
      <c r="I213" s="834"/>
      <c r="J213" s="834"/>
      <c r="K213" s="834"/>
      <c r="L213" s="834"/>
      <c r="S213" s="925"/>
    </row>
    <row r="214" spans="1:19" x14ac:dyDescent="0.25">
      <c r="B214" s="910"/>
      <c r="D214" s="806"/>
      <c r="E214" s="889" t="s">
        <v>1422</v>
      </c>
      <c r="F214" s="890" t="s">
        <v>96</v>
      </c>
      <c r="G214" s="834">
        <v>5.0000000000000001E-3</v>
      </c>
      <c r="H214" s="834"/>
      <c r="I214" s="834"/>
      <c r="J214" s="834"/>
      <c r="K214" s="834"/>
      <c r="L214" s="834"/>
      <c r="S214" s="925"/>
    </row>
    <row r="215" spans="1:19" x14ac:dyDescent="0.25">
      <c r="B215" s="910"/>
      <c r="D215" s="806"/>
      <c r="E215" s="889" t="s">
        <v>1423</v>
      </c>
      <c r="F215" s="890" t="s">
        <v>96</v>
      </c>
      <c r="G215" s="834"/>
      <c r="H215" s="834"/>
      <c r="I215" s="834"/>
      <c r="J215" s="834"/>
      <c r="K215" s="834"/>
      <c r="L215" s="834"/>
      <c r="S215" s="925"/>
    </row>
    <row r="216" spans="1:19" x14ac:dyDescent="0.25">
      <c r="B216" s="910"/>
      <c r="D216" s="806"/>
      <c r="E216" s="889"/>
      <c r="F216" s="803"/>
      <c r="G216" s="834"/>
      <c r="H216" s="834"/>
      <c r="I216" s="834"/>
      <c r="J216" s="834"/>
      <c r="K216" s="834"/>
      <c r="L216" s="834"/>
      <c r="S216" s="925"/>
    </row>
    <row r="217" spans="1:19" x14ac:dyDescent="0.25">
      <c r="B217" s="910"/>
      <c r="D217" s="806"/>
      <c r="F217" s="803"/>
      <c r="G217" s="834"/>
      <c r="H217" s="834"/>
      <c r="I217" s="834"/>
      <c r="J217" s="834"/>
      <c r="K217" s="834"/>
      <c r="L217" s="834"/>
      <c r="S217" s="925"/>
    </row>
    <row r="218" spans="1:19" x14ac:dyDescent="0.25">
      <c r="B218" s="910"/>
      <c r="D218" s="806"/>
      <c r="F218" s="803"/>
      <c r="G218" s="834"/>
      <c r="H218" s="834"/>
      <c r="I218" s="834"/>
      <c r="J218" s="834"/>
      <c r="K218" s="834"/>
      <c r="L218" s="834"/>
      <c r="S218" s="925"/>
    </row>
    <row r="219" spans="1:19" x14ac:dyDescent="0.25">
      <c r="B219" s="910"/>
      <c r="D219" s="815" t="s">
        <v>86</v>
      </c>
      <c r="E219" s="843" t="s">
        <v>1296</v>
      </c>
      <c r="F219" s="826" t="s">
        <v>96</v>
      </c>
      <c r="G219" s="836">
        <f>IF(A223="MAT",F224,G224)</f>
        <v>0</v>
      </c>
      <c r="H219" s="836">
        <f>G219</f>
        <v>0</v>
      </c>
      <c r="I219" s="836">
        <f t="shared" ref="I219:L219" si="19">H219</f>
        <v>0</v>
      </c>
      <c r="J219" s="836">
        <f t="shared" si="19"/>
        <v>0</v>
      </c>
      <c r="K219" s="836">
        <f t="shared" si="19"/>
        <v>0</v>
      </c>
      <c r="L219" s="836">
        <f t="shared" si="19"/>
        <v>0</v>
      </c>
      <c r="S219" s="925"/>
    </row>
    <row r="220" spans="1:19" x14ac:dyDescent="0.25">
      <c r="B220" s="910"/>
      <c r="D220" s="815"/>
      <c r="E220" s="833" t="s">
        <v>1297</v>
      </c>
      <c r="F220" s="1291" t="s">
        <v>1295</v>
      </c>
      <c r="G220" s="1291" t="s">
        <v>1298</v>
      </c>
      <c r="H220" s="1291"/>
      <c r="I220" s="1291"/>
      <c r="J220" s="1291"/>
      <c r="K220" s="1291"/>
      <c r="L220" s="1291"/>
      <c r="S220" s="925"/>
    </row>
    <row r="221" spans="1:19" x14ac:dyDescent="0.25">
      <c r="B221" s="910"/>
      <c r="D221" s="815"/>
      <c r="E221" s="804" t="s">
        <v>1299</v>
      </c>
      <c r="F221" s="1283"/>
      <c r="G221" s="848"/>
      <c r="H221" s="848"/>
      <c r="I221" s="848"/>
      <c r="J221" s="848"/>
      <c r="K221" s="848"/>
      <c r="L221" s="848"/>
      <c r="S221" s="925"/>
    </row>
    <row r="222" spans="1:19" x14ac:dyDescent="0.25">
      <c r="B222" s="910"/>
      <c r="D222" s="815"/>
      <c r="E222" s="804" t="s">
        <v>1300</v>
      </c>
      <c r="F222" s="1280"/>
      <c r="G222" s="1292"/>
      <c r="H222" s="1292"/>
      <c r="I222" s="1292"/>
      <c r="J222" s="1292"/>
      <c r="K222" s="1292"/>
      <c r="L222" s="1292"/>
      <c r="S222" s="925"/>
    </row>
    <row r="223" spans="1:19" x14ac:dyDescent="0.25">
      <c r="A223" s="802" t="s">
        <v>1295</v>
      </c>
      <c r="B223" s="910"/>
      <c r="D223" s="815"/>
      <c r="E223" s="804" t="s">
        <v>1301</v>
      </c>
      <c r="F223" s="1283"/>
      <c r="G223" s="848"/>
      <c r="H223" s="848"/>
      <c r="I223" s="848"/>
      <c r="J223" s="848"/>
      <c r="K223" s="848"/>
      <c r="L223" s="848"/>
      <c r="S223" s="925"/>
    </row>
    <row r="224" spans="1:19" x14ac:dyDescent="0.25">
      <c r="B224" s="910"/>
      <c r="D224" s="815"/>
      <c r="E224" s="811" t="s">
        <v>267</v>
      </c>
      <c r="F224" s="854">
        <f>F221*(1+F222)*(1+F223)</f>
        <v>0</v>
      </c>
      <c r="G224" s="854">
        <f>G221*(1+G222)*(1+G223)</f>
        <v>0</v>
      </c>
      <c r="H224" s="854"/>
      <c r="I224" s="854"/>
      <c r="J224" s="854"/>
      <c r="K224" s="854"/>
      <c r="L224" s="854"/>
      <c r="S224" s="925"/>
    </row>
    <row r="225" spans="2:19" x14ac:dyDescent="0.25">
      <c r="B225" s="910"/>
      <c r="D225" s="815"/>
      <c r="E225" s="811" t="s">
        <v>1302</v>
      </c>
      <c r="G225" s="854"/>
      <c r="H225" s="854"/>
      <c r="I225" s="854"/>
      <c r="J225" s="854"/>
      <c r="K225" s="854"/>
      <c r="L225" s="854"/>
      <c r="S225" s="925"/>
    </row>
    <row r="226" spans="2:19" ht="29" x14ac:dyDescent="0.25">
      <c r="B226" s="910"/>
      <c r="D226" s="815"/>
      <c r="E226" s="811" t="s">
        <v>1303</v>
      </c>
      <c r="F226" s="855"/>
      <c r="G226" s="855" t="s">
        <v>1304</v>
      </c>
      <c r="H226" s="855"/>
      <c r="I226" s="855"/>
      <c r="J226" s="855"/>
      <c r="K226" s="855"/>
      <c r="L226" s="855"/>
      <c r="S226" s="925" t="s">
        <v>1305</v>
      </c>
    </row>
    <row r="227" spans="2:19" ht="43.5" x14ac:dyDescent="0.25">
      <c r="B227" s="910"/>
      <c r="D227" s="815"/>
      <c r="E227" s="856" t="s">
        <v>1306</v>
      </c>
      <c r="F227" s="854"/>
      <c r="G227" s="854"/>
      <c r="H227" s="854"/>
      <c r="I227" s="854"/>
      <c r="J227" s="854"/>
      <c r="K227" s="854"/>
      <c r="L227" s="854"/>
      <c r="S227" s="925"/>
    </row>
    <row r="228" spans="2:19" x14ac:dyDescent="0.25">
      <c r="B228" s="910"/>
      <c r="D228" s="815"/>
      <c r="E228" s="856" t="s">
        <v>1307</v>
      </c>
      <c r="F228" s="854"/>
      <c r="G228" s="854"/>
      <c r="H228" s="854"/>
      <c r="I228" s="854"/>
      <c r="J228" s="854"/>
      <c r="K228" s="854"/>
      <c r="L228" s="854"/>
      <c r="S228" s="925"/>
    </row>
    <row r="229" spans="2:19" x14ac:dyDescent="0.25">
      <c r="B229" s="910"/>
      <c r="D229" s="815"/>
      <c r="E229" s="856"/>
      <c r="F229" s="854"/>
      <c r="G229" s="854"/>
      <c r="H229" s="854"/>
      <c r="I229" s="854"/>
      <c r="J229" s="854"/>
      <c r="K229" s="854"/>
      <c r="L229" s="854"/>
      <c r="S229" s="925"/>
    </row>
    <row r="230" spans="2:19" x14ac:dyDescent="0.25">
      <c r="B230" s="910"/>
      <c r="D230" s="815"/>
      <c r="E230" s="1293"/>
      <c r="F230" s="854"/>
      <c r="G230" s="1287"/>
      <c r="H230" s="1287"/>
      <c r="I230" s="1287"/>
      <c r="J230" s="1287"/>
      <c r="K230" s="1287"/>
      <c r="L230" s="1287"/>
      <c r="S230" s="925"/>
    </row>
    <row r="231" spans="2:19" x14ac:dyDescent="0.25">
      <c r="B231" s="910"/>
      <c r="D231" s="815"/>
      <c r="E231" s="1294"/>
      <c r="F231" s="854"/>
      <c r="G231" s="854"/>
      <c r="H231" s="854"/>
      <c r="I231" s="854"/>
      <c r="J231" s="854"/>
      <c r="K231" s="854"/>
      <c r="L231" s="854"/>
      <c r="S231" s="925"/>
    </row>
    <row r="232" spans="2:19" x14ac:dyDescent="0.25">
      <c r="D232" s="815"/>
      <c r="E232" s="1293"/>
      <c r="F232" s="854"/>
      <c r="G232" s="854"/>
      <c r="H232" s="854"/>
      <c r="I232" s="854"/>
      <c r="J232" s="854"/>
      <c r="K232" s="854"/>
      <c r="L232" s="854"/>
      <c r="R232" s="1295"/>
      <c r="S232" s="925"/>
    </row>
    <row r="233" spans="2:19" ht="14.5" customHeight="1" x14ac:dyDescent="0.25">
      <c r="B233" s="1296"/>
      <c r="C233" s="897"/>
      <c r="D233" s="897" t="s">
        <v>3042</v>
      </c>
      <c r="G233" s="1661"/>
      <c r="H233" s="1661"/>
      <c r="I233" s="1661"/>
      <c r="J233" s="1661"/>
      <c r="K233" s="1661"/>
      <c r="L233" s="1661"/>
      <c r="M233" s="1661"/>
      <c r="N233" s="1661"/>
      <c r="O233" s="1661"/>
      <c r="P233" s="1661"/>
      <c r="Q233" s="1661"/>
      <c r="R233" s="1661"/>
      <c r="S233" s="916"/>
    </row>
    <row r="234" spans="2:19" ht="14" x14ac:dyDescent="0.25">
      <c r="B234" s="1296"/>
      <c r="C234" s="897"/>
      <c r="D234" s="1320" t="s">
        <v>35</v>
      </c>
      <c r="E234" s="1327" t="s">
        <v>3047</v>
      </c>
      <c r="F234" s="1327" t="s">
        <v>3046</v>
      </c>
      <c r="G234" s="1328" t="s">
        <v>3048</v>
      </c>
      <c r="H234" s="133" t="s">
        <v>3059</v>
      </c>
      <c r="I234" s="1297"/>
      <c r="J234" s="1297"/>
      <c r="K234" s="1297"/>
      <c r="L234" s="1297"/>
      <c r="M234" s="1297"/>
      <c r="N234" s="1297"/>
      <c r="O234" s="1297"/>
      <c r="P234" s="1297"/>
      <c r="Q234" s="1297"/>
      <c r="R234" s="1297"/>
      <c r="S234" s="916"/>
    </row>
    <row r="235" spans="2:19" x14ac:dyDescent="0.25">
      <c r="D235" s="1322" t="s">
        <v>3043</v>
      </c>
      <c r="E235" s="1383">
        <v>500000</v>
      </c>
      <c r="F235" s="1346">
        <v>5993.9582109168659</v>
      </c>
      <c r="G235" s="1340">
        <v>3508.1033282049461</v>
      </c>
      <c r="H235" s="1342">
        <f>E235*(G235-85)/1000</f>
        <v>1711551.6641024731</v>
      </c>
      <c r="I235" s="850"/>
      <c r="J235" s="850"/>
      <c r="K235" s="850"/>
      <c r="L235" s="850"/>
      <c r="M235" s="843"/>
      <c r="R235" s="1295"/>
      <c r="S235" s="916"/>
    </row>
    <row r="236" spans="2:19" x14ac:dyDescent="0.25">
      <c r="D236" s="1322" t="s">
        <v>3044</v>
      </c>
      <c r="E236" s="1383">
        <f>E254</f>
        <v>2862832.8040284109</v>
      </c>
      <c r="F236" s="1338">
        <v>4241.4970116494078</v>
      </c>
      <c r="G236" s="1339">
        <v>3151.0486327200892</v>
      </c>
      <c r="H236" s="1342">
        <f>E236*(G236-85)/1000</f>
        <v>8777584.6044975277</v>
      </c>
      <c r="I236" s="850"/>
      <c r="J236" s="850"/>
      <c r="K236" s="850"/>
      <c r="L236" s="850"/>
      <c r="M236" s="843"/>
      <c r="R236" s="1295"/>
      <c r="S236" s="916"/>
    </row>
    <row r="237" spans="2:19" x14ac:dyDescent="0.25">
      <c r="D237" s="1322" t="s">
        <v>3045</v>
      </c>
      <c r="E237" s="1384">
        <v>0</v>
      </c>
      <c r="F237" s="1338">
        <v>0</v>
      </c>
      <c r="G237" s="1329">
        <v>0</v>
      </c>
      <c r="H237" s="1342">
        <f>E237*(G237-85)/1000</f>
        <v>0</v>
      </c>
      <c r="I237" s="850"/>
      <c r="J237" s="850"/>
      <c r="K237" s="850"/>
      <c r="L237" s="850"/>
      <c r="M237" s="843"/>
      <c r="R237" s="1295"/>
      <c r="S237" s="916"/>
    </row>
    <row r="238" spans="2:19" x14ac:dyDescent="0.3">
      <c r="D238" s="1324" t="s">
        <v>267</v>
      </c>
      <c r="E238" s="1385">
        <f>SUM(E235:E237)</f>
        <v>3362832.8040284109</v>
      </c>
      <c r="F238" s="1344">
        <f>SUMPRODUCT($E$235:$E$237,F235:F237)/$E238</f>
        <v>4502.0602482706499</v>
      </c>
      <c r="G238" s="1345">
        <f>SUMPRODUCT($E$235:$E$237,G235:G237)/$E238</f>
        <v>3204.1370133046266</v>
      </c>
      <c r="H238" s="1343">
        <f>SUM(H235:H237)</f>
        <v>10489136.2686</v>
      </c>
      <c r="I238" s="850" t="b">
        <f>H238=E251</f>
        <v>1</v>
      </c>
      <c r="J238" s="850"/>
      <c r="K238" s="850"/>
      <c r="L238" s="850"/>
      <c r="M238" s="843"/>
      <c r="R238" s="1295"/>
      <c r="S238" s="916"/>
    </row>
    <row r="239" spans="2:19" x14ac:dyDescent="0.25">
      <c r="D239" s="1324" t="s">
        <v>3060</v>
      </c>
      <c r="E239" s="149"/>
      <c r="F239" s="1344">
        <f>F238/(1-0.8%)</f>
        <v>4538.3671857567033</v>
      </c>
      <c r="G239" s="1064"/>
      <c r="H239" s="1064"/>
      <c r="I239" s="850"/>
      <c r="J239" s="850"/>
      <c r="K239" s="850"/>
      <c r="L239" s="850"/>
      <c r="M239" s="843"/>
      <c r="R239" s="1295"/>
      <c r="S239" s="916"/>
    </row>
    <row r="240" spans="2:19" x14ac:dyDescent="0.25">
      <c r="D240" s="1321" t="s">
        <v>3061</v>
      </c>
      <c r="E240" s="1323"/>
      <c r="F240" s="1344">
        <v>34.804726215027884</v>
      </c>
      <c r="G240" s="1333"/>
      <c r="H240" s="1333"/>
      <c r="J240" s="850"/>
      <c r="K240" s="850"/>
      <c r="L240" s="850"/>
      <c r="M240" s="843"/>
      <c r="R240" s="1295"/>
      <c r="S240" s="916"/>
    </row>
    <row r="241" spans="2:19" x14ac:dyDescent="0.25">
      <c r="D241" s="1326" t="s">
        <v>3063</v>
      </c>
      <c r="E241" s="1325"/>
      <c r="F241" s="1344">
        <f>F239+F240</f>
        <v>4573.1719119717309</v>
      </c>
      <c r="G241" s="1326"/>
      <c r="H241" s="1326"/>
      <c r="I241" s="897"/>
      <c r="J241" s="850"/>
      <c r="K241" s="850"/>
      <c r="L241" s="850"/>
      <c r="M241" s="843"/>
      <c r="R241" s="1295"/>
      <c r="S241" s="916"/>
    </row>
    <row r="242" spans="2:19" x14ac:dyDescent="0.25">
      <c r="D242" s="1326" t="s">
        <v>3062</v>
      </c>
      <c r="E242" s="1323"/>
      <c r="F242" s="1344">
        <f>F241*1.03</f>
        <v>4710.3670693308832</v>
      </c>
      <c r="G242" s="1333"/>
      <c r="H242" s="1333"/>
      <c r="J242" s="850"/>
      <c r="K242" s="850"/>
      <c r="L242" s="850"/>
      <c r="M242" s="843"/>
      <c r="R242" s="1295"/>
      <c r="S242" s="916"/>
    </row>
    <row r="243" spans="2:19" x14ac:dyDescent="0.25">
      <c r="J243" s="850"/>
      <c r="K243" s="850"/>
      <c r="L243" s="850"/>
      <c r="M243" s="843"/>
      <c r="R243" s="1295"/>
      <c r="S243" s="916"/>
    </row>
    <row r="244" spans="2:19" x14ac:dyDescent="0.25">
      <c r="D244" s="1330" t="s">
        <v>3049</v>
      </c>
      <c r="E244" s="149"/>
      <c r="F244" s="152"/>
      <c r="G244" s="1064"/>
      <c r="H244" s="850"/>
      <c r="I244" s="850"/>
      <c r="J244" s="850"/>
      <c r="K244" s="850"/>
      <c r="L244" s="850"/>
      <c r="M244" s="843"/>
      <c r="R244" s="1295"/>
      <c r="S244" s="916"/>
    </row>
    <row r="245" spans="2:19" x14ac:dyDescent="0.25">
      <c r="B245" s="910"/>
      <c r="D245" s="1322" t="s">
        <v>1183</v>
      </c>
      <c r="E245" s="149">
        <f>660*8.76*0.85</f>
        <v>4914.3599999999997</v>
      </c>
      <c r="F245" s="152"/>
      <c r="G245" s="1064"/>
      <c r="H245" s="850"/>
      <c r="I245" s="850"/>
      <c r="J245" s="848"/>
      <c r="K245" s="848"/>
      <c r="L245" s="848"/>
      <c r="M245" s="818"/>
      <c r="S245" s="916"/>
    </row>
    <row r="246" spans="2:19" x14ac:dyDescent="0.25">
      <c r="B246" s="929"/>
      <c r="C246" s="930"/>
      <c r="D246" s="1322" t="s">
        <v>3050</v>
      </c>
      <c r="E246" s="1334">
        <f>$I$54</f>
        <v>2139.0500000000002</v>
      </c>
      <c r="F246" s="152"/>
      <c r="G246" s="1064"/>
      <c r="H246" s="850"/>
      <c r="I246" s="850"/>
      <c r="J246" s="930"/>
      <c r="K246" s="930"/>
      <c r="L246" s="930"/>
      <c r="M246" s="931"/>
      <c r="N246" s="932"/>
      <c r="O246" s="930"/>
      <c r="P246" s="930"/>
      <c r="Q246" s="930"/>
      <c r="R246" s="933"/>
      <c r="S246" s="934"/>
    </row>
    <row r="247" spans="2:19" x14ac:dyDescent="0.25">
      <c r="D247" s="1322" t="s">
        <v>3051</v>
      </c>
      <c r="E247" s="1335">
        <f>E245*E246</f>
        <v>10512061.757999999</v>
      </c>
      <c r="F247" s="152"/>
      <c r="G247" s="1064"/>
      <c r="H247" s="850"/>
      <c r="I247" s="850"/>
      <c r="M247" s="818"/>
    </row>
    <row r="248" spans="2:19" x14ac:dyDescent="0.25">
      <c r="D248" s="1322" t="s">
        <v>3052</v>
      </c>
      <c r="E248" s="1323">
        <v>0.5</v>
      </c>
      <c r="F248" s="1331"/>
      <c r="G248" s="1064"/>
      <c r="H248" s="850"/>
      <c r="I248" s="850"/>
      <c r="M248" s="818"/>
    </row>
    <row r="249" spans="2:19" x14ac:dyDescent="0.35">
      <c r="D249" s="1322" t="s">
        <v>3053</v>
      </c>
      <c r="E249" s="1341">
        <f>E245*E248</f>
        <v>2457.1799999999998</v>
      </c>
      <c r="F249" s="1331"/>
      <c r="G249" s="1332"/>
      <c r="H249" s="848"/>
      <c r="I249" s="848"/>
      <c r="M249" s="818"/>
    </row>
    <row r="250" spans="2:19" x14ac:dyDescent="0.25">
      <c r="D250" s="1321" t="s">
        <v>3054</v>
      </c>
      <c r="E250" s="1336">
        <f>E249*$I$58/1000*0.933</f>
        <v>22925.489400000002</v>
      </c>
      <c r="F250" s="1333"/>
      <c r="G250" s="1333"/>
      <c r="H250" s="930"/>
      <c r="I250" s="930"/>
      <c r="M250" s="818"/>
    </row>
    <row r="251" spans="2:19" x14ac:dyDescent="0.25">
      <c r="D251" s="1321" t="s">
        <v>3055</v>
      </c>
      <c r="E251" s="1336">
        <f>E247-E250</f>
        <v>10489136.2686</v>
      </c>
      <c r="F251" s="1333"/>
      <c r="G251" s="1333"/>
      <c r="M251" s="818"/>
    </row>
    <row r="252" spans="2:19" x14ac:dyDescent="0.25">
      <c r="D252" s="1321" t="s">
        <v>3056</v>
      </c>
      <c r="E252" s="1336">
        <f>E235*(G235-85)/1000</f>
        <v>1711551.6641024731</v>
      </c>
      <c r="F252" s="1333"/>
      <c r="G252" s="1333"/>
      <c r="M252" s="818"/>
    </row>
    <row r="253" spans="2:19" x14ac:dyDescent="0.25">
      <c r="D253" s="1321" t="s">
        <v>3057</v>
      </c>
      <c r="E253" s="1336">
        <f>E251-E252</f>
        <v>8777584.6044975277</v>
      </c>
      <c r="F253" s="1333"/>
      <c r="G253" s="1333"/>
      <c r="M253" s="818"/>
    </row>
    <row r="254" spans="2:19" x14ac:dyDescent="0.25">
      <c r="D254" s="1321" t="s">
        <v>3058</v>
      </c>
      <c r="E254" s="1337">
        <f>E253*1000/($G$236-85)</f>
        <v>2862832.8040284109</v>
      </c>
      <c r="F254" s="1333"/>
      <c r="G254" s="1333"/>
    </row>
    <row r="255" spans="2:19" x14ac:dyDescent="0.25">
      <c r="E255" s="1382">
        <f>E254/10^6</f>
        <v>2.862832804028411</v>
      </c>
    </row>
  </sheetData>
  <mergeCells count="3">
    <mergeCell ref="G233:R233"/>
    <mergeCell ref="G3:R3"/>
    <mergeCell ref="B2:S2"/>
  </mergeCells>
  <hyperlinks>
    <hyperlink ref="E227" r:id="rId1"/>
    <hyperlink ref="E228" r:id="rId2"/>
  </hyperlinks>
  <pageMargins left="0.7" right="0.7" top="0.75" bottom="0.75" header="0.3" footer="0.3"/>
  <pageSetup paperSize="9" orientation="portrait" r:id="rId3"/>
  <legacy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2:F29"/>
  <sheetViews>
    <sheetView workbookViewId="0">
      <selection activeCell="E6" sqref="E6"/>
    </sheetView>
  </sheetViews>
  <sheetFormatPr defaultColWidth="8.81640625" defaultRowHeight="12.5" x14ac:dyDescent="0.25"/>
  <cols>
    <col min="1" max="2" width="8.81640625" style="548"/>
    <col min="3" max="3" width="36.453125" style="548" customWidth="1"/>
    <col min="4" max="4" width="8.81640625" style="548"/>
    <col min="5" max="5" width="12.1796875" style="548" customWidth="1"/>
    <col min="6" max="16384" width="8.81640625" style="548"/>
  </cols>
  <sheetData>
    <row r="2" spans="1:6" ht="14" x14ac:dyDescent="0.3">
      <c r="A2" s="1"/>
      <c r="B2" s="1407" t="str">
        <f>Index!B2</f>
        <v xml:space="preserve">      Maharashtra State Power Generation Company Ltd.</v>
      </c>
      <c r="C2" s="1657"/>
      <c r="D2" s="1657"/>
      <c r="E2" s="1657"/>
      <c r="F2" s="1657"/>
    </row>
    <row r="3" spans="1:6" ht="14" x14ac:dyDescent="0.3">
      <c r="A3" s="1"/>
      <c r="B3" s="1407" t="s">
        <v>931</v>
      </c>
      <c r="C3" s="1657"/>
      <c r="D3" s="1657"/>
      <c r="E3" s="1657"/>
      <c r="F3" s="1657"/>
    </row>
    <row r="4" spans="1:6" ht="14" x14ac:dyDescent="0.25">
      <c r="A4" s="10"/>
      <c r="B4" s="1407" t="str">
        <f>Index!B3</f>
        <v>MYT Petition Formats for Bhusawal Unit 6</v>
      </c>
      <c r="C4" s="1657"/>
      <c r="D4" s="1657"/>
      <c r="E4" s="1657"/>
      <c r="F4" s="1657"/>
    </row>
    <row r="5" spans="1:6" ht="14" x14ac:dyDescent="0.3">
      <c r="A5" s="10"/>
      <c r="B5" s="10"/>
      <c r="C5" s="6"/>
      <c r="D5" s="28"/>
      <c r="E5" s="12"/>
      <c r="F5" s="10"/>
    </row>
    <row r="6" spans="1:6" ht="14" x14ac:dyDescent="0.3">
      <c r="A6" s="1"/>
      <c r="B6" s="97" t="s">
        <v>327</v>
      </c>
      <c r="C6" s="532" t="s">
        <v>35</v>
      </c>
      <c r="D6" s="532" t="s">
        <v>91</v>
      </c>
      <c r="E6" s="97" t="s">
        <v>477</v>
      </c>
      <c r="F6" s="97" t="s">
        <v>25</v>
      </c>
    </row>
    <row r="7" spans="1:6" ht="14" x14ac:dyDescent="0.25">
      <c r="A7" s="29"/>
      <c r="B7" s="31"/>
      <c r="C7" s="102"/>
      <c r="D7" s="104"/>
      <c r="E7" s="30"/>
      <c r="F7" s="30"/>
    </row>
    <row r="8" spans="1:6" ht="14" x14ac:dyDescent="0.25">
      <c r="A8" s="29"/>
      <c r="B8" s="104">
        <v>1</v>
      </c>
      <c r="C8" s="105" t="s">
        <v>932</v>
      </c>
      <c r="D8" s="104" t="s">
        <v>94</v>
      </c>
      <c r="E8" s="549"/>
      <c r="F8" s="30"/>
    </row>
    <row r="9" spans="1:6" ht="14" x14ac:dyDescent="0.3">
      <c r="B9" s="550">
        <f>B8+1</f>
        <v>2</v>
      </c>
      <c r="C9" s="105" t="s">
        <v>933</v>
      </c>
      <c r="D9" s="550" t="s">
        <v>96</v>
      </c>
      <c r="E9" s="551"/>
      <c r="F9" s="551"/>
    </row>
    <row r="10" spans="1:6" ht="14" x14ac:dyDescent="0.3">
      <c r="B10" s="550">
        <f t="shared" ref="B10:B20" si="0">B9+1</f>
        <v>3</v>
      </c>
      <c r="C10" s="105" t="s">
        <v>934</v>
      </c>
      <c r="D10" s="550" t="s">
        <v>96</v>
      </c>
      <c r="E10" s="551"/>
      <c r="F10" s="551"/>
    </row>
    <row r="11" spans="1:6" ht="14" x14ac:dyDescent="0.3">
      <c r="B11" s="550">
        <f t="shared" si="0"/>
        <v>4</v>
      </c>
      <c r="C11" s="105" t="s">
        <v>935</v>
      </c>
      <c r="D11" s="550" t="s">
        <v>96</v>
      </c>
      <c r="E11" s="551"/>
      <c r="F11" s="551"/>
    </row>
    <row r="12" spans="1:6" ht="14" x14ac:dyDescent="0.3">
      <c r="B12" s="550">
        <f t="shared" si="0"/>
        <v>5</v>
      </c>
      <c r="C12" s="105" t="s">
        <v>936</v>
      </c>
      <c r="D12" s="550" t="s">
        <v>98</v>
      </c>
      <c r="E12" s="551"/>
      <c r="F12" s="551"/>
    </row>
    <row r="13" spans="1:6" ht="28" x14ac:dyDescent="0.3">
      <c r="B13" s="550">
        <f t="shared" si="0"/>
        <v>6</v>
      </c>
      <c r="C13" s="105" t="s">
        <v>937</v>
      </c>
      <c r="D13" s="550" t="s">
        <v>98</v>
      </c>
      <c r="E13" s="551"/>
      <c r="F13" s="551"/>
    </row>
    <row r="14" spans="1:6" ht="14" x14ac:dyDescent="0.3">
      <c r="B14" s="550">
        <f t="shared" si="0"/>
        <v>7</v>
      </c>
      <c r="C14" s="105" t="s">
        <v>938</v>
      </c>
      <c r="D14" s="550" t="s">
        <v>98</v>
      </c>
      <c r="E14" s="551"/>
      <c r="F14" s="551"/>
    </row>
    <row r="15" spans="1:6" ht="14" x14ac:dyDescent="0.3">
      <c r="B15" s="550">
        <f t="shared" si="0"/>
        <v>8</v>
      </c>
      <c r="C15" s="105" t="s">
        <v>939</v>
      </c>
      <c r="D15" s="550" t="s">
        <v>98</v>
      </c>
      <c r="E15" s="551"/>
      <c r="F15" s="551"/>
    </row>
    <row r="16" spans="1:6" ht="14" x14ac:dyDescent="0.3">
      <c r="B16" s="550">
        <f t="shared" si="0"/>
        <v>9</v>
      </c>
      <c r="C16" s="105" t="s">
        <v>940</v>
      </c>
      <c r="D16" s="550" t="s">
        <v>98</v>
      </c>
      <c r="E16" s="551"/>
      <c r="F16" s="551"/>
    </row>
    <row r="17" spans="2:6" ht="14" x14ac:dyDescent="0.3">
      <c r="B17" s="550">
        <f t="shared" si="0"/>
        <v>10</v>
      </c>
      <c r="C17" s="105" t="s">
        <v>941</v>
      </c>
      <c r="D17" s="550" t="s">
        <v>98</v>
      </c>
      <c r="E17" s="551"/>
      <c r="F17" s="551"/>
    </row>
    <row r="18" spans="2:6" ht="14" x14ac:dyDescent="0.3">
      <c r="B18" s="550">
        <f t="shared" si="0"/>
        <v>11</v>
      </c>
      <c r="C18" s="105" t="s">
        <v>942</v>
      </c>
      <c r="D18" s="550" t="s">
        <v>943</v>
      </c>
      <c r="E18" s="551"/>
      <c r="F18" s="551"/>
    </row>
    <row r="19" spans="2:6" ht="14" x14ac:dyDescent="0.3">
      <c r="B19" s="550">
        <f t="shared" si="0"/>
        <v>12</v>
      </c>
      <c r="C19" s="105" t="s">
        <v>944</v>
      </c>
      <c r="D19" s="550" t="s">
        <v>943</v>
      </c>
      <c r="E19" s="551"/>
      <c r="F19" s="551"/>
    </row>
    <row r="20" spans="2:6" s="554" customFormat="1" ht="14" x14ac:dyDescent="0.3">
      <c r="B20" s="552">
        <f t="shared" si="0"/>
        <v>13</v>
      </c>
      <c r="C20" s="553" t="s">
        <v>945</v>
      </c>
      <c r="D20" s="552" t="s">
        <v>132</v>
      </c>
      <c r="E20" s="553"/>
      <c r="F20" s="553"/>
    </row>
    <row r="29" spans="2:6" ht="29.5" customHeight="1" x14ac:dyDescent="0.25">
      <c r="C29" s="555"/>
    </row>
  </sheetData>
  <mergeCells count="3">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2:AB199"/>
  <sheetViews>
    <sheetView showGridLines="0" zoomScale="50" zoomScaleNormal="50" workbookViewId="0">
      <pane xSplit="4" ySplit="8" topLeftCell="E134" activePane="bottomRight" state="frozen"/>
      <selection pane="topRight" activeCell="E1" sqref="E1"/>
      <selection pane="bottomLeft" activeCell="A9" sqref="A9"/>
      <selection pane="bottomRight" activeCell="M160" sqref="M160"/>
    </sheetView>
  </sheetViews>
  <sheetFormatPr defaultColWidth="9.453125" defaultRowHeight="15.5" x14ac:dyDescent="0.35"/>
  <cols>
    <col min="1" max="1" width="10.453125" style="711" bestFit="1" customWidth="1"/>
    <col min="2" max="2" width="10.54296875" style="711" bestFit="1" customWidth="1"/>
    <col min="3" max="3" width="52.81640625" style="711" customWidth="1"/>
    <col min="4" max="4" width="13.1796875" style="720" bestFit="1" customWidth="1"/>
    <col min="5" max="5" width="17.1796875" style="720" customWidth="1"/>
    <col min="6" max="6" width="24.453125" style="720" customWidth="1"/>
    <col min="7" max="7" width="21.81640625" style="720" customWidth="1"/>
    <col min="8" max="9" width="22.1796875" style="720" customWidth="1"/>
    <col min="10" max="10" width="17" style="720" bestFit="1" customWidth="1"/>
    <col min="11" max="11" width="23.81640625" style="720" customWidth="1"/>
    <col min="12" max="12" width="22.7265625" style="720" customWidth="1"/>
    <col min="13" max="13" width="23.26953125" style="720" customWidth="1"/>
    <col min="14" max="14" width="19.54296875" style="711" customWidth="1"/>
    <col min="15" max="15" width="32" style="719" customWidth="1"/>
    <col min="16" max="16" width="20.81640625" style="711" customWidth="1"/>
    <col min="17" max="17" width="47.81640625" style="711" bestFit="1" customWidth="1"/>
    <col min="18" max="18" width="35.1796875" style="711" customWidth="1"/>
    <col min="19" max="19" width="24.453125" style="711" bestFit="1" customWidth="1"/>
    <col min="20" max="24" width="22.453125" style="711" customWidth="1"/>
    <col min="25" max="25" width="11.453125" style="711" bestFit="1" customWidth="1"/>
    <col min="26" max="16384" width="9.453125" style="711"/>
  </cols>
  <sheetData>
    <row r="2" spans="2:25" x14ac:dyDescent="0.35">
      <c r="B2" s="1443" t="str">
        <f>Index!B2</f>
        <v xml:space="preserve">      Maharashtra State Power Generation Company Ltd.</v>
      </c>
      <c r="C2" s="1443"/>
      <c r="D2" s="1443"/>
      <c r="E2" s="1443"/>
      <c r="F2" s="1443"/>
      <c r="G2" s="1443"/>
      <c r="H2" s="1443"/>
      <c r="I2" s="1443"/>
      <c r="J2" s="1443"/>
      <c r="K2" s="1443"/>
      <c r="L2" s="1443"/>
      <c r="M2" s="1443"/>
      <c r="N2" s="787"/>
      <c r="O2" s="1440"/>
      <c r="P2" s="1440"/>
      <c r="Q2" s="1440"/>
      <c r="R2" s="1440"/>
      <c r="S2" s="1440"/>
      <c r="T2" s="1440"/>
      <c r="U2" s="1440"/>
      <c r="V2" s="1440"/>
      <c r="W2" s="1440"/>
      <c r="X2" s="1440"/>
      <c r="Y2" s="1440"/>
    </row>
    <row r="3" spans="2:25" x14ac:dyDescent="0.35">
      <c r="B3" s="1443" t="str">
        <f>Index!B3</f>
        <v>MYT Petition Formats for Bhusawal Unit 6</v>
      </c>
      <c r="C3" s="1443"/>
      <c r="D3" s="1443"/>
      <c r="E3" s="1443"/>
      <c r="F3" s="1443"/>
      <c r="G3" s="1443"/>
      <c r="H3" s="1443"/>
      <c r="I3" s="1443"/>
      <c r="J3" s="1443"/>
      <c r="K3" s="1443"/>
      <c r="L3" s="1443"/>
      <c r="M3" s="1443"/>
      <c r="N3" s="787"/>
      <c r="O3" s="1440"/>
      <c r="P3" s="1440"/>
      <c r="Q3" s="1440"/>
      <c r="R3" s="1440"/>
      <c r="S3" s="1440"/>
      <c r="T3" s="1440"/>
      <c r="U3" s="1440"/>
      <c r="V3" s="1440"/>
      <c r="W3" s="1440"/>
      <c r="X3" s="1440"/>
      <c r="Y3" s="1440"/>
    </row>
    <row r="4" spans="2:25" x14ac:dyDescent="0.35">
      <c r="B4" s="1443" t="s">
        <v>369</v>
      </c>
      <c r="C4" s="1443"/>
      <c r="D4" s="1443"/>
      <c r="E4" s="1443"/>
      <c r="F4" s="1443"/>
      <c r="G4" s="1443"/>
      <c r="H4" s="1443"/>
      <c r="I4" s="1443"/>
      <c r="J4" s="1443"/>
      <c r="K4" s="1443"/>
      <c r="L4" s="1443"/>
      <c r="M4" s="1443"/>
      <c r="N4" s="787"/>
      <c r="O4" s="1440"/>
      <c r="P4" s="1440"/>
      <c r="Q4" s="1440"/>
      <c r="R4" s="1440"/>
      <c r="S4" s="1440"/>
      <c r="T4" s="1440"/>
      <c r="U4" s="1440"/>
      <c r="V4" s="1440"/>
      <c r="W4" s="1440"/>
      <c r="X4" s="1440"/>
      <c r="Y4" s="1440"/>
    </row>
    <row r="5" spans="2:25" s="26" customFormat="1" x14ac:dyDescent="0.35">
      <c r="B5" s="712"/>
      <c r="C5" s="713"/>
      <c r="D5" s="714"/>
      <c r="E5" s="714"/>
      <c r="F5" s="714"/>
      <c r="G5" s="714"/>
      <c r="H5" s="714"/>
      <c r="I5" s="714"/>
      <c r="J5" s="714"/>
      <c r="K5" s="714"/>
      <c r="L5" s="714"/>
      <c r="M5" s="714"/>
      <c r="N5" s="788"/>
      <c r="O5" s="789"/>
      <c r="P5" s="788"/>
      <c r="Q5" s="788"/>
    </row>
    <row r="6" spans="2:25" s="715" customFormat="1" ht="21" customHeight="1" x14ac:dyDescent="0.25">
      <c r="B6" s="1429" t="s">
        <v>327</v>
      </c>
      <c r="C6" s="1441" t="s">
        <v>35</v>
      </c>
      <c r="D6" s="1441" t="s">
        <v>91</v>
      </c>
      <c r="E6" s="1416" t="s">
        <v>477</v>
      </c>
      <c r="F6" s="1417"/>
      <c r="G6" s="1417"/>
      <c r="H6" s="1418"/>
      <c r="I6" s="1416" t="s">
        <v>849</v>
      </c>
      <c r="J6" s="1418"/>
      <c r="K6" s="1416" t="s">
        <v>848</v>
      </c>
      <c r="L6" s="1417"/>
      <c r="M6" s="1417"/>
      <c r="N6" s="1418"/>
      <c r="O6" s="1429" t="s">
        <v>25</v>
      </c>
    </row>
    <row r="7" spans="2:25" s="715" customFormat="1" ht="43.5" customHeight="1" x14ac:dyDescent="0.25">
      <c r="B7" s="1441"/>
      <c r="C7" s="1441"/>
      <c r="D7" s="1441"/>
      <c r="E7" s="456" t="s">
        <v>1215</v>
      </c>
      <c r="F7" s="456" t="s">
        <v>827</v>
      </c>
      <c r="G7" s="456" t="s">
        <v>77</v>
      </c>
      <c r="H7" s="456" t="s">
        <v>427</v>
      </c>
      <c r="I7" s="1408" t="s">
        <v>827</v>
      </c>
      <c r="J7" s="1438" t="s">
        <v>3068</v>
      </c>
      <c r="K7" s="456" t="s">
        <v>850</v>
      </c>
      <c r="L7" s="456" t="s">
        <v>851</v>
      </c>
      <c r="M7" s="456" t="s">
        <v>852</v>
      </c>
      <c r="N7" s="456" t="s">
        <v>853</v>
      </c>
      <c r="O7" s="1429"/>
    </row>
    <row r="8" spans="2:25" s="715" customFormat="1" x14ac:dyDescent="0.25">
      <c r="B8" s="1441"/>
      <c r="C8" s="1441"/>
      <c r="D8" s="1441"/>
      <c r="E8" s="456" t="s">
        <v>78</v>
      </c>
      <c r="F8" s="456" t="s">
        <v>79</v>
      </c>
      <c r="G8" s="456" t="s">
        <v>1198</v>
      </c>
      <c r="H8" s="456" t="s">
        <v>1199</v>
      </c>
      <c r="I8" s="1437"/>
      <c r="J8" s="1439"/>
      <c r="K8" s="456" t="s">
        <v>20</v>
      </c>
      <c r="L8" s="456" t="s">
        <v>20</v>
      </c>
      <c r="M8" s="456" t="s">
        <v>20</v>
      </c>
      <c r="N8" s="456" t="s">
        <v>20</v>
      </c>
      <c r="O8" s="1442"/>
    </row>
    <row r="9" spans="2:25" s="718" customFormat="1" x14ac:dyDescent="0.3">
      <c r="B9" s="716"/>
      <c r="C9" s="717"/>
      <c r="D9" s="717"/>
      <c r="E9" s="1372"/>
      <c r="F9" s="1372"/>
      <c r="G9" s="1372"/>
      <c r="H9" s="1372"/>
      <c r="I9" s="1372"/>
      <c r="J9" s="1373"/>
      <c r="K9" s="1373"/>
      <c r="L9" s="1373"/>
      <c r="M9" s="1373"/>
      <c r="N9" s="1373"/>
      <c r="O9" s="1370"/>
    </row>
    <row r="10" spans="2:25" s="718" customFormat="1" x14ac:dyDescent="0.3">
      <c r="B10" s="251">
        <v>1</v>
      </c>
      <c r="C10" s="252" t="s">
        <v>92</v>
      </c>
      <c r="D10" s="253"/>
      <c r="E10" s="1374"/>
      <c r="F10" s="1374"/>
      <c r="G10" s="1374"/>
      <c r="H10" s="1374"/>
      <c r="I10" s="1374"/>
      <c r="J10" s="1370"/>
      <c r="K10" s="1370"/>
      <c r="L10" s="1370"/>
      <c r="M10" s="1370"/>
      <c r="N10" s="1370"/>
      <c r="O10" s="1370"/>
    </row>
    <row r="11" spans="2:25" s="718" customFormat="1" x14ac:dyDescent="0.35">
      <c r="B11" s="254">
        <f>B10+0.1</f>
        <v>1.1000000000000001</v>
      </c>
      <c r="C11" s="255" t="s">
        <v>93</v>
      </c>
      <c r="D11" s="244" t="s">
        <v>94</v>
      </c>
      <c r="E11" s="425">
        <f>F11</f>
        <v>660</v>
      </c>
      <c r="F11" s="351">
        <f>G11</f>
        <v>660</v>
      </c>
      <c r="G11" s="351">
        <v>660</v>
      </c>
      <c r="H11" s="351">
        <f>G11-F11</f>
        <v>0</v>
      </c>
      <c r="I11" s="351">
        <f>J11</f>
        <v>660</v>
      </c>
      <c r="J11" s="523">
        <f>G11</f>
        <v>660</v>
      </c>
      <c r="K11" s="523">
        <f t="shared" ref="K11:N12" si="0">J11</f>
        <v>660</v>
      </c>
      <c r="L11" s="523">
        <f t="shared" si="0"/>
        <v>660</v>
      </c>
      <c r="M11" s="523">
        <f t="shared" si="0"/>
        <v>660</v>
      </c>
      <c r="N11" s="523">
        <f t="shared" si="0"/>
        <v>660</v>
      </c>
      <c r="O11" s="1370"/>
    </row>
    <row r="12" spans="2:25" s="718" customFormat="1" x14ac:dyDescent="0.35">
      <c r="B12" s="324">
        <f>B11+0.1</f>
        <v>1.2000000000000002</v>
      </c>
      <c r="C12" s="258" t="s">
        <v>95</v>
      </c>
      <c r="D12" s="268" t="s">
        <v>96</v>
      </c>
      <c r="E12" s="422">
        <f>F2.1!E15</f>
        <v>0.85</v>
      </c>
      <c r="F12" s="380">
        <f>F2.1!F15</f>
        <v>0.85</v>
      </c>
      <c r="G12" s="380">
        <f>F2.1!G15</f>
        <v>0.85</v>
      </c>
      <c r="H12" s="380">
        <f t="shared" ref="H12:H38" si="1">G12-F12</f>
        <v>0</v>
      </c>
      <c r="I12" s="380">
        <f>F2.1!$I$15</f>
        <v>0.85</v>
      </c>
      <c r="J12" s="1375">
        <f>F12</f>
        <v>0.85</v>
      </c>
      <c r="K12" s="1375">
        <f t="shared" si="0"/>
        <v>0.85</v>
      </c>
      <c r="L12" s="1375">
        <f t="shared" si="0"/>
        <v>0.85</v>
      </c>
      <c r="M12" s="1375">
        <f t="shared" si="0"/>
        <v>0.85</v>
      </c>
      <c r="N12" s="1375">
        <f t="shared" si="0"/>
        <v>0.85</v>
      </c>
      <c r="O12" s="376"/>
    </row>
    <row r="13" spans="2:25" s="718" customFormat="1" x14ac:dyDescent="0.35">
      <c r="B13" s="324">
        <v>1.3</v>
      </c>
      <c r="C13" s="258" t="s">
        <v>632</v>
      </c>
      <c r="D13" s="268" t="s">
        <v>96</v>
      </c>
      <c r="E13" s="420"/>
      <c r="F13" s="380">
        <f>G13</f>
        <v>0.51398977912589505</v>
      </c>
      <c r="G13" s="380">
        <v>0.51398977912589505</v>
      </c>
      <c r="H13" s="380">
        <f t="shared" si="1"/>
        <v>0</v>
      </c>
      <c r="I13" s="380">
        <f>J13</f>
        <v>0.83201869926531768</v>
      </c>
      <c r="J13" s="664">
        <v>0.83201869926531768</v>
      </c>
      <c r="K13" s="664">
        <f t="shared" ref="K13:N13" si="2">K21</f>
        <v>0.85000000000000009</v>
      </c>
      <c r="L13" s="664">
        <f t="shared" si="2"/>
        <v>0.85</v>
      </c>
      <c r="M13" s="664">
        <f t="shared" si="2"/>
        <v>0.85000000000000009</v>
      </c>
      <c r="N13" s="664">
        <f t="shared" si="2"/>
        <v>0.85000000000000009</v>
      </c>
      <c r="O13" s="376"/>
    </row>
    <row r="14" spans="2:25" s="718" customFormat="1" x14ac:dyDescent="0.35">
      <c r="B14" s="254" t="s">
        <v>633</v>
      </c>
      <c r="C14" s="256" t="s">
        <v>597</v>
      </c>
      <c r="D14" s="244"/>
      <c r="E14" s="420"/>
      <c r="F14" s="379"/>
      <c r="G14" s="379"/>
      <c r="H14" s="380"/>
      <c r="I14" s="380"/>
      <c r="J14" s="420"/>
      <c r="K14" s="420"/>
      <c r="L14" s="420"/>
      <c r="M14" s="420"/>
      <c r="N14" s="420"/>
      <c r="O14" s="1370"/>
    </row>
    <row r="15" spans="2:25" s="718" customFormat="1" x14ac:dyDescent="0.35">
      <c r="B15" s="254"/>
      <c r="C15" s="257" t="s">
        <v>598</v>
      </c>
      <c r="D15" s="244" t="s">
        <v>96</v>
      </c>
      <c r="E15" s="420"/>
      <c r="F15" s="379">
        <f>G15</f>
        <v>0.46249000000000001</v>
      </c>
      <c r="G15" s="379">
        <v>0.46249000000000001</v>
      </c>
      <c r="H15" s="380">
        <f t="shared" si="1"/>
        <v>0</v>
      </c>
      <c r="I15" s="380"/>
      <c r="J15" s="420"/>
      <c r="K15" s="420"/>
      <c r="L15" s="420"/>
      <c r="M15" s="420"/>
      <c r="N15" s="420"/>
      <c r="O15" s="1370"/>
    </row>
    <row r="16" spans="2:25" s="718" customFormat="1" x14ac:dyDescent="0.35">
      <c r="B16" s="254"/>
      <c r="C16" s="257" t="s">
        <v>599</v>
      </c>
      <c r="D16" s="244" t="s">
        <v>96</v>
      </c>
      <c r="E16" s="420"/>
      <c r="F16" s="379">
        <f t="shared" ref="F16:F19" si="3">G16</f>
        <v>0.44533</v>
      </c>
      <c r="G16" s="379">
        <v>0.44533</v>
      </c>
      <c r="H16" s="380">
        <f t="shared" si="1"/>
        <v>0</v>
      </c>
      <c r="I16" s="380"/>
      <c r="J16" s="420"/>
      <c r="K16" s="420"/>
      <c r="L16" s="420"/>
      <c r="M16" s="420"/>
      <c r="N16" s="420"/>
      <c r="O16" s="1370"/>
    </row>
    <row r="17" spans="2:15" s="718" customFormat="1" x14ac:dyDescent="0.35">
      <c r="B17" s="254" t="s">
        <v>634</v>
      </c>
      <c r="C17" s="256" t="s">
        <v>600</v>
      </c>
      <c r="D17" s="244"/>
      <c r="E17" s="420"/>
      <c r="F17" s="379"/>
      <c r="G17" s="379"/>
      <c r="H17" s="380"/>
      <c r="I17" s="380"/>
      <c r="J17" s="420"/>
      <c r="K17" s="420"/>
      <c r="L17" s="420"/>
      <c r="M17" s="420"/>
      <c r="N17" s="420"/>
      <c r="O17" s="1370"/>
    </row>
    <row r="18" spans="2:15" s="718" customFormat="1" x14ac:dyDescent="0.35">
      <c r="B18" s="254"/>
      <c r="C18" s="257" t="s">
        <v>598</v>
      </c>
      <c r="D18" s="244" t="s">
        <v>96</v>
      </c>
      <c r="E18" s="420"/>
      <c r="F18" s="379">
        <f t="shared" si="3"/>
        <v>0.83346999999999993</v>
      </c>
      <c r="G18" s="379">
        <v>0.83346999999999993</v>
      </c>
      <c r="H18" s="380">
        <f t="shared" si="1"/>
        <v>0</v>
      </c>
      <c r="I18" s="380"/>
      <c r="J18" s="420"/>
      <c r="K18" s="420"/>
      <c r="L18" s="420"/>
      <c r="M18" s="420"/>
      <c r="N18" s="420"/>
      <c r="O18" s="1370"/>
    </row>
    <row r="19" spans="2:15" s="718" customFormat="1" x14ac:dyDescent="0.35">
      <c r="B19" s="254"/>
      <c r="C19" s="257" t="s">
        <v>599</v>
      </c>
      <c r="D19" s="244" t="s">
        <v>96</v>
      </c>
      <c r="E19" s="420"/>
      <c r="F19" s="379">
        <f t="shared" si="3"/>
        <v>0.81228</v>
      </c>
      <c r="G19" s="379">
        <v>0.81228</v>
      </c>
      <c r="H19" s="380">
        <f t="shared" si="1"/>
        <v>0</v>
      </c>
      <c r="I19" s="380"/>
      <c r="J19" s="420"/>
      <c r="K19" s="420"/>
      <c r="L19" s="420"/>
      <c r="M19" s="420"/>
      <c r="N19" s="420"/>
      <c r="O19" s="1370"/>
    </row>
    <row r="20" spans="2:15" s="718" customFormat="1" x14ac:dyDescent="0.35">
      <c r="B20" s="324">
        <v>1.4</v>
      </c>
      <c r="C20" s="258" t="s">
        <v>97</v>
      </c>
      <c r="D20" s="268" t="s">
        <v>96</v>
      </c>
      <c r="E20" s="505">
        <f>F2.1!E25</f>
        <v>0.85</v>
      </c>
      <c r="F20" s="379">
        <f>F2.1!F25</f>
        <v>0.85</v>
      </c>
      <c r="G20" s="418">
        <f>F2.1!G25</f>
        <v>0.85</v>
      </c>
      <c r="H20" s="418">
        <f t="shared" si="1"/>
        <v>0</v>
      </c>
      <c r="I20" s="418"/>
      <c r="J20" s="664">
        <f>G20</f>
        <v>0.85</v>
      </c>
      <c r="K20" s="664">
        <f>J20</f>
        <v>0.85</v>
      </c>
      <c r="L20" s="664">
        <f>K20</f>
        <v>0.85</v>
      </c>
      <c r="M20" s="664">
        <f>L20</f>
        <v>0.85</v>
      </c>
      <c r="N20" s="664">
        <f>M20</f>
        <v>0.85</v>
      </c>
      <c r="O20" s="419"/>
    </row>
    <row r="21" spans="2:15" s="718" customFormat="1" x14ac:dyDescent="0.35">
      <c r="B21" s="324">
        <v>1.5</v>
      </c>
      <c r="C21" s="258" t="s">
        <v>635</v>
      </c>
      <c r="D21" s="268" t="s">
        <v>96</v>
      </c>
      <c r="E21" s="1376"/>
      <c r="F21" s="380">
        <f>G21</f>
        <v>0.54333295258885095</v>
      </c>
      <c r="G21" s="380">
        <v>0.54333295258885095</v>
      </c>
      <c r="H21" s="418">
        <f t="shared" si="1"/>
        <v>0</v>
      </c>
      <c r="I21" s="380">
        <f>J21</f>
        <v>0.71713625985886253</v>
      </c>
      <c r="J21" s="664">
        <f>J23/(J11*24*365/1000)</f>
        <v>0.71713625985886253</v>
      </c>
      <c r="K21" s="664">
        <f>K23/(K11*24*365/1000)</f>
        <v>0.85000000000000009</v>
      </c>
      <c r="L21" s="664">
        <f>L23/(L11*24*366/1000)</f>
        <v>0.85</v>
      </c>
      <c r="M21" s="664">
        <f t="shared" ref="M21:N21" si="4">M23/(M11*24*365/1000)</f>
        <v>0.85000000000000009</v>
      </c>
      <c r="N21" s="664">
        <f t="shared" si="4"/>
        <v>0.85000000000000009</v>
      </c>
      <c r="O21" s="419"/>
    </row>
    <row r="22" spans="2:15" s="718" customFormat="1" ht="48.65" customHeight="1" x14ac:dyDescent="0.35">
      <c r="B22" s="254">
        <v>1.6</v>
      </c>
      <c r="C22" s="258" t="s">
        <v>628</v>
      </c>
      <c r="D22" s="244" t="s">
        <v>96</v>
      </c>
      <c r="E22" s="420"/>
      <c r="F22" s="379"/>
      <c r="G22" s="305">
        <v>0.50367383171375912</v>
      </c>
      <c r="H22" s="380">
        <f t="shared" si="1"/>
        <v>0.50367383171375912</v>
      </c>
      <c r="I22" s="380"/>
      <c r="J22" s="664">
        <f>J21</f>
        <v>0.71713625985886253</v>
      </c>
      <c r="K22" s="664">
        <f t="shared" ref="K22:N22" si="5">K21</f>
        <v>0.85000000000000009</v>
      </c>
      <c r="L22" s="664">
        <f t="shared" si="5"/>
        <v>0.85</v>
      </c>
      <c r="M22" s="664">
        <f t="shared" si="5"/>
        <v>0.85000000000000009</v>
      </c>
      <c r="N22" s="664">
        <f t="shared" si="5"/>
        <v>0.85000000000000009</v>
      </c>
      <c r="O22" s="1370"/>
    </row>
    <row r="23" spans="2:15" s="718" customFormat="1" x14ac:dyDescent="0.35">
      <c r="B23" s="254">
        <v>1.7</v>
      </c>
      <c r="C23" s="259" t="s">
        <v>636</v>
      </c>
      <c r="D23" s="244" t="s">
        <v>98</v>
      </c>
      <c r="E23" s="421">
        <v>807.84</v>
      </c>
      <c r="F23" s="381">
        <f>G23</f>
        <v>308.238</v>
      </c>
      <c r="G23" s="381">
        <v>308.238</v>
      </c>
      <c r="H23" s="381">
        <f t="shared" si="1"/>
        <v>0</v>
      </c>
      <c r="I23" s="381">
        <f>J23</f>
        <v>4146.1949999999997</v>
      </c>
      <c r="J23" s="511">
        <v>4146.1949999999997</v>
      </c>
      <c r="K23" s="511">
        <f>K113/K40</f>
        <v>4914.3600000000006</v>
      </c>
      <c r="L23" s="511">
        <f t="shared" ref="L23:N23" si="6">L113/L40</f>
        <v>4927.8239999999996</v>
      </c>
      <c r="M23" s="511">
        <f t="shared" si="6"/>
        <v>4914.3600000000006</v>
      </c>
      <c r="N23" s="511">
        <f t="shared" si="6"/>
        <v>4914.3600000000006</v>
      </c>
      <c r="O23" s="1370"/>
    </row>
    <row r="24" spans="2:15" s="718" customFormat="1" x14ac:dyDescent="0.35">
      <c r="B24" s="254">
        <v>1.8</v>
      </c>
      <c r="C24" s="255" t="s">
        <v>641</v>
      </c>
      <c r="D24" s="244" t="s">
        <v>98</v>
      </c>
      <c r="E24" s="421"/>
      <c r="F24" s="383">
        <f>F2.1!$F$31</f>
        <v>308.238</v>
      </c>
      <c r="G24" s="383">
        <v>285.73899999999998</v>
      </c>
      <c r="H24" s="383"/>
      <c r="I24" s="383">
        <f>F2.1!$I$31</f>
        <v>0</v>
      </c>
      <c r="J24" s="511"/>
      <c r="K24" s="511"/>
      <c r="L24" s="511"/>
      <c r="M24" s="511"/>
      <c r="N24" s="511"/>
      <c r="O24" s="1370"/>
    </row>
    <row r="25" spans="2:15" s="718" customFormat="1" x14ac:dyDescent="0.35">
      <c r="B25" s="260">
        <v>1.9</v>
      </c>
      <c r="C25" s="259" t="s">
        <v>861</v>
      </c>
      <c r="D25" s="244" t="s">
        <v>96</v>
      </c>
      <c r="E25" s="422">
        <v>5.7500000000000002E-2</v>
      </c>
      <c r="F25" s="382">
        <f>F2.1!$F$34</f>
        <v>5.7500000000000002E-2</v>
      </c>
      <c r="G25" s="382"/>
      <c r="H25" s="382"/>
      <c r="I25" s="382">
        <f>F2.1!$I$34</f>
        <v>5.7500000000000002E-2</v>
      </c>
      <c r="J25" s="665">
        <f>Assumptions!H37</f>
        <v>5.7500000000000002E-2</v>
      </c>
      <c r="K25" s="665">
        <f>Assumptions!I37</f>
        <v>5.7500000000000002E-2</v>
      </c>
      <c r="L25" s="665">
        <f>Assumptions!J37</f>
        <v>5.7500000000000002E-2</v>
      </c>
      <c r="M25" s="665">
        <f>Assumptions!K37</f>
        <v>5.7500000000000002E-2</v>
      </c>
      <c r="N25" s="665">
        <f>Assumptions!L37</f>
        <v>5.7500000000000002E-2</v>
      </c>
      <c r="O25" s="1370"/>
    </row>
    <row r="26" spans="2:15" s="718" customFormat="1" x14ac:dyDescent="0.25">
      <c r="B26" s="261">
        <v>1.1000000000000001</v>
      </c>
      <c r="C26" s="259" t="s">
        <v>637</v>
      </c>
      <c r="D26" s="244" t="s">
        <v>96</v>
      </c>
      <c r="E26" s="422"/>
      <c r="F26" s="382"/>
      <c r="G26" s="382"/>
      <c r="H26" s="382"/>
      <c r="I26" s="382"/>
      <c r="J26" s="665">
        <f>Assumptions!H39</f>
        <v>0</v>
      </c>
      <c r="K26" s="665">
        <f>Assumptions!I39</f>
        <v>0</v>
      </c>
      <c r="L26" s="665">
        <f>Assumptions!J39</f>
        <v>0</v>
      </c>
      <c r="M26" s="665">
        <f>Assumptions!K39</f>
        <v>0</v>
      </c>
      <c r="N26" s="665">
        <f>Assumptions!L39</f>
        <v>0</v>
      </c>
      <c r="O26" s="1370"/>
    </row>
    <row r="27" spans="2:15" s="718" customFormat="1" ht="31" x14ac:dyDescent="0.25">
      <c r="B27" s="261">
        <f>B26+0.01</f>
        <v>1.1100000000000001</v>
      </c>
      <c r="C27" s="259" t="s">
        <v>862</v>
      </c>
      <c r="D27" s="244" t="s">
        <v>96</v>
      </c>
      <c r="E27" s="422"/>
      <c r="F27" s="382"/>
      <c r="G27" s="382"/>
      <c r="H27" s="382"/>
      <c r="I27" s="382"/>
      <c r="J27" s="665">
        <f>Assumptions!H40</f>
        <v>0</v>
      </c>
      <c r="K27" s="665">
        <f>Assumptions!I40/2</f>
        <v>1E-3</v>
      </c>
      <c r="L27" s="665">
        <f>Assumptions!J40</f>
        <v>2E-3</v>
      </c>
      <c r="M27" s="665">
        <f>Assumptions!K40</f>
        <v>2E-3</v>
      </c>
      <c r="N27" s="665">
        <f>Assumptions!L40</f>
        <v>2E-3</v>
      </c>
      <c r="O27" s="1370"/>
    </row>
    <row r="28" spans="2:15" s="718" customFormat="1" x14ac:dyDescent="0.25">
      <c r="B28" s="261">
        <f>B27+0.01</f>
        <v>1.1200000000000001</v>
      </c>
      <c r="C28" s="259" t="s">
        <v>866</v>
      </c>
      <c r="D28" s="244" t="s">
        <v>96</v>
      </c>
      <c r="E28" s="382">
        <f>SUM(E25:E27)</f>
        <v>5.7500000000000002E-2</v>
      </c>
      <c r="F28" s="382">
        <f>SUM(F25:F27)</f>
        <v>5.7500000000000002E-2</v>
      </c>
      <c r="G28" s="382"/>
      <c r="H28" s="382"/>
      <c r="I28" s="382">
        <f>SUM(I25:I27)</f>
        <v>5.7500000000000002E-2</v>
      </c>
      <c r="J28" s="665">
        <f>SUM(J25:J27)</f>
        <v>5.7500000000000002E-2</v>
      </c>
      <c r="K28" s="665">
        <f t="shared" ref="K28:N28" si="7">SUM(K25:K27)</f>
        <v>5.8500000000000003E-2</v>
      </c>
      <c r="L28" s="665">
        <f t="shared" si="7"/>
        <v>5.9500000000000004E-2</v>
      </c>
      <c r="M28" s="665">
        <f t="shared" si="7"/>
        <v>5.9500000000000004E-2</v>
      </c>
      <c r="N28" s="665">
        <f t="shared" si="7"/>
        <v>5.9500000000000004E-2</v>
      </c>
      <c r="O28" s="1370"/>
    </row>
    <row r="29" spans="2:15" s="718" customFormat="1" ht="31" x14ac:dyDescent="0.25">
      <c r="B29" s="268">
        <v>1.1100000000000001</v>
      </c>
      <c r="C29" s="286" t="s">
        <v>867</v>
      </c>
      <c r="D29" s="268" t="s">
        <v>96</v>
      </c>
      <c r="E29" s="382"/>
      <c r="F29" s="382"/>
      <c r="G29" s="382">
        <f>Assumptions!G44</f>
        <v>9.5600000000000004E-2</v>
      </c>
      <c r="H29" s="382">
        <f t="shared" si="1"/>
        <v>9.5600000000000004E-2</v>
      </c>
      <c r="I29" s="382"/>
      <c r="J29" s="665">
        <v>7.0479112561758386E-2</v>
      </c>
      <c r="K29" s="665">
        <f>Assumptions!I44</f>
        <v>5.7500000000000002E-2</v>
      </c>
      <c r="L29" s="665">
        <f>Assumptions!J44</f>
        <v>5.7500000000000002E-2</v>
      </c>
      <c r="M29" s="665">
        <f>Assumptions!K44</f>
        <v>5.7500000000000002E-2</v>
      </c>
      <c r="N29" s="665">
        <f>Assumptions!L44</f>
        <v>5.7500000000000002E-2</v>
      </c>
      <c r="O29" s="1370"/>
    </row>
    <row r="30" spans="2:15" s="718" customFormat="1" ht="31" x14ac:dyDescent="0.25">
      <c r="B30" s="244">
        <v>1.1200000000000001</v>
      </c>
      <c r="C30" s="259" t="s">
        <v>638</v>
      </c>
      <c r="D30" s="244" t="s">
        <v>96</v>
      </c>
      <c r="E30" s="382"/>
      <c r="F30" s="382"/>
      <c r="G30" s="382"/>
      <c r="H30" s="382">
        <f t="shared" si="1"/>
        <v>0</v>
      </c>
      <c r="I30" s="382"/>
      <c r="J30" s="665">
        <v>0</v>
      </c>
      <c r="K30" s="665">
        <f>Assumptions!I46</f>
        <v>0</v>
      </c>
      <c r="L30" s="665">
        <f>Assumptions!J46</f>
        <v>0</v>
      </c>
      <c r="M30" s="665">
        <f>Assumptions!K46</f>
        <v>0</v>
      </c>
      <c r="N30" s="665">
        <f>Assumptions!L46</f>
        <v>0</v>
      </c>
      <c r="O30" s="1370"/>
    </row>
    <row r="31" spans="2:15" s="718" customFormat="1" ht="31" x14ac:dyDescent="0.25">
      <c r="B31" s="244"/>
      <c r="C31" s="259" t="s">
        <v>864</v>
      </c>
      <c r="D31" s="244" t="s">
        <v>96</v>
      </c>
      <c r="E31" s="382"/>
      <c r="F31" s="382"/>
      <c r="G31" s="382"/>
      <c r="H31" s="382">
        <f t="shared" si="1"/>
        <v>0</v>
      </c>
      <c r="I31" s="382"/>
      <c r="J31" s="665">
        <v>0</v>
      </c>
      <c r="K31" s="665">
        <f>Assumptions!I47</f>
        <v>1E-3</v>
      </c>
      <c r="L31" s="665">
        <f>Assumptions!J47</f>
        <v>2E-3</v>
      </c>
      <c r="M31" s="665">
        <f>Assumptions!K47</f>
        <v>2E-3</v>
      </c>
      <c r="N31" s="665">
        <f>Assumptions!L47</f>
        <v>2E-3</v>
      </c>
      <c r="O31" s="1370"/>
    </row>
    <row r="32" spans="2:15" s="718" customFormat="1" x14ac:dyDescent="0.25">
      <c r="B32" s="244"/>
      <c r="C32" s="259" t="s">
        <v>865</v>
      </c>
      <c r="D32" s="244" t="s">
        <v>96</v>
      </c>
      <c r="E32" s="382"/>
      <c r="F32" s="382"/>
      <c r="G32" s="382">
        <f>SUM(G29:G31)</f>
        <v>9.5600000000000004E-2</v>
      </c>
      <c r="H32" s="382">
        <f>SUM(H29:H31)</f>
        <v>9.5600000000000004E-2</v>
      </c>
      <c r="I32" s="382"/>
      <c r="J32" s="382">
        <f>SUM(J29:J31)</f>
        <v>7.0479112561758386E-2</v>
      </c>
      <c r="K32" s="382">
        <f t="shared" ref="K32:N32" si="8">SUM(K29:K31)</f>
        <v>5.8500000000000003E-2</v>
      </c>
      <c r="L32" s="382">
        <f t="shared" si="8"/>
        <v>5.9500000000000004E-2</v>
      </c>
      <c r="M32" s="382">
        <f t="shared" si="8"/>
        <v>5.9500000000000004E-2</v>
      </c>
      <c r="N32" s="382">
        <f t="shared" si="8"/>
        <v>5.9500000000000004E-2</v>
      </c>
      <c r="O32" s="1370"/>
    </row>
    <row r="33" spans="2:15" ht="31" x14ac:dyDescent="0.35">
      <c r="B33" s="277"/>
      <c r="C33" s="286" t="s">
        <v>867</v>
      </c>
      <c r="D33" s="244" t="s">
        <v>98</v>
      </c>
      <c r="E33" s="381">
        <f>E$23*E25</f>
        <v>46.450800000000001</v>
      </c>
      <c r="F33" s="381">
        <f>F$23*F25</f>
        <v>17.723685</v>
      </c>
      <c r="G33" s="381">
        <f>G$23*G29</f>
        <v>29.4675528</v>
      </c>
      <c r="H33" s="381">
        <f t="shared" ref="H33" si="9">G33-F33</f>
        <v>11.7438678</v>
      </c>
      <c r="I33" s="381">
        <f>I$23*I25</f>
        <v>238.40621249999998</v>
      </c>
      <c r="J33" s="381">
        <f>J$23*J29</f>
        <v>292.22014410799977</v>
      </c>
      <c r="K33" s="381">
        <f t="shared" ref="K33:N33" si="10">K$23*K29</f>
        <v>282.57570000000004</v>
      </c>
      <c r="L33" s="381">
        <f t="shared" si="10"/>
        <v>283.34987999999998</v>
      </c>
      <c r="M33" s="381">
        <f t="shared" si="10"/>
        <v>282.57570000000004</v>
      </c>
      <c r="N33" s="381">
        <f t="shared" si="10"/>
        <v>282.57570000000004</v>
      </c>
      <c r="O33" s="1371"/>
    </row>
    <row r="34" spans="2:15" s="718" customFormat="1" ht="31" x14ac:dyDescent="0.25">
      <c r="B34" s="261">
        <v>1.1399999999999999</v>
      </c>
      <c r="C34" s="259" t="s">
        <v>869</v>
      </c>
      <c r="D34" s="244" t="s">
        <v>98</v>
      </c>
      <c r="E34" s="381">
        <f t="shared" ref="E34:F35" si="11">E$23*E26</f>
        <v>0</v>
      </c>
      <c r="F34" s="381">
        <f t="shared" si="11"/>
        <v>0</v>
      </c>
      <c r="G34" s="381">
        <f>G$23*G30</f>
        <v>0</v>
      </c>
      <c r="H34" s="381">
        <f t="shared" si="1"/>
        <v>0</v>
      </c>
      <c r="I34" s="381">
        <f t="shared" ref="I34" si="12">I$23*I26</f>
        <v>0</v>
      </c>
      <c r="J34" s="381">
        <f>J$23*J30</f>
        <v>0</v>
      </c>
      <c r="K34" s="381">
        <f t="shared" ref="K34:N34" si="13">K$23*K30</f>
        <v>0</v>
      </c>
      <c r="L34" s="381">
        <f t="shared" si="13"/>
        <v>0</v>
      </c>
      <c r="M34" s="381">
        <f t="shared" si="13"/>
        <v>0</v>
      </c>
      <c r="N34" s="381">
        <f t="shared" si="13"/>
        <v>0</v>
      </c>
      <c r="O34" s="1370"/>
    </row>
    <row r="35" spans="2:15" s="718" customFormat="1" ht="31" x14ac:dyDescent="0.25">
      <c r="B35" s="261"/>
      <c r="C35" s="259" t="s">
        <v>864</v>
      </c>
      <c r="D35" s="244" t="s">
        <v>98</v>
      </c>
      <c r="E35" s="381">
        <f t="shared" si="11"/>
        <v>0</v>
      </c>
      <c r="F35" s="381">
        <f t="shared" si="11"/>
        <v>0</v>
      </c>
      <c r="G35" s="381">
        <f>G$23*G31</f>
        <v>0</v>
      </c>
      <c r="H35" s="381">
        <f t="shared" si="1"/>
        <v>0</v>
      </c>
      <c r="I35" s="381">
        <f t="shared" ref="I35" si="14">I$23*I27</f>
        <v>0</v>
      </c>
      <c r="J35" s="381">
        <f>J$23*J31</f>
        <v>0</v>
      </c>
      <c r="K35" s="381">
        <f t="shared" ref="K35:N35" si="15">K$23*K31</f>
        <v>4.9143600000000003</v>
      </c>
      <c r="L35" s="381">
        <f t="shared" si="15"/>
        <v>9.8556479999999986</v>
      </c>
      <c r="M35" s="381">
        <f t="shared" si="15"/>
        <v>9.8287200000000006</v>
      </c>
      <c r="N35" s="381">
        <f t="shared" si="15"/>
        <v>9.8287200000000006</v>
      </c>
      <c r="O35" s="1370"/>
    </row>
    <row r="36" spans="2:15" s="718" customFormat="1" ht="31" x14ac:dyDescent="0.35">
      <c r="B36" s="262">
        <v>1.1299999999999999</v>
      </c>
      <c r="C36" s="259" t="s">
        <v>868</v>
      </c>
      <c r="D36" s="244" t="s">
        <v>98</v>
      </c>
      <c r="E36" s="381">
        <f>SUM(E33:E35)</f>
        <v>46.450800000000001</v>
      </c>
      <c r="F36" s="381">
        <f t="shared" ref="F36:H36" si="16">SUM(F33:F35)</f>
        <v>17.723685</v>
      </c>
      <c r="G36" s="381">
        <f t="shared" si="16"/>
        <v>29.4675528</v>
      </c>
      <c r="H36" s="381">
        <f t="shared" si="16"/>
        <v>11.7438678</v>
      </c>
      <c r="I36" s="381">
        <f t="shared" ref="I36" si="17">SUM(I33:I35)</f>
        <v>238.40621249999998</v>
      </c>
      <c r="J36" s="381">
        <f t="shared" ref="J36" si="18">SUM(J33:J35)</f>
        <v>292.22014410799977</v>
      </c>
      <c r="K36" s="381">
        <f t="shared" ref="K36" si="19">SUM(K33:K35)</f>
        <v>287.49006000000003</v>
      </c>
      <c r="L36" s="381">
        <f t="shared" ref="L36" si="20">SUM(L33:L35)</f>
        <v>293.20552799999996</v>
      </c>
      <c r="M36" s="381">
        <f t="shared" ref="M36" si="21">SUM(M33:M35)</f>
        <v>292.40442000000002</v>
      </c>
      <c r="N36" s="381">
        <f t="shared" ref="N36" si="22">SUM(N33:N35)</f>
        <v>292.40442000000002</v>
      </c>
      <c r="O36" s="1370"/>
    </row>
    <row r="37" spans="2:15" s="718" customFormat="1" x14ac:dyDescent="0.35">
      <c r="B37" s="254">
        <v>1.1499999999999999</v>
      </c>
      <c r="C37" s="259" t="s">
        <v>870</v>
      </c>
      <c r="D37" s="244" t="s">
        <v>98</v>
      </c>
      <c r="E37" s="381">
        <f>E23-E36</f>
        <v>761.38920000000007</v>
      </c>
      <c r="F37" s="381">
        <f t="shared" ref="F37:J37" si="23">F23-F36</f>
        <v>290.51431500000001</v>
      </c>
      <c r="G37" s="381">
        <f t="shared" si="23"/>
        <v>278.77044719999998</v>
      </c>
      <c r="H37" s="381">
        <f t="shared" si="23"/>
        <v>-11.7438678</v>
      </c>
      <c r="I37" s="381">
        <f t="shared" si="23"/>
        <v>3907.7887874999997</v>
      </c>
      <c r="J37" s="381">
        <f t="shared" si="23"/>
        <v>3853.9748558920001</v>
      </c>
      <c r="K37" s="381">
        <f t="shared" ref="K37" si="24">K23-K36</f>
        <v>4626.8699400000005</v>
      </c>
      <c r="L37" s="381">
        <f t="shared" ref="L37" si="25">L23-L36</f>
        <v>4634.6184720000001</v>
      </c>
      <c r="M37" s="381">
        <f t="shared" ref="M37" si="26">M23-M36</f>
        <v>4621.9555800000007</v>
      </c>
      <c r="N37" s="381">
        <f t="shared" ref="N37" si="27">N23-N36</f>
        <v>4621.9555800000007</v>
      </c>
      <c r="O37" s="1370"/>
    </row>
    <row r="38" spans="2:15" s="718" customFormat="1" x14ac:dyDescent="0.35">
      <c r="B38" s="254">
        <v>1.1599999999999999</v>
      </c>
      <c r="C38" s="255" t="s">
        <v>640</v>
      </c>
      <c r="D38" s="244" t="s">
        <v>98</v>
      </c>
      <c r="E38" s="421"/>
      <c r="F38" s="383">
        <f>G38</f>
        <v>256.27144719999995</v>
      </c>
      <c r="G38" s="383">
        <f>G24-G36</f>
        <v>256.27144719999995</v>
      </c>
      <c r="H38" s="381">
        <f t="shared" si="1"/>
        <v>0</v>
      </c>
      <c r="I38" s="381"/>
      <c r="J38" s="381"/>
      <c r="K38" s="381"/>
      <c r="L38" s="381"/>
      <c r="M38" s="381"/>
      <c r="N38" s="381"/>
      <c r="O38" s="1370"/>
    </row>
    <row r="39" spans="2:15" s="718" customFormat="1" x14ac:dyDescent="0.35">
      <c r="B39" s="254">
        <v>1.17</v>
      </c>
      <c r="C39" s="259" t="s">
        <v>100</v>
      </c>
      <c r="D39" s="244" t="s">
        <v>101</v>
      </c>
      <c r="E39" s="1377">
        <v>2139.0500000000002</v>
      </c>
      <c r="F39" s="381">
        <f>E39</f>
        <v>2139.0500000000002</v>
      </c>
      <c r="G39" s="381"/>
      <c r="H39" s="381"/>
      <c r="I39" s="381">
        <f>Assumptions!$H$54</f>
        <v>2139.0500000000002</v>
      </c>
      <c r="J39" s="511">
        <f>Assumptions!H54</f>
        <v>2139.0500000000002</v>
      </c>
      <c r="K39" s="511">
        <f>Assumptions!I54</f>
        <v>2139.0500000000002</v>
      </c>
      <c r="L39" s="511">
        <f>Assumptions!J54</f>
        <v>2139.0500000000002</v>
      </c>
      <c r="M39" s="511">
        <f>Assumptions!K54</f>
        <v>2139.0500000000002</v>
      </c>
      <c r="N39" s="511">
        <f>Assumptions!L54</f>
        <v>2139.0500000000002</v>
      </c>
      <c r="O39" s="1370"/>
    </row>
    <row r="40" spans="2:15" s="718" customFormat="1" x14ac:dyDescent="0.25">
      <c r="B40" s="268">
        <v>1.18</v>
      </c>
      <c r="C40" s="258" t="s">
        <v>642</v>
      </c>
      <c r="D40" s="268" t="s">
        <v>101</v>
      </c>
      <c r="E40" s="1378"/>
      <c r="F40" s="381"/>
      <c r="G40" s="381">
        <v>2419.8421362534796</v>
      </c>
      <c r="H40" s="381">
        <f>G40-F39</f>
        <v>280.79213625347938</v>
      </c>
      <c r="I40" s="381"/>
      <c r="J40" s="511">
        <f>J113/J23</f>
        <v>2301.2570264392934</v>
      </c>
      <c r="K40" s="511">
        <f>Assumptions!I55</f>
        <v>2139.0500000000002</v>
      </c>
      <c r="L40" s="511">
        <f>Assumptions!J55</f>
        <v>2139.0500000000002</v>
      </c>
      <c r="M40" s="511">
        <f>Assumptions!K55</f>
        <v>2139.0500000000002</v>
      </c>
      <c r="N40" s="511">
        <f>Assumptions!L55</f>
        <v>2139.0500000000002</v>
      </c>
      <c r="O40" s="1370"/>
    </row>
    <row r="41" spans="2:15" s="718" customFormat="1" x14ac:dyDescent="0.35">
      <c r="B41" s="324">
        <v>1.19</v>
      </c>
      <c r="C41" s="258" t="s">
        <v>102</v>
      </c>
      <c r="D41" s="268" t="s">
        <v>103</v>
      </c>
      <c r="E41" s="1379">
        <v>0.5</v>
      </c>
      <c r="F41" s="381">
        <f>E41</f>
        <v>0.5</v>
      </c>
      <c r="G41" s="381"/>
      <c r="H41" s="381"/>
      <c r="I41" s="381">
        <f>Assumptions!H57</f>
        <v>0.5</v>
      </c>
      <c r="J41" s="511">
        <f>Assumptions!H57</f>
        <v>0.5</v>
      </c>
      <c r="K41" s="511">
        <f>Assumptions!I57</f>
        <v>0.5</v>
      </c>
      <c r="L41" s="511">
        <f>Assumptions!J57</f>
        <v>0.5</v>
      </c>
      <c r="M41" s="511">
        <f>Assumptions!K57</f>
        <v>0.5</v>
      </c>
      <c r="N41" s="511">
        <f>Assumptions!L57</f>
        <v>0.5</v>
      </c>
      <c r="O41" s="1370"/>
    </row>
    <row r="42" spans="2:15" s="718" customFormat="1" ht="31" x14ac:dyDescent="0.25">
      <c r="B42" s="378">
        <v>1.2</v>
      </c>
      <c r="C42" s="258" t="s">
        <v>643</v>
      </c>
      <c r="D42" s="268" t="s">
        <v>103</v>
      </c>
      <c r="E42" s="381"/>
      <c r="F42" s="381"/>
      <c r="G42" s="381">
        <v>3.2469999999999999</v>
      </c>
      <c r="H42" s="381">
        <f>G42-F41</f>
        <v>2.7469999999999999</v>
      </c>
      <c r="I42" s="381"/>
      <c r="J42" s="511">
        <v>0.93264065004178542</v>
      </c>
      <c r="K42" s="511">
        <f>Assumptions!I62</f>
        <v>0.5</v>
      </c>
      <c r="L42" s="511">
        <f>Assumptions!J62</f>
        <v>0.5</v>
      </c>
      <c r="M42" s="511">
        <f>Assumptions!K62</f>
        <v>0.5</v>
      </c>
      <c r="N42" s="511">
        <f>Assumptions!L62</f>
        <v>0.5</v>
      </c>
      <c r="O42" s="1370"/>
    </row>
    <row r="43" spans="2:15" s="718" customFormat="1" x14ac:dyDescent="0.35">
      <c r="B43" s="324">
        <v>1.21</v>
      </c>
      <c r="C43" s="258" t="s">
        <v>104</v>
      </c>
      <c r="D43" s="268" t="s">
        <v>96</v>
      </c>
      <c r="E43" s="422">
        <v>8.0000000000000002E-3</v>
      </c>
      <c r="F43" s="382">
        <f>Assumptions!G79</f>
        <v>8.0000000000000002E-3</v>
      </c>
      <c r="G43" s="382"/>
      <c r="H43" s="382"/>
      <c r="I43" s="382">
        <f>Assumptions!H79</f>
        <v>8.0000000000000002E-3</v>
      </c>
      <c r="J43" s="665">
        <f>Assumptions!H79</f>
        <v>8.0000000000000002E-3</v>
      </c>
      <c r="K43" s="665">
        <f>Assumptions!I79</f>
        <v>8.0000000000000002E-3</v>
      </c>
      <c r="L43" s="665">
        <f>Assumptions!J79</f>
        <v>8.0000000000000002E-3</v>
      </c>
      <c r="M43" s="665">
        <f>Assumptions!K79</f>
        <v>8.0000000000000002E-3</v>
      </c>
      <c r="N43" s="665">
        <f>Assumptions!L79</f>
        <v>8.0000000000000002E-3</v>
      </c>
      <c r="O43" s="1370"/>
    </row>
    <row r="44" spans="2:15" s="718" customFormat="1" x14ac:dyDescent="0.35">
      <c r="B44" s="324">
        <v>1.22</v>
      </c>
      <c r="C44" s="258" t="s">
        <v>644</v>
      </c>
      <c r="D44" s="268" t="s">
        <v>96</v>
      </c>
      <c r="E44" s="382"/>
      <c r="F44" s="382"/>
      <c r="G44" s="382">
        <v>1.34E-2</v>
      </c>
      <c r="H44" s="382">
        <f>G44-F43</f>
        <v>5.4000000000000003E-3</v>
      </c>
      <c r="I44" s="382"/>
      <c r="J44" s="665">
        <v>8.0000000000000002E-3</v>
      </c>
      <c r="K44" s="665">
        <f>Assumptions!I80</f>
        <v>8.0000000000000002E-3</v>
      </c>
      <c r="L44" s="665">
        <f>Assumptions!J80</f>
        <v>8.0000000000000002E-3</v>
      </c>
      <c r="M44" s="665">
        <f>Assumptions!K80</f>
        <v>8.0000000000000002E-3</v>
      </c>
      <c r="N44" s="665">
        <f>Assumptions!L80</f>
        <v>8.0000000000000002E-3</v>
      </c>
      <c r="O44" s="1370"/>
    </row>
    <row r="45" spans="2:15" s="718" customFormat="1" x14ac:dyDescent="0.3">
      <c r="B45" s="313"/>
      <c r="C45" s="312"/>
      <c r="D45" s="314"/>
      <c r="E45" s="426"/>
      <c r="F45" s="354"/>
      <c r="G45" s="354"/>
      <c r="H45" s="354"/>
      <c r="I45" s="354"/>
      <c r="J45" s="523"/>
      <c r="K45" s="523"/>
      <c r="L45" s="523"/>
      <c r="M45" s="523"/>
      <c r="N45" s="523"/>
      <c r="O45" s="1370"/>
    </row>
    <row r="46" spans="2:15" s="718" customFormat="1" x14ac:dyDescent="0.3">
      <c r="B46" s="313">
        <v>2</v>
      </c>
      <c r="C46" s="335" t="s">
        <v>105</v>
      </c>
      <c r="D46" s="314"/>
      <c r="E46" s="426"/>
      <c r="F46" s="354"/>
      <c r="G46" s="354"/>
      <c r="H46" s="354"/>
      <c r="I46" s="354"/>
      <c r="J46" s="523"/>
      <c r="K46" s="523"/>
      <c r="L46" s="523"/>
      <c r="M46" s="523"/>
      <c r="N46" s="523"/>
      <c r="O46" s="1370"/>
    </row>
    <row r="47" spans="2:15" s="718" customFormat="1" x14ac:dyDescent="0.3">
      <c r="B47" s="313">
        <v>2.1</v>
      </c>
      <c r="C47" s="312" t="s">
        <v>539</v>
      </c>
      <c r="D47" s="314"/>
      <c r="E47" s="426"/>
      <c r="F47" s="354"/>
      <c r="G47" s="354"/>
      <c r="H47" s="354"/>
      <c r="I47" s="354"/>
      <c r="J47" s="523"/>
      <c r="K47" s="523"/>
      <c r="L47" s="523"/>
      <c r="M47" s="523"/>
      <c r="N47" s="523"/>
      <c r="O47" s="265"/>
    </row>
    <row r="48" spans="2:15" s="718" customFormat="1" x14ac:dyDescent="0.35">
      <c r="B48" s="324" t="s">
        <v>106</v>
      </c>
      <c r="C48" s="258" t="s">
        <v>679</v>
      </c>
      <c r="D48" s="268" t="s">
        <v>107</v>
      </c>
      <c r="E48" s="1081">
        <v>3994</v>
      </c>
      <c r="F48" s="384">
        <f>G48</f>
        <v>3998.0362396536643</v>
      </c>
      <c r="G48" s="384">
        <v>3998.0362396536643</v>
      </c>
      <c r="H48" s="384">
        <f>G48-F48</f>
        <v>0</v>
      </c>
      <c r="I48" s="384">
        <f>J48</f>
        <v>3794.9586579097245</v>
      </c>
      <c r="J48" s="474">
        <v>3794.9586579097245</v>
      </c>
      <c r="K48" s="474">
        <f>Assumptions!I67</f>
        <v>0</v>
      </c>
      <c r="L48" s="474">
        <f>Assumptions!J67</f>
        <v>0</v>
      </c>
      <c r="M48" s="474">
        <f>Assumptions!K67</f>
        <v>0</v>
      </c>
      <c r="N48" s="474">
        <f>Assumptions!L67</f>
        <v>0</v>
      </c>
      <c r="O48" s="265"/>
    </row>
    <row r="49" spans="2:15" s="718" customFormat="1" x14ac:dyDescent="0.35">
      <c r="B49" s="324" t="s">
        <v>108</v>
      </c>
      <c r="C49" s="258" t="s">
        <v>680</v>
      </c>
      <c r="D49" s="268" t="s">
        <v>107</v>
      </c>
      <c r="E49" s="422"/>
      <c r="F49" s="384">
        <f t="shared" ref="F49:F56" si="28">G49</f>
        <v>4676.7151261181398</v>
      </c>
      <c r="G49" s="384">
        <v>4676.7151261181398</v>
      </c>
      <c r="H49" s="384">
        <f t="shared" ref="H49:H56" si="29">G49-F49</f>
        <v>0</v>
      </c>
      <c r="I49" s="384">
        <f t="shared" ref="I49:I50" si="30">J49</f>
        <v>4682.4400924482306</v>
      </c>
      <c r="J49" s="474">
        <v>4682.4400924482306</v>
      </c>
      <c r="K49" s="474"/>
      <c r="L49" s="474"/>
      <c r="M49" s="474"/>
      <c r="N49" s="474"/>
      <c r="O49" s="265"/>
    </row>
    <row r="50" spans="2:15" s="718" customFormat="1" x14ac:dyDescent="0.35">
      <c r="B50" s="324" t="s">
        <v>110</v>
      </c>
      <c r="C50" s="258" t="s">
        <v>767</v>
      </c>
      <c r="D50" s="268" t="s">
        <v>107</v>
      </c>
      <c r="E50" s="422"/>
      <c r="F50" s="384">
        <f t="shared" si="28"/>
        <v>0</v>
      </c>
      <c r="G50" s="384"/>
      <c r="H50" s="384">
        <f t="shared" si="29"/>
        <v>0</v>
      </c>
      <c r="I50" s="384">
        <f t="shared" si="30"/>
        <v>4174</v>
      </c>
      <c r="J50" s="474">
        <v>4174</v>
      </c>
      <c r="K50" s="474"/>
      <c r="L50" s="474"/>
      <c r="M50" s="474"/>
      <c r="N50" s="474"/>
      <c r="O50" s="265"/>
    </row>
    <row r="51" spans="2:15" s="718" customFormat="1" x14ac:dyDescent="0.35">
      <c r="B51" s="324" t="s">
        <v>678</v>
      </c>
      <c r="C51" s="258" t="s">
        <v>1129</v>
      </c>
      <c r="D51" s="268" t="s">
        <v>107</v>
      </c>
      <c r="E51" s="427"/>
      <c r="F51" s="384"/>
      <c r="G51" s="384"/>
      <c r="H51" s="384"/>
      <c r="I51" s="384"/>
      <c r="J51" s="474"/>
      <c r="K51" s="474"/>
      <c r="L51" s="474"/>
      <c r="M51" s="474"/>
      <c r="N51" s="474"/>
      <c r="O51" s="265"/>
    </row>
    <row r="52" spans="2:15" s="718" customFormat="1" x14ac:dyDescent="0.35">
      <c r="B52" s="324" t="s">
        <v>770</v>
      </c>
      <c r="C52" s="258" t="s">
        <v>1130</v>
      </c>
      <c r="D52" s="268" t="s">
        <v>107</v>
      </c>
      <c r="E52" s="427"/>
      <c r="F52" s="384"/>
      <c r="G52" s="384"/>
      <c r="H52" s="384"/>
      <c r="I52" s="384"/>
      <c r="J52" s="474"/>
      <c r="K52" s="474"/>
      <c r="L52" s="474"/>
      <c r="M52" s="474"/>
      <c r="N52" s="474"/>
      <c r="O52" s="265"/>
    </row>
    <row r="53" spans="2:15" s="718" customFormat="1" x14ac:dyDescent="0.35">
      <c r="B53" s="324" t="s">
        <v>771</v>
      </c>
      <c r="C53" s="258" t="s">
        <v>681</v>
      </c>
      <c r="D53" s="268" t="s">
        <v>107</v>
      </c>
      <c r="E53" s="1081">
        <v>10</v>
      </c>
      <c r="F53" s="384">
        <f>G53</f>
        <v>10564</v>
      </c>
      <c r="G53" s="384">
        <v>10564</v>
      </c>
      <c r="H53" s="384">
        <f t="shared" si="29"/>
        <v>0</v>
      </c>
      <c r="I53" s="384">
        <f>J53</f>
        <v>0</v>
      </c>
      <c r="J53" s="474"/>
      <c r="K53" s="474"/>
      <c r="L53" s="474"/>
      <c r="M53" s="474"/>
      <c r="N53" s="474"/>
      <c r="O53" s="265"/>
    </row>
    <row r="54" spans="2:15" s="718" customFormat="1" x14ac:dyDescent="0.35">
      <c r="B54" s="324" t="s">
        <v>772</v>
      </c>
      <c r="C54" s="258" t="s">
        <v>682</v>
      </c>
      <c r="D54" s="268" t="s">
        <v>107</v>
      </c>
      <c r="E54" s="422"/>
      <c r="F54" s="384">
        <f>G54</f>
        <v>11267</v>
      </c>
      <c r="G54" s="384">
        <v>11267</v>
      </c>
      <c r="H54" s="384">
        <f t="shared" si="29"/>
        <v>0</v>
      </c>
      <c r="I54" s="384">
        <f>J54</f>
        <v>0</v>
      </c>
      <c r="J54" s="474"/>
      <c r="K54" s="474"/>
      <c r="L54" s="474"/>
      <c r="M54" s="474"/>
      <c r="N54" s="474"/>
      <c r="O54" s="265"/>
    </row>
    <row r="55" spans="2:15" s="718" customFormat="1" x14ac:dyDescent="0.35">
      <c r="B55" s="324" t="s">
        <v>984</v>
      </c>
      <c r="C55" s="258" t="s">
        <v>768</v>
      </c>
      <c r="D55" s="268" t="s">
        <v>107</v>
      </c>
      <c r="E55" s="424"/>
      <c r="F55" s="384">
        <f t="shared" si="28"/>
        <v>0</v>
      </c>
      <c r="G55" s="384"/>
      <c r="H55" s="384">
        <f t="shared" si="29"/>
        <v>0</v>
      </c>
      <c r="I55" s="384"/>
      <c r="J55" s="474"/>
      <c r="K55" s="474"/>
      <c r="L55" s="474"/>
      <c r="M55" s="474"/>
      <c r="N55" s="474"/>
      <c r="O55" s="265"/>
    </row>
    <row r="56" spans="2:15" s="718" customFormat="1" x14ac:dyDescent="0.35">
      <c r="B56" s="324" t="s">
        <v>1131</v>
      </c>
      <c r="C56" s="258" t="s">
        <v>769</v>
      </c>
      <c r="D56" s="268" t="s">
        <v>107</v>
      </c>
      <c r="E56" s="424"/>
      <c r="F56" s="384">
        <f t="shared" si="28"/>
        <v>0</v>
      </c>
      <c r="G56" s="384"/>
      <c r="H56" s="384">
        <f t="shared" si="29"/>
        <v>0</v>
      </c>
      <c r="I56" s="384"/>
      <c r="J56" s="474"/>
      <c r="K56" s="474"/>
      <c r="L56" s="474"/>
      <c r="M56" s="474"/>
      <c r="N56" s="474"/>
      <c r="O56" s="265"/>
    </row>
    <row r="57" spans="2:15" s="718" customFormat="1" x14ac:dyDescent="0.3">
      <c r="B57" s="313">
        <v>2.2000000000000002</v>
      </c>
      <c r="C57" s="312" t="s">
        <v>322</v>
      </c>
      <c r="D57" s="314"/>
      <c r="E57" s="424"/>
      <c r="F57" s="384"/>
      <c r="G57" s="384"/>
      <c r="H57" s="384"/>
      <c r="I57" s="384"/>
      <c r="J57" s="381"/>
      <c r="K57" s="381"/>
      <c r="L57" s="381"/>
      <c r="M57" s="381"/>
      <c r="N57" s="381"/>
      <c r="O57" s="265"/>
    </row>
    <row r="58" spans="2:15" s="718" customFormat="1" x14ac:dyDescent="0.35">
      <c r="B58" s="324" t="s">
        <v>113</v>
      </c>
      <c r="C58" s="258" t="s">
        <v>679</v>
      </c>
      <c r="D58" s="268" t="s">
        <v>107</v>
      </c>
      <c r="E58" s="1081">
        <v>3369</v>
      </c>
      <c r="F58" s="474">
        <f>MAX(G58,F48-650)</f>
        <v>3410.0787869271662</v>
      </c>
      <c r="G58" s="384">
        <v>3410.0787869271662</v>
      </c>
      <c r="H58" s="384">
        <f>G58-F58</f>
        <v>0</v>
      </c>
      <c r="I58" s="474">
        <f>MAX(J58,I48-750)</f>
        <v>3204.1328385407064</v>
      </c>
      <c r="J58" s="512">
        <v>3204.1328385407064</v>
      </c>
      <c r="K58" s="474">
        <f>Assumptions!I69</f>
        <v>3204.1370133046266</v>
      </c>
      <c r="L58" s="474">
        <f>Assumptions!J69</f>
        <v>3204.1370133046266</v>
      </c>
      <c r="M58" s="474">
        <f>Assumptions!K69</f>
        <v>3204.1370133046266</v>
      </c>
      <c r="N58" s="474">
        <f>Assumptions!L69</f>
        <v>3204.1370133046266</v>
      </c>
      <c r="O58" s="265"/>
    </row>
    <row r="59" spans="2:15" s="718" customFormat="1" x14ac:dyDescent="0.35">
      <c r="B59" s="324" t="s">
        <v>115</v>
      </c>
      <c r="C59" s="258" t="s">
        <v>680</v>
      </c>
      <c r="D59" s="268" t="s">
        <v>107</v>
      </c>
      <c r="E59" s="422"/>
      <c r="F59" s="384">
        <f t="shared" ref="F59:F66" si="31">G59</f>
        <v>4676.7151261181398</v>
      </c>
      <c r="G59" s="384">
        <v>4676.7151261181398</v>
      </c>
      <c r="H59" s="384">
        <f>G59-F59</f>
        <v>0</v>
      </c>
      <c r="I59" s="384">
        <f t="shared" ref="I59" si="32">J59</f>
        <v>4682.4400924482306</v>
      </c>
      <c r="J59" s="1007">
        <v>4682.4400924482306</v>
      </c>
      <c r="K59" s="474">
        <f>Assumptions!I72</f>
        <v>0</v>
      </c>
      <c r="L59" s="474">
        <f>Assumptions!J72</f>
        <v>0</v>
      </c>
      <c r="M59" s="474">
        <f>Assumptions!K72</f>
        <v>0</v>
      </c>
      <c r="N59" s="474">
        <f>Assumptions!L72</f>
        <v>0</v>
      </c>
      <c r="O59" s="265"/>
    </row>
    <row r="60" spans="2:15" s="718" customFormat="1" x14ac:dyDescent="0.35">
      <c r="B60" s="324" t="s">
        <v>116</v>
      </c>
      <c r="C60" s="258" t="s">
        <v>767</v>
      </c>
      <c r="D60" s="268" t="s">
        <v>107</v>
      </c>
      <c r="E60" s="422"/>
      <c r="F60" s="474">
        <f>IF(F50=0,0,MAX(G60,F50-300))</f>
        <v>0</v>
      </c>
      <c r="G60" s="384"/>
      <c r="H60" s="384">
        <f t="shared" ref="H60:H68" si="33">G60-F60</f>
        <v>0</v>
      </c>
      <c r="I60" s="474">
        <f>IF(I50=0,0,MAX(J60,I50-300))</f>
        <v>3874</v>
      </c>
      <c r="J60" s="512">
        <v>0</v>
      </c>
      <c r="K60" s="474">
        <f t="shared" ref="K60:N60" si="34">IF(K50=0,0,K50-300)</f>
        <v>0</v>
      </c>
      <c r="L60" s="474">
        <f t="shared" si="34"/>
        <v>0</v>
      </c>
      <c r="M60" s="474">
        <f t="shared" si="34"/>
        <v>0</v>
      </c>
      <c r="N60" s="474">
        <f t="shared" si="34"/>
        <v>0</v>
      </c>
      <c r="O60" s="265"/>
    </row>
    <row r="61" spans="2:15" s="718" customFormat="1" x14ac:dyDescent="0.35">
      <c r="B61" s="324" t="s">
        <v>683</v>
      </c>
      <c r="C61" s="258" t="s">
        <v>1129</v>
      </c>
      <c r="D61" s="268" t="s">
        <v>107</v>
      </c>
      <c r="E61" s="427"/>
      <c r="F61" s="474"/>
      <c r="G61" s="384"/>
      <c r="H61" s="384"/>
      <c r="I61" s="384"/>
      <c r="J61" s="384">
        <f t="shared" ref="J61:J66" si="35">J51</f>
        <v>0</v>
      </c>
      <c r="K61" s="384">
        <f>K51</f>
        <v>0</v>
      </c>
      <c r="L61" s="384">
        <f t="shared" ref="K61:N62" si="36">L51</f>
        <v>0</v>
      </c>
      <c r="M61" s="384">
        <f t="shared" si="36"/>
        <v>0</v>
      </c>
      <c r="N61" s="384">
        <f t="shared" si="36"/>
        <v>0</v>
      </c>
      <c r="O61" s="265"/>
    </row>
    <row r="62" spans="2:15" s="718" customFormat="1" x14ac:dyDescent="0.35">
      <c r="B62" s="324" t="s">
        <v>773</v>
      </c>
      <c r="C62" s="258" t="s">
        <v>1130</v>
      </c>
      <c r="D62" s="268" t="s">
        <v>107</v>
      </c>
      <c r="E62" s="427"/>
      <c r="F62" s="474"/>
      <c r="G62" s="384"/>
      <c r="H62" s="384"/>
      <c r="I62" s="384"/>
      <c r="J62" s="384">
        <f t="shared" si="35"/>
        <v>0</v>
      </c>
      <c r="K62" s="384">
        <f t="shared" si="36"/>
        <v>0</v>
      </c>
      <c r="L62" s="384">
        <f t="shared" si="36"/>
        <v>0</v>
      </c>
      <c r="M62" s="384">
        <f t="shared" si="36"/>
        <v>0</v>
      </c>
      <c r="N62" s="384">
        <f t="shared" si="36"/>
        <v>0</v>
      </c>
      <c r="O62" s="265"/>
    </row>
    <row r="63" spans="2:15" s="718" customFormat="1" x14ac:dyDescent="0.35">
      <c r="B63" s="324" t="s">
        <v>774</v>
      </c>
      <c r="C63" s="258" t="s">
        <v>681</v>
      </c>
      <c r="D63" s="268" t="s">
        <v>107</v>
      </c>
      <c r="E63" s="424">
        <f>E53</f>
        <v>10</v>
      </c>
      <c r="F63" s="384">
        <f t="shared" si="31"/>
        <v>10564</v>
      </c>
      <c r="G63" s="384">
        <v>10564</v>
      </c>
      <c r="H63" s="384">
        <f t="shared" si="33"/>
        <v>0</v>
      </c>
      <c r="I63" s="384">
        <f t="shared" ref="I63:I66" si="37">J63</f>
        <v>10551.979046272812</v>
      </c>
      <c r="J63" s="384">
        <v>10551.979046272812</v>
      </c>
      <c r="K63" s="384">
        <f>Assumptions!I58</f>
        <v>10000</v>
      </c>
      <c r="L63" s="384">
        <f>Assumptions!J58</f>
        <v>10000</v>
      </c>
      <c r="M63" s="384">
        <f>Assumptions!K58</f>
        <v>10000</v>
      </c>
      <c r="N63" s="384">
        <f>Assumptions!L58</f>
        <v>10000</v>
      </c>
      <c r="O63" s="265"/>
    </row>
    <row r="64" spans="2:15" s="718" customFormat="1" x14ac:dyDescent="0.35">
      <c r="B64" s="324" t="s">
        <v>775</v>
      </c>
      <c r="C64" s="258" t="s">
        <v>682</v>
      </c>
      <c r="D64" s="268" t="s">
        <v>107</v>
      </c>
      <c r="E64" s="424">
        <f>E54</f>
        <v>0</v>
      </c>
      <c r="F64" s="384">
        <f t="shared" si="31"/>
        <v>11267</v>
      </c>
      <c r="G64" s="384">
        <v>11267</v>
      </c>
      <c r="H64" s="384">
        <f t="shared" si="33"/>
        <v>0</v>
      </c>
      <c r="I64" s="384">
        <f t="shared" si="37"/>
        <v>11171.167322336327</v>
      </c>
      <c r="J64" s="384">
        <v>11171.167322336327</v>
      </c>
      <c r="K64" s="384">
        <f t="shared" ref="K64:N66" si="38">K54</f>
        <v>0</v>
      </c>
      <c r="L64" s="384">
        <f t="shared" si="38"/>
        <v>0</v>
      </c>
      <c r="M64" s="384">
        <f t="shared" si="38"/>
        <v>0</v>
      </c>
      <c r="N64" s="384">
        <f t="shared" si="38"/>
        <v>0</v>
      </c>
      <c r="O64" s="265"/>
    </row>
    <row r="65" spans="2:15" s="718" customFormat="1" x14ac:dyDescent="0.35">
      <c r="B65" s="324" t="s">
        <v>985</v>
      </c>
      <c r="C65" s="258" t="s">
        <v>768</v>
      </c>
      <c r="D65" s="268" t="s">
        <v>107</v>
      </c>
      <c r="E65" s="424"/>
      <c r="F65" s="384">
        <f t="shared" si="31"/>
        <v>0</v>
      </c>
      <c r="G65" s="384"/>
      <c r="H65" s="384">
        <f t="shared" si="33"/>
        <v>0</v>
      </c>
      <c r="I65" s="384">
        <f t="shared" si="37"/>
        <v>0</v>
      </c>
      <c r="J65" s="384">
        <f t="shared" si="35"/>
        <v>0</v>
      </c>
      <c r="K65" s="384">
        <f t="shared" si="38"/>
        <v>0</v>
      </c>
      <c r="L65" s="384">
        <f t="shared" si="38"/>
        <v>0</v>
      </c>
      <c r="M65" s="384">
        <f t="shared" si="38"/>
        <v>0</v>
      </c>
      <c r="N65" s="384">
        <f t="shared" si="38"/>
        <v>0</v>
      </c>
      <c r="O65" s="265"/>
    </row>
    <row r="66" spans="2:15" s="718" customFormat="1" x14ac:dyDescent="0.35">
      <c r="B66" s="324" t="s">
        <v>986</v>
      </c>
      <c r="C66" s="258" t="s">
        <v>769</v>
      </c>
      <c r="D66" s="268" t="s">
        <v>107</v>
      </c>
      <c r="E66" s="424"/>
      <c r="F66" s="384">
        <f t="shared" si="31"/>
        <v>0</v>
      </c>
      <c r="G66" s="384"/>
      <c r="H66" s="384">
        <f t="shared" si="33"/>
        <v>0</v>
      </c>
      <c r="I66" s="384">
        <f t="shared" si="37"/>
        <v>0</v>
      </c>
      <c r="J66" s="384">
        <f t="shared" si="35"/>
        <v>0</v>
      </c>
      <c r="K66" s="384">
        <f t="shared" si="38"/>
        <v>0</v>
      </c>
      <c r="L66" s="384">
        <f t="shared" si="38"/>
        <v>0</v>
      </c>
      <c r="M66" s="384">
        <f t="shared" si="38"/>
        <v>0</v>
      </c>
      <c r="N66" s="384">
        <f t="shared" si="38"/>
        <v>0</v>
      </c>
      <c r="O66" s="265"/>
    </row>
    <row r="67" spans="2:15" s="718" customFormat="1" x14ac:dyDescent="0.35">
      <c r="B67" s="324"/>
      <c r="C67" s="258"/>
      <c r="D67" s="268"/>
      <c r="E67" s="424"/>
      <c r="F67" s="384"/>
      <c r="G67" s="384"/>
      <c r="H67" s="384"/>
      <c r="I67" s="384"/>
      <c r="J67" s="381"/>
      <c r="K67" s="381"/>
      <c r="L67" s="381"/>
      <c r="M67" s="381"/>
      <c r="N67" s="381"/>
      <c r="O67" s="265"/>
    </row>
    <row r="68" spans="2:15" s="718" customFormat="1" x14ac:dyDescent="0.3">
      <c r="B68" s="313">
        <v>2.2999999999999998</v>
      </c>
      <c r="C68" s="312" t="s">
        <v>2832</v>
      </c>
      <c r="D68" s="268" t="s">
        <v>107</v>
      </c>
      <c r="E68" s="424"/>
      <c r="F68" s="512">
        <f>MAX(SUMPRODUCT(F58:F60,G94:G96)/SUM(G94:G96)-MIN(120,SUMPRODUCT(G58:G60,G94:G96)/SUM(G94:G96)-G68),G68)</f>
        <v>3356.8733267038933</v>
      </c>
      <c r="G68" s="384">
        <v>3081.0256028352887</v>
      </c>
      <c r="H68" s="384">
        <f t="shared" si="33"/>
        <v>-275.84772386860459</v>
      </c>
      <c r="I68" s="512">
        <f>MAX(SUMPRODUCT(I58:I60,J94:J96)/SUM(J94:J96)-MIN(120,SUMPRODUCT(J58:J60,J94:J96)/SUM(J94:J96)-J68),J68)</f>
        <v>3142.6641633561153</v>
      </c>
      <c r="J68" s="1010">
        <v>3041.1050296160788</v>
      </c>
      <c r="K68" s="1010">
        <f>K58-85</f>
        <v>3119.1370133046266</v>
      </c>
      <c r="L68" s="1010">
        <f t="shared" ref="L68:N68" si="39">L58-85</f>
        <v>3119.1370133046266</v>
      </c>
      <c r="M68" s="1010">
        <f t="shared" si="39"/>
        <v>3119.1370133046266</v>
      </c>
      <c r="N68" s="1010">
        <f t="shared" si="39"/>
        <v>3119.1370133046266</v>
      </c>
      <c r="O68" s="265"/>
    </row>
    <row r="69" spans="2:15" s="718" customFormat="1" x14ac:dyDescent="0.3">
      <c r="B69" s="313"/>
      <c r="C69" s="312" t="s">
        <v>1128</v>
      </c>
      <c r="D69" s="268"/>
      <c r="E69" s="424"/>
      <c r="F69" s="384"/>
      <c r="G69" s="384">
        <v>3900</v>
      </c>
      <c r="H69" s="384"/>
      <c r="I69" s="384"/>
      <c r="J69" s="1010">
        <v>4101.6062446589467</v>
      </c>
      <c r="K69" s="1010">
        <f>K59</f>
        <v>0</v>
      </c>
      <c r="L69" s="1010">
        <f t="shared" ref="L69:N69" si="40">L59</f>
        <v>0</v>
      </c>
      <c r="M69" s="1010">
        <f t="shared" si="40"/>
        <v>0</v>
      </c>
      <c r="N69" s="1010">
        <f t="shared" si="40"/>
        <v>0</v>
      </c>
      <c r="O69" s="265"/>
    </row>
    <row r="70" spans="2:15" s="718" customFormat="1" x14ac:dyDescent="0.3">
      <c r="B70" s="313">
        <v>2.4</v>
      </c>
      <c r="C70" s="335" t="s">
        <v>1197</v>
      </c>
      <c r="D70" s="268" t="s">
        <v>107</v>
      </c>
      <c r="E70" s="424"/>
      <c r="F70" s="513">
        <v>85</v>
      </c>
      <c r="G70" s="1347">
        <f>SUMPRODUCT(G58:G59,G94:G95)/SUM(G94:G95)-SUMPRODUCT(G68:G69,G94:G95)/SUM(G94:G95)</f>
        <v>352.6600967218269</v>
      </c>
      <c r="H70" s="384">
        <f t="shared" ref="H70" si="41">G70-F70</f>
        <v>267.6600967218269</v>
      </c>
      <c r="I70" s="513">
        <v>85</v>
      </c>
      <c r="J70" s="1347">
        <f>SUMPRODUCT(J58:J60,J94:J96)/SUM(J94:J96)-(J68*J94+J68*J96+J69*J95)/SUM(J94:J96)</f>
        <v>179.57020287283194</v>
      </c>
      <c r="K70" s="475"/>
      <c r="L70" s="475"/>
      <c r="M70" s="475"/>
      <c r="N70" s="475"/>
      <c r="O70" s="265"/>
    </row>
    <row r="71" spans="2:15" s="718" customFormat="1" x14ac:dyDescent="0.35">
      <c r="B71" s="324"/>
      <c r="C71" s="258"/>
      <c r="D71" s="268"/>
      <c r="E71" s="421"/>
      <c r="F71" s="381"/>
      <c r="G71" s="381"/>
      <c r="H71" s="381"/>
      <c r="I71" s="381"/>
      <c r="J71" s="381"/>
      <c r="K71" s="381"/>
      <c r="L71" s="381"/>
      <c r="M71" s="381"/>
      <c r="N71" s="381"/>
      <c r="O71" s="265"/>
    </row>
    <row r="72" spans="2:15" s="718" customFormat="1" x14ac:dyDescent="0.3">
      <c r="B72" s="313">
        <v>2.5</v>
      </c>
      <c r="C72" s="312" t="s">
        <v>112</v>
      </c>
      <c r="D72" s="314"/>
      <c r="E72" s="424"/>
      <c r="F72" s="384"/>
      <c r="G72" s="384"/>
      <c r="H72" s="384"/>
      <c r="I72" s="384"/>
      <c r="J72" s="381"/>
      <c r="K72" s="381"/>
      <c r="L72" s="381"/>
      <c r="M72" s="381"/>
      <c r="N72" s="381"/>
      <c r="O72" s="265"/>
    </row>
    <row r="73" spans="2:15" s="718" customFormat="1" x14ac:dyDescent="0.35">
      <c r="B73" s="324" t="s">
        <v>397</v>
      </c>
      <c r="C73" s="258" t="s">
        <v>679</v>
      </c>
      <c r="D73" s="268" t="s">
        <v>114</v>
      </c>
      <c r="E73" s="1081">
        <v>4706</v>
      </c>
      <c r="F73" s="381">
        <f>F2.3!$E$26</f>
        <v>4644.2030344869409</v>
      </c>
      <c r="G73" s="381">
        <f>F2.3!$F$26</f>
        <v>4781.8479380125682</v>
      </c>
      <c r="H73" s="381">
        <f t="shared" ref="H73:H81" si="42">G73-F73</f>
        <v>137.64490352562734</v>
      </c>
      <c r="I73" s="1008">
        <f>F2.3!$H$26</f>
        <v>4573.1512565573594</v>
      </c>
      <c r="J73" s="1008">
        <f>F2.3!I26</f>
        <v>4642.3574414945215</v>
      </c>
      <c r="K73" s="381">
        <f>F2.3!J26</f>
        <v>4710.3457942540808</v>
      </c>
      <c r="L73" s="381">
        <f>F2.3!K26</f>
        <v>4851.656168081704</v>
      </c>
      <c r="M73" s="381">
        <f>F2.3!L26</f>
        <v>4997.2058531241546</v>
      </c>
      <c r="N73" s="381">
        <f>F2.3!M26</f>
        <v>5147.1220287178785</v>
      </c>
      <c r="O73" s="353"/>
    </row>
    <row r="74" spans="2:15" s="718" customFormat="1" x14ac:dyDescent="0.35">
      <c r="B74" s="324" t="s">
        <v>400</v>
      </c>
      <c r="C74" s="258" t="s">
        <v>680</v>
      </c>
      <c r="D74" s="268" t="s">
        <v>114</v>
      </c>
      <c r="E74" s="422"/>
      <c r="F74" s="381">
        <f>F2.3!$E$40</f>
        <v>11023.885452350458</v>
      </c>
      <c r="G74" s="381">
        <f>F2.3!$F$40</f>
        <v>11023.885452350458</v>
      </c>
      <c r="H74" s="381">
        <f>G74-F74</f>
        <v>0</v>
      </c>
      <c r="I74" s="1008">
        <f>F2.3!$H$40</f>
        <v>11213.958911551586</v>
      </c>
      <c r="J74" s="1008">
        <v>11213.958911551586</v>
      </c>
      <c r="K74" s="381">
        <f>F2.3!J40</f>
        <v>0</v>
      </c>
      <c r="L74" s="381">
        <f>F2.3!K40</f>
        <v>0</v>
      </c>
      <c r="M74" s="381">
        <f>F2.3!L40</f>
        <v>0</v>
      </c>
      <c r="N74" s="381">
        <f>F2.3!M40</f>
        <v>0</v>
      </c>
      <c r="O74" s="353"/>
    </row>
    <row r="75" spans="2:15" s="718" customFormat="1" x14ac:dyDescent="0.35">
      <c r="B75" s="324" t="s">
        <v>401</v>
      </c>
      <c r="C75" s="258" t="s">
        <v>767</v>
      </c>
      <c r="D75" s="268" t="s">
        <v>114</v>
      </c>
      <c r="E75" s="422"/>
      <c r="F75" s="381">
        <f>F2.3!$E$54</f>
        <v>0</v>
      </c>
      <c r="G75" s="381">
        <f>F2.3!$F$54</f>
        <v>0</v>
      </c>
      <c r="H75" s="381">
        <f t="shared" si="42"/>
        <v>0</v>
      </c>
      <c r="I75" s="381">
        <f>F2.3!$H$54</f>
        <v>0</v>
      </c>
      <c r="J75" s="381">
        <f>F2.3!I54</f>
        <v>0</v>
      </c>
      <c r="K75" s="381">
        <f>F2.3!J54</f>
        <v>0</v>
      </c>
      <c r="L75" s="381">
        <f>F2.3!K54</f>
        <v>0</v>
      </c>
      <c r="M75" s="381">
        <f>F2.3!L54</f>
        <v>0</v>
      </c>
      <c r="N75" s="381">
        <f>F2.3!M54</f>
        <v>0</v>
      </c>
      <c r="O75" s="353"/>
    </row>
    <row r="76" spans="2:15" s="718" customFormat="1" x14ac:dyDescent="0.35">
      <c r="B76" s="324" t="s">
        <v>684</v>
      </c>
      <c r="C76" s="258" t="s">
        <v>1129</v>
      </c>
      <c r="D76" s="268" t="s">
        <v>114</v>
      </c>
      <c r="E76" s="421"/>
      <c r="F76" s="381"/>
      <c r="G76" s="381"/>
      <c r="H76" s="381"/>
      <c r="I76" s="381"/>
      <c r="J76" s="511">
        <f>F2.3!I68</f>
        <v>0</v>
      </c>
      <c r="K76" s="511">
        <f>F2.3!J68</f>
        <v>0</v>
      </c>
      <c r="L76" s="511">
        <f>F2.3!K68</f>
        <v>0</v>
      </c>
      <c r="M76" s="511">
        <f>F2.3!L68</f>
        <v>0</v>
      </c>
      <c r="N76" s="511">
        <f>F2.3!M68</f>
        <v>0</v>
      </c>
      <c r="O76" s="353"/>
    </row>
    <row r="77" spans="2:15" s="718" customFormat="1" x14ac:dyDescent="0.35">
      <c r="B77" s="324" t="s">
        <v>776</v>
      </c>
      <c r="C77" s="258" t="s">
        <v>1130</v>
      </c>
      <c r="D77" s="268" t="s">
        <v>114</v>
      </c>
      <c r="E77" s="421"/>
      <c r="F77" s="381"/>
      <c r="G77" s="381"/>
      <c r="H77" s="381"/>
      <c r="I77" s="381"/>
      <c r="J77" s="511">
        <f>F2.3!I82</f>
        <v>0</v>
      </c>
      <c r="K77" s="511">
        <f>F2.3!J82</f>
        <v>0</v>
      </c>
      <c r="L77" s="511">
        <f>F2.3!K82</f>
        <v>0</v>
      </c>
      <c r="M77" s="511">
        <f>F2.3!L82</f>
        <v>0</v>
      </c>
      <c r="N77" s="511">
        <f>F2.3!M82</f>
        <v>0</v>
      </c>
      <c r="O77" s="353"/>
    </row>
    <row r="78" spans="2:15" s="718" customFormat="1" x14ac:dyDescent="0.35">
      <c r="B78" s="324" t="s">
        <v>777</v>
      </c>
      <c r="C78" s="258" t="s">
        <v>681</v>
      </c>
      <c r="D78" s="268" t="s">
        <v>114</v>
      </c>
      <c r="E78" s="1081">
        <v>53283</v>
      </c>
      <c r="F78" s="381">
        <f>F2.3!$E$112</f>
        <v>56117.97963081854</v>
      </c>
      <c r="G78" s="381">
        <f>F2.3!$F$112</f>
        <v>56117.97963081854</v>
      </c>
      <c r="H78" s="381">
        <f t="shared" si="42"/>
        <v>0</v>
      </c>
      <c r="I78" s="381">
        <f>J78</f>
        <v>56798.979121009055</v>
      </c>
      <c r="J78" s="1008">
        <v>56798.979121009055</v>
      </c>
      <c r="K78" s="381">
        <f>F2.3!J112</f>
        <v>61800</v>
      </c>
      <c r="L78" s="381">
        <f>F2.3!K112</f>
        <v>63654</v>
      </c>
      <c r="M78" s="381">
        <f>F2.3!L112</f>
        <v>65563.62</v>
      </c>
      <c r="N78" s="381">
        <f>F2.3!M112</f>
        <v>67530.528599999991</v>
      </c>
      <c r="O78" s="353"/>
    </row>
    <row r="79" spans="2:15" s="718" customFormat="1" x14ac:dyDescent="0.35">
      <c r="B79" s="324" t="s">
        <v>778</v>
      </c>
      <c r="C79" s="258" t="s">
        <v>682</v>
      </c>
      <c r="D79" s="268" t="s">
        <v>114</v>
      </c>
      <c r="E79" s="422"/>
      <c r="F79" s="381">
        <f>F2.3!$E$97</f>
        <v>69719.80902001886</v>
      </c>
      <c r="G79" s="381">
        <f>F2.3!$F$97</f>
        <v>69719.80902001886</v>
      </c>
      <c r="H79" s="384">
        <f t="shared" si="42"/>
        <v>0</v>
      </c>
      <c r="I79" s="384">
        <f>J79</f>
        <v>69993.81454881723</v>
      </c>
      <c r="J79" s="381">
        <v>69993.81454881723</v>
      </c>
      <c r="K79" s="381">
        <f>F2.3!J97</f>
        <v>0</v>
      </c>
      <c r="L79" s="381">
        <f>F2.3!K97</f>
        <v>0</v>
      </c>
      <c r="M79" s="381">
        <f>F2.3!L97</f>
        <v>0</v>
      </c>
      <c r="N79" s="381">
        <f>F2.3!M97</f>
        <v>0</v>
      </c>
      <c r="O79" s="353"/>
    </row>
    <row r="80" spans="2:15" s="718" customFormat="1" x14ac:dyDescent="0.35">
      <c r="B80" s="324" t="s">
        <v>1132</v>
      </c>
      <c r="C80" s="258" t="s">
        <v>768</v>
      </c>
      <c r="D80" s="268" t="s">
        <v>114</v>
      </c>
      <c r="E80" s="421"/>
      <c r="F80" s="381">
        <f>F2.3!$E$125</f>
        <v>0</v>
      </c>
      <c r="G80" s="381">
        <f>F2.3!$F$125</f>
        <v>0</v>
      </c>
      <c r="H80" s="384">
        <f t="shared" si="42"/>
        <v>0</v>
      </c>
      <c r="I80" s="384"/>
      <c r="J80" s="381">
        <f>F2.3!I125</f>
        <v>0</v>
      </c>
      <c r="K80" s="381">
        <f>F2.3!J125</f>
        <v>0</v>
      </c>
      <c r="L80" s="381">
        <f>F2.3!K125</f>
        <v>0</v>
      </c>
      <c r="M80" s="381">
        <f>F2.3!L125</f>
        <v>0</v>
      </c>
      <c r="N80" s="381">
        <f>F2.3!M125</f>
        <v>0</v>
      </c>
      <c r="O80" s="353"/>
    </row>
    <row r="81" spans="1:16" s="718" customFormat="1" x14ac:dyDescent="0.35">
      <c r="B81" s="324" t="s">
        <v>1133</v>
      </c>
      <c r="C81" s="258" t="s">
        <v>769</v>
      </c>
      <c r="D81" s="268" t="s">
        <v>114</v>
      </c>
      <c r="E81" s="421"/>
      <c r="F81" s="381">
        <f>F2.3!$E$138</f>
        <v>0</v>
      </c>
      <c r="G81" s="381">
        <f>F2.3!$F$138</f>
        <v>0</v>
      </c>
      <c r="H81" s="384">
        <f t="shared" si="42"/>
        <v>0</v>
      </c>
      <c r="I81" s="384"/>
      <c r="J81" s="381">
        <f>F2.3!I138</f>
        <v>0</v>
      </c>
      <c r="K81" s="381">
        <f>F2.3!J138</f>
        <v>0</v>
      </c>
      <c r="L81" s="381">
        <f>F2.3!K138</f>
        <v>0</v>
      </c>
      <c r="M81" s="381">
        <f>F2.3!L138</f>
        <v>0</v>
      </c>
      <c r="N81" s="381">
        <f>F2.3!M138</f>
        <v>0</v>
      </c>
      <c r="O81" s="353"/>
    </row>
    <row r="82" spans="1:16" s="718" customFormat="1" x14ac:dyDescent="0.3">
      <c r="B82" s="313">
        <v>3</v>
      </c>
      <c r="C82" s="335" t="s">
        <v>117</v>
      </c>
      <c r="D82" s="314"/>
      <c r="E82" s="424"/>
      <c r="F82" s="384"/>
      <c r="G82" s="384"/>
      <c r="H82" s="384"/>
      <c r="I82" s="384"/>
      <c r="J82" s="381"/>
      <c r="K82" s="381"/>
      <c r="L82" s="381"/>
      <c r="M82" s="381"/>
      <c r="N82" s="381"/>
      <c r="O82" s="353"/>
    </row>
    <row r="83" spans="1:16" s="718" customFormat="1" x14ac:dyDescent="0.3">
      <c r="B83" s="313">
        <v>3.1</v>
      </c>
      <c r="C83" s="312" t="s">
        <v>118</v>
      </c>
      <c r="D83" s="314"/>
      <c r="E83" s="424"/>
      <c r="F83" s="384"/>
      <c r="G83" s="384"/>
      <c r="H83" s="384"/>
      <c r="I83" s="384"/>
      <c r="J83" s="381"/>
      <c r="K83" s="381"/>
      <c r="L83" s="381"/>
      <c r="M83" s="381"/>
      <c r="N83" s="381"/>
      <c r="O83" s="353"/>
    </row>
    <row r="84" spans="1:16" s="718" customFormat="1" x14ac:dyDescent="0.35">
      <c r="B84" s="324" t="s">
        <v>119</v>
      </c>
      <c r="C84" s="258" t="s">
        <v>679</v>
      </c>
      <c r="D84" s="268" t="s">
        <v>807</v>
      </c>
      <c r="E84" s="428"/>
      <c r="F84" s="511">
        <f>F94/F$23/1000</f>
        <v>0.59390480042147453</v>
      </c>
      <c r="G84" s="511">
        <f t="shared" ref="F84:G87" si="43">G94/G$23/1000</f>
        <v>0.72315872799589931</v>
      </c>
      <c r="H84" s="381">
        <f>G84-F84</f>
        <v>0.12925392757442478</v>
      </c>
      <c r="I84" s="511">
        <f>I94/I$23/1000</f>
        <v>0.64333073727362045</v>
      </c>
      <c r="J84" s="381">
        <f t="shared" ref="J84:N84" si="44">J94/J$23/1000</f>
        <v>0.71403303499724025</v>
      </c>
      <c r="K84" s="381">
        <f t="shared" si="44"/>
        <v>0.68428702903906335</v>
      </c>
      <c r="L84" s="381">
        <f t="shared" si="44"/>
        <v>0.68428702903906335</v>
      </c>
      <c r="M84" s="381">
        <f t="shared" si="44"/>
        <v>0.68428702903906335</v>
      </c>
      <c r="N84" s="381">
        <f t="shared" si="44"/>
        <v>0.68428702903906335</v>
      </c>
      <c r="O84" s="353"/>
    </row>
    <row r="85" spans="1:16" s="718" customFormat="1" x14ac:dyDescent="0.35">
      <c r="B85" s="324" t="s">
        <v>120</v>
      </c>
      <c r="C85" s="258" t="s">
        <v>680</v>
      </c>
      <c r="D85" s="268" t="s">
        <v>807</v>
      </c>
      <c r="E85" s="428"/>
      <c r="F85" s="511">
        <f t="shared" si="43"/>
        <v>4.1850736928297529E-2</v>
      </c>
      <c r="G85" s="511">
        <f t="shared" si="43"/>
        <v>4.0257852698239671E-2</v>
      </c>
      <c r="H85" s="381">
        <f t="shared" ref="H85:H92" si="45">G85-F85</f>
        <v>-1.5928842300578575E-3</v>
      </c>
      <c r="I85" s="511">
        <f t="shared" ref="I85" si="46">I95/I$23/1000</f>
        <v>3.5770531502450686E-2</v>
      </c>
      <c r="J85" s="381">
        <f t="shared" ref="J85:N85" si="47">J95/J$23/1000</f>
        <v>2.9436546037993873E-2</v>
      </c>
      <c r="K85" s="381">
        <f t="shared" si="47"/>
        <v>0</v>
      </c>
      <c r="L85" s="381">
        <f t="shared" si="47"/>
        <v>0</v>
      </c>
      <c r="M85" s="381">
        <f t="shared" si="47"/>
        <v>0</v>
      </c>
      <c r="N85" s="381">
        <f t="shared" si="47"/>
        <v>0</v>
      </c>
      <c r="O85" s="353"/>
    </row>
    <row r="86" spans="1:16" s="718" customFormat="1" x14ac:dyDescent="0.35">
      <c r="B86" s="324" t="s">
        <v>121</v>
      </c>
      <c r="C86" s="258" t="s">
        <v>767</v>
      </c>
      <c r="D86" s="268" t="s">
        <v>807</v>
      </c>
      <c r="E86" s="428"/>
      <c r="F86" s="511">
        <f>F96/F$23/1000</f>
        <v>0</v>
      </c>
      <c r="G86" s="511">
        <f t="shared" si="43"/>
        <v>0</v>
      </c>
      <c r="H86" s="381">
        <f t="shared" si="45"/>
        <v>0</v>
      </c>
      <c r="I86" s="511">
        <f>I96/I$23/1000</f>
        <v>0</v>
      </c>
      <c r="J86" s="381">
        <f t="shared" ref="J86:N86" si="48">J96/J$23/1000</f>
        <v>0</v>
      </c>
      <c r="K86" s="381">
        <f t="shared" si="48"/>
        <v>0</v>
      </c>
      <c r="L86" s="381">
        <f t="shared" si="48"/>
        <v>0</v>
      </c>
      <c r="M86" s="381">
        <f t="shared" si="48"/>
        <v>0</v>
      </c>
      <c r="N86" s="381">
        <f t="shared" si="48"/>
        <v>0</v>
      </c>
      <c r="O86" s="353"/>
    </row>
    <row r="87" spans="1:16" s="718" customFormat="1" x14ac:dyDescent="0.35">
      <c r="B87" s="324" t="s">
        <v>685</v>
      </c>
      <c r="C87" s="258" t="s">
        <v>1129</v>
      </c>
      <c r="D87" s="268" t="s">
        <v>807</v>
      </c>
      <c r="E87" s="428"/>
      <c r="F87" s="511">
        <f>F97/F$23/1000</f>
        <v>0</v>
      </c>
      <c r="G87" s="511">
        <f t="shared" si="43"/>
        <v>0</v>
      </c>
      <c r="H87" s="381">
        <f t="shared" si="45"/>
        <v>0</v>
      </c>
      <c r="I87" s="511">
        <f>I97/I$23/1000</f>
        <v>0</v>
      </c>
      <c r="J87" s="381">
        <f>J97/J$23/1000</f>
        <v>0</v>
      </c>
      <c r="K87" s="381">
        <f t="shared" ref="K87:N87" si="49">K97/K$23/1000</f>
        <v>0</v>
      </c>
      <c r="L87" s="381">
        <f t="shared" si="49"/>
        <v>0</v>
      </c>
      <c r="M87" s="381">
        <f t="shared" si="49"/>
        <v>0</v>
      </c>
      <c r="N87" s="381">
        <f t="shared" si="49"/>
        <v>0</v>
      </c>
      <c r="O87" s="353"/>
    </row>
    <row r="88" spans="1:16" s="718" customFormat="1" x14ac:dyDescent="0.35">
      <c r="B88" s="324" t="s">
        <v>779</v>
      </c>
      <c r="C88" s="258" t="s">
        <v>1130</v>
      </c>
      <c r="D88" s="268" t="s">
        <v>807</v>
      </c>
      <c r="E88" s="428"/>
      <c r="F88" s="511"/>
      <c r="G88" s="511"/>
      <c r="H88" s="381"/>
      <c r="I88" s="381"/>
      <c r="J88" s="381">
        <f>J98/J$23/1000</f>
        <v>0</v>
      </c>
      <c r="K88" s="381">
        <f t="shared" ref="K88:N88" si="50">K98/K$23/1000</f>
        <v>0</v>
      </c>
      <c r="L88" s="381">
        <f t="shared" si="50"/>
        <v>0</v>
      </c>
      <c r="M88" s="381">
        <f t="shared" si="50"/>
        <v>0</v>
      </c>
      <c r="N88" s="381">
        <f t="shared" si="50"/>
        <v>0</v>
      </c>
      <c r="O88" s="353"/>
    </row>
    <row r="89" spans="1:16" s="718" customFormat="1" x14ac:dyDescent="0.35">
      <c r="B89" s="324" t="s">
        <v>780</v>
      </c>
      <c r="C89" s="258" t="s">
        <v>681</v>
      </c>
      <c r="D89" s="268" t="s">
        <v>807</v>
      </c>
      <c r="E89" s="421"/>
      <c r="F89" s="511">
        <f>F$41*G89/(G89+G90+G91+G92)</f>
        <v>0.38221495980723896</v>
      </c>
      <c r="G89" s="511">
        <f>G99/G$23</f>
        <v>2.4768977218902277</v>
      </c>
      <c r="H89" s="381">
        <f t="shared" si="45"/>
        <v>2.0946827620829889</v>
      </c>
      <c r="I89" s="511">
        <f>I$41*J89/(J89+J90+J91+J92)</f>
        <v>0.31101060019498777</v>
      </c>
      <c r="J89" s="381">
        <f>J99/J$23</f>
        <v>0.58012225667147843</v>
      </c>
      <c r="K89" s="381">
        <f t="shared" ref="K89:N89" si="51">K99/K$23</f>
        <v>0.5</v>
      </c>
      <c r="L89" s="381">
        <f t="shared" si="51"/>
        <v>0.5</v>
      </c>
      <c r="M89" s="381">
        <f t="shared" si="51"/>
        <v>0.5</v>
      </c>
      <c r="N89" s="381">
        <f t="shared" si="51"/>
        <v>0.5</v>
      </c>
      <c r="O89" s="353"/>
    </row>
    <row r="90" spans="1:16" s="718" customFormat="1" x14ac:dyDescent="0.35">
      <c r="B90" s="324" t="s">
        <v>781</v>
      </c>
      <c r="C90" s="258" t="s">
        <v>682</v>
      </c>
      <c r="D90" s="268" t="s">
        <v>807</v>
      </c>
      <c r="E90" s="421"/>
      <c r="F90" s="511">
        <f>F$41*G90/(G89+G90+G91+G92)</f>
        <v>0.11778504019276105</v>
      </c>
      <c r="G90" s="511">
        <f>G100/G$23</f>
        <v>0.7632916772104672</v>
      </c>
      <c r="H90" s="381">
        <f t="shared" si="45"/>
        <v>0.64550663701770616</v>
      </c>
      <c r="I90" s="511">
        <f>I$41*J90/(J89+J90+J91+J92)</f>
        <v>0.18898939980501228</v>
      </c>
      <c r="J90" s="381">
        <f t="shared" ref="J90:N92" si="52">J100/J$23</f>
        <v>0.35251839337030705</v>
      </c>
      <c r="K90" s="381">
        <f t="shared" si="52"/>
        <v>0</v>
      </c>
      <c r="L90" s="381">
        <f t="shared" si="52"/>
        <v>0</v>
      </c>
      <c r="M90" s="381">
        <f t="shared" si="52"/>
        <v>0</v>
      </c>
      <c r="N90" s="381">
        <f t="shared" si="52"/>
        <v>0</v>
      </c>
      <c r="O90" s="353"/>
      <c r="P90" s="1319">
        <f>3/5</f>
        <v>0.6</v>
      </c>
    </row>
    <row r="91" spans="1:16" s="718" customFormat="1" x14ac:dyDescent="0.35">
      <c r="B91" s="324" t="s">
        <v>1134</v>
      </c>
      <c r="C91" s="258" t="s">
        <v>768</v>
      </c>
      <c r="D91" s="268" t="s">
        <v>807</v>
      </c>
      <c r="E91" s="421"/>
      <c r="F91" s="511">
        <f>F$41*G91/(G91+G92+G93+G94)</f>
        <v>0</v>
      </c>
      <c r="G91" s="511">
        <f>G101/G$23</f>
        <v>0</v>
      </c>
      <c r="H91" s="381">
        <f t="shared" si="45"/>
        <v>0</v>
      </c>
      <c r="I91" s="511">
        <f>I$41*J91/(J91+J92+J93+J94)</f>
        <v>0</v>
      </c>
      <c r="J91" s="381">
        <f t="shared" si="52"/>
        <v>0</v>
      </c>
      <c r="K91" s="381">
        <f t="shared" si="52"/>
        <v>0</v>
      </c>
      <c r="L91" s="381">
        <f t="shared" si="52"/>
        <v>0</v>
      </c>
      <c r="M91" s="381">
        <f t="shared" si="52"/>
        <v>0</v>
      </c>
      <c r="N91" s="381">
        <f t="shared" si="52"/>
        <v>0</v>
      </c>
      <c r="O91" s="353"/>
      <c r="P91" s="718">
        <f>20/28</f>
        <v>0.7142857142857143</v>
      </c>
    </row>
    <row r="92" spans="1:16" s="718" customFormat="1" x14ac:dyDescent="0.35">
      <c r="B92" s="324" t="s">
        <v>1135</v>
      </c>
      <c r="C92" s="258" t="s">
        <v>769</v>
      </c>
      <c r="D92" s="268" t="s">
        <v>807</v>
      </c>
      <c r="E92" s="421"/>
      <c r="F92" s="511">
        <f>F$41*G92/(G92+G93+G94+G95)</f>
        <v>0</v>
      </c>
      <c r="G92" s="511">
        <f>G102/G$23</f>
        <v>0</v>
      </c>
      <c r="H92" s="381">
        <f t="shared" si="45"/>
        <v>0</v>
      </c>
      <c r="I92" s="511">
        <f>I$41*J92/(J92+J93+J94+J95)</f>
        <v>0</v>
      </c>
      <c r="J92" s="381">
        <f t="shared" si="52"/>
        <v>0</v>
      </c>
      <c r="K92" s="381">
        <f t="shared" si="52"/>
        <v>0</v>
      </c>
      <c r="L92" s="381">
        <f t="shared" si="52"/>
        <v>0</v>
      </c>
      <c r="M92" s="381">
        <f t="shared" si="52"/>
        <v>0</v>
      </c>
      <c r="N92" s="381">
        <f t="shared" si="52"/>
        <v>0</v>
      </c>
      <c r="O92" s="353"/>
    </row>
    <row r="93" spans="1:16" s="718" customFormat="1" x14ac:dyDescent="0.3">
      <c r="B93" s="313">
        <v>3.2</v>
      </c>
      <c r="C93" s="312" t="s">
        <v>122</v>
      </c>
      <c r="D93" s="314"/>
      <c r="E93" s="424"/>
      <c r="F93" s="384"/>
      <c r="G93" s="384"/>
      <c r="H93" s="384"/>
      <c r="I93" s="384"/>
      <c r="J93" s="381"/>
      <c r="K93" s="381"/>
      <c r="L93" s="381"/>
      <c r="M93" s="381"/>
      <c r="N93" s="381"/>
      <c r="O93" s="353"/>
    </row>
    <row r="94" spans="1:16" s="718" customFormat="1" x14ac:dyDescent="0.35">
      <c r="A94" s="1380">
        <f>K94/10^6</f>
        <v>3.3628328040284114</v>
      </c>
      <c r="B94" s="324" t="s">
        <v>123</v>
      </c>
      <c r="C94" s="258" t="s">
        <v>679</v>
      </c>
      <c r="D94" s="268" t="s">
        <v>808</v>
      </c>
      <c r="E94" s="421"/>
      <c r="F94" s="1010">
        <f>IFERROR(F104/F$68*1000,0)</f>
        <v>183064.02787231447</v>
      </c>
      <c r="G94" s="1010">
        <v>222905</v>
      </c>
      <c r="H94" s="381">
        <f t="shared" ref="H94:H112" si="53">G94-F94</f>
        <v>39840.972127685527</v>
      </c>
      <c r="I94" s="1010">
        <f>IFERROR(I104/I$68*1000,0)</f>
        <v>2667374.6862301985</v>
      </c>
      <c r="J94" s="1010">
        <v>2960520.1995403827</v>
      </c>
      <c r="K94" s="511">
        <f>Assumptions!I74</f>
        <v>3362832.8040284114</v>
      </c>
      <c r="L94" s="381">
        <f>Assumptions!J74</f>
        <v>3372046.0445873928</v>
      </c>
      <c r="M94" s="511">
        <f>Assumptions!K74</f>
        <v>3362832.8040284114</v>
      </c>
      <c r="N94" s="511">
        <f>Assumptions!L74</f>
        <v>3362832.8040284114</v>
      </c>
      <c r="O94" s="353"/>
      <c r="P94" s="718">
        <f>J94*J68</f>
        <v>9003252869.1022549</v>
      </c>
    </row>
    <row r="95" spans="1:16" s="718" customFormat="1" x14ac:dyDescent="0.35">
      <c r="B95" s="324" t="s">
        <v>124</v>
      </c>
      <c r="C95" s="258" t="s">
        <v>680</v>
      </c>
      <c r="D95" s="268" t="s">
        <v>808</v>
      </c>
      <c r="E95" s="421"/>
      <c r="F95" s="1010">
        <f>IFERROR(F105/F$68*1000,0)</f>
        <v>12899.987449304574</v>
      </c>
      <c r="G95" s="511">
        <v>12409</v>
      </c>
      <c r="H95" s="381">
        <f t="shared" si="53"/>
        <v>-490.9874493045736</v>
      </c>
      <c r="I95" s="1010">
        <f>IFERROR(I105/I$68*1000,0)</f>
        <v>148311.59886280351</v>
      </c>
      <c r="J95" s="1010">
        <v>122049.66</v>
      </c>
      <c r="K95" s="511">
        <f>Assumptions!I75</f>
        <v>0</v>
      </c>
      <c r="L95" s="511">
        <f>Assumptions!J75</f>
        <v>0</v>
      </c>
      <c r="M95" s="511">
        <f>Assumptions!K75</f>
        <v>0</v>
      </c>
      <c r="N95" s="511">
        <f>Assumptions!L75</f>
        <v>0</v>
      </c>
      <c r="O95" s="353"/>
    </row>
    <row r="96" spans="1:16" s="718" customFormat="1" x14ac:dyDescent="0.35">
      <c r="B96" s="324" t="s">
        <v>125</v>
      </c>
      <c r="C96" s="258" t="s">
        <v>767</v>
      </c>
      <c r="D96" s="268" t="s">
        <v>808</v>
      </c>
      <c r="E96" s="421"/>
      <c r="F96" s="511">
        <f>IFERROR(F106/F$68*1000,0)</f>
        <v>0</v>
      </c>
      <c r="G96" s="511">
        <v>0</v>
      </c>
      <c r="H96" s="381">
        <f t="shared" si="53"/>
        <v>0</v>
      </c>
      <c r="I96" s="511">
        <f>IFERROR(I106/I$68*1000,0)</f>
        <v>0</v>
      </c>
      <c r="J96" s="1010">
        <v>0</v>
      </c>
      <c r="K96" s="511"/>
      <c r="L96" s="511"/>
      <c r="M96" s="511"/>
      <c r="N96" s="511"/>
      <c r="O96" s="353"/>
    </row>
    <row r="97" spans="2:18" s="718" customFormat="1" x14ac:dyDescent="0.35">
      <c r="B97" s="324" t="s">
        <v>686</v>
      </c>
      <c r="C97" s="258" t="s">
        <v>1129</v>
      </c>
      <c r="D97" s="268" t="s">
        <v>808</v>
      </c>
      <c r="E97" s="421"/>
      <c r="F97" s="511"/>
      <c r="G97" s="511"/>
      <c r="H97" s="381"/>
      <c r="I97" s="381"/>
      <c r="J97" s="511"/>
      <c r="K97" s="511"/>
      <c r="L97" s="511"/>
      <c r="M97" s="511"/>
      <c r="N97" s="511"/>
      <c r="O97" s="353"/>
    </row>
    <row r="98" spans="2:18" s="718" customFormat="1" x14ac:dyDescent="0.35">
      <c r="B98" s="324" t="s">
        <v>782</v>
      </c>
      <c r="C98" s="258" t="s">
        <v>1130</v>
      </c>
      <c r="D98" s="268" t="s">
        <v>808</v>
      </c>
      <c r="E98" s="421"/>
      <c r="F98" s="511"/>
      <c r="G98" s="511"/>
      <c r="H98" s="381"/>
      <c r="I98" s="381"/>
      <c r="J98" s="511"/>
      <c r="K98" s="511"/>
      <c r="L98" s="511"/>
      <c r="M98" s="511"/>
      <c r="N98" s="511"/>
      <c r="O98" s="353"/>
    </row>
    <row r="99" spans="2:18" s="718" customFormat="1" x14ac:dyDescent="0.35">
      <c r="B99" s="324" t="s">
        <v>783</v>
      </c>
      <c r="C99" s="258" t="s">
        <v>681</v>
      </c>
      <c r="D99" s="268" t="s">
        <v>808</v>
      </c>
      <c r="E99" s="421"/>
      <c r="F99" s="514">
        <f>F89*F$23</f>
        <v>117.81317478106372</v>
      </c>
      <c r="G99" s="511">
        <v>763.47400000000005</v>
      </c>
      <c r="H99" s="381">
        <f t="shared" si="53"/>
        <v>645.66082521893634</v>
      </c>
      <c r="I99" s="1368">
        <f>I89*I$23</f>
        <v>1289.5105954754572</v>
      </c>
      <c r="J99" s="1368">
        <v>2405.3000000000002</v>
      </c>
      <c r="K99" s="511">
        <f>Assumptions!I21*F2.2!K42</f>
        <v>2457.1800000000003</v>
      </c>
      <c r="L99" s="511">
        <f>Assumptions!J21*F2.2!L42</f>
        <v>2463.9119999999998</v>
      </c>
      <c r="M99" s="511">
        <f>Assumptions!K21*F2.2!M42</f>
        <v>2457.1800000000003</v>
      </c>
      <c r="N99" s="511">
        <f>Assumptions!L21*F2.2!N42</f>
        <v>2457.1800000000003</v>
      </c>
      <c r="O99" s="353"/>
    </row>
    <row r="100" spans="2:18" s="718" customFormat="1" x14ac:dyDescent="0.35">
      <c r="B100" s="324" t="s">
        <v>784</v>
      </c>
      <c r="C100" s="258" t="s">
        <v>682</v>
      </c>
      <c r="D100" s="268" t="s">
        <v>808</v>
      </c>
      <c r="E100" s="421"/>
      <c r="F100" s="511">
        <f>F90*F$23</f>
        <v>36.305825218936278</v>
      </c>
      <c r="G100" s="511">
        <v>235.27549999999999</v>
      </c>
      <c r="H100" s="381">
        <f t="shared" si="53"/>
        <v>198.9696747810637</v>
      </c>
      <c r="I100" s="1368">
        <f>I90*I$23</f>
        <v>783.58690452454289</v>
      </c>
      <c r="J100" s="1368">
        <v>1461.6100000000001</v>
      </c>
      <c r="K100" s="511"/>
      <c r="L100" s="511"/>
      <c r="M100" s="511"/>
      <c r="N100" s="511"/>
      <c r="O100" s="353"/>
    </row>
    <row r="101" spans="2:18" s="718" customFormat="1" x14ac:dyDescent="0.35">
      <c r="B101" s="324" t="s">
        <v>1136</v>
      </c>
      <c r="C101" s="258" t="s">
        <v>768</v>
      </c>
      <c r="D101" s="268" t="s">
        <v>808</v>
      </c>
      <c r="E101" s="421"/>
      <c r="F101" s="511">
        <f>F91*F$23</f>
        <v>0</v>
      </c>
      <c r="G101" s="511"/>
      <c r="H101" s="381">
        <f t="shared" si="53"/>
        <v>0</v>
      </c>
      <c r="I101" s="1368">
        <f>I91*I$23</f>
        <v>0</v>
      </c>
      <c r="J101" s="1368"/>
      <c r="K101" s="511"/>
      <c r="L101" s="511"/>
      <c r="M101" s="511"/>
      <c r="N101" s="511"/>
      <c r="O101" s="353"/>
    </row>
    <row r="102" spans="2:18" s="718" customFormat="1" x14ac:dyDescent="0.35">
      <c r="B102" s="324" t="s">
        <v>1137</v>
      </c>
      <c r="C102" s="258" t="s">
        <v>769</v>
      </c>
      <c r="D102" s="268" t="s">
        <v>808</v>
      </c>
      <c r="E102" s="421"/>
      <c r="F102" s="511">
        <f>F92*F$23</f>
        <v>0</v>
      </c>
      <c r="G102" s="511"/>
      <c r="H102" s="381">
        <f t="shared" si="53"/>
        <v>0</v>
      </c>
      <c r="I102" s="1368">
        <f>I92*I$23</f>
        <v>0</v>
      </c>
      <c r="J102" s="1368"/>
      <c r="K102" s="511"/>
      <c r="L102" s="511"/>
      <c r="M102" s="511"/>
      <c r="N102" s="511"/>
      <c r="O102" s="353"/>
    </row>
    <row r="103" spans="2:18" s="718" customFormat="1" x14ac:dyDescent="0.3">
      <c r="B103" s="313">
        <v>3.3</v>
      </c>
      <c r="C103" s="312" t="s">
        <v>126</v>
      </c>
      <c r="D103" s="314"/>
      <c r="E103" s="424"/>
      <c r="F103" s="384"/>
      <c r="G103" s="384"/>
      <c r="H103" s="384"/>
      <c r="I103" s="384"/>
      <c r="J103" s="381"/>
      <c r="K103" s="381"/>
      <c r="L103" s="381"/>
      <c r="M103" s="381"/>
      <c r="N103" s="381"/>
      <c r="O103" s="353"/>
      <c r="P103" s="1015">
        <f>SUM(J94:J95)</f>
        <v>3082569.8595403829</v>
      </c>
    </row>
    <row r="104" spans="2:18" s="718" customFormat="1" x14ac:dyDescent="0.35">
      <c r="B104" s="324" t="s">
        <v>127</v>
      </c>
      <c r="C104" s="258" t="s">
        <v>679</v>
      </c>
      <c r="D104" s="268" t="s">
        <v>128</v>
      </c>
      <c r="E104" s="421"/>
      <c r="F104" s="1008">
        <f>(F$113-SUM(F$109:F$112))*G104/SUM(G$104:G$107)</f>
        <v>614522.75224355061</v>
      </c>
      <c r="G104" s="1008">
        <f>G94*G$68/1000</f>
        <v>686776.01199999999</v>
      </c>
      <c r="H104" s="1008">
        <f t="shared" si="53"/>
        <v>72253.259756449377</v>
      </c>
      <c r="I104" s="1008">
        <f>(I$113-SUM(I$109:I$112))*J104/SUM(J$104:J$107)</f>
        <v>8382662.8366589081</v>
      </c>
      <c r="J104" s="1008">
        <f>J94*J$68/1000</f>
        <v>9003252.8691022545</v>
      </c>
      <c r="K104" s="1008">
        <f>K94*K$68/1000</f>
        <v>10489136.268600002</v>
      </c>
      <c r="L104" s="1008">
        <f>L94*L$68/1000</f>
        <v>10517873.62824</v>
      </c>
      <c r="M104" s="1008">
        <f t="shared" ref="M104:N104" si="54">M94*M$68/1000</f>
        <v>10489136.268600002</v>
      </c>
      <c r="N104" s="1008">
        <f t="shared" si="54"/>
        <v>10489136.268600002</v>
      </c>
      <c r="O104" s="357"/>
      <c r="P104" s="1015"/>
      <c r="Q104" s="1015"/>
      <c r="R104" s="1015"/>
    </row>
    <row r="105" spans="2:18" s="718" customFormat="1" x14ac:dyDescent="0.35">
      <c r="B105" s="324" t="s">
        <v>129</v>
      </c>
      <c r="C105" s="258" t="s">
        <v>680</v>
      </c>
      <c r="D105" s="268" t="s">
        <v>128</v>
      </c>
      <c r="E105" s="421"/>
      <c r="F105" s="1008">
        <f>(F$113-SUM(F$109:F$112))*G105/SUM(G$104:G$107)</f>
        <v>43303.623783385512</v>
      </c>
      <c r="G105" s="1008">
        <f>G95*G$69/1000</f>
        <v>48395.1</v>
      </c>
      <c r="H105" s="1008">
        <f t="shared" si="53"/>
        <v>5091.4762166144865</v>
      </c>
      <c r="I105" s="1008">
        <f>(I$113-SUM(I$109:I$112))*J105/SUM(J$104:J$107)</f>
        <v>466093.54675618018</v>
      </c>
      <c r="J105" s="1008">
        <f>J95*J$69/1000</f>
        <v>500599.6476145013</v>
      </c>
      <c r="K105" s="1008">
        <f t="shared" ref="K105:N105" si="55">K95*K$69/1000</f>
        <v>0</v>
      </c>
      <c r="L105" s="1008">
        <f t="shared" si="55"/>
        <v>0</v>
      </c>
      <c r="M105" s="1008">
        <f t="shared" si="55"/>
        <v>0</v>
      </c>
      <c r="N105" s="1008">
        <f t="shared" si="55"/>
        <v>0</v>
      </c>
      <c r="O105" s="357"/>
      <c r="P105" s="1015"/>
      <c r="Q105" s="1015"/>
      <c r="R105" s="1015"/>
    </row>
    <row r="106" spans="2:18" s="718" customFormat="1" x14ac:dyDescent="0.35">
      <c r="B106" s="324" t="s">
        <v>130</v>
      </c>
      <c r="C106" s="258" t="s">
        <v>767</v>
      </c>
      <c r="D106" s="268" t="s">
        <v>128</v>
      </c>
      <c r="E106" s="421"/>
      <c r="F106" s="1008">
        <f>(F$113-SUM(F$109:F$112))*G106/SUM(G$104:G$107)</f>
        <v>0</v>
      </c>
      <c r="G106" s="1008">
        <f>G96*G$68/1000</f>
        <v>0</v>
      </c>
      <c r="H106" s="1008">
        <f>G106-F106</f>
        <v>0</v>
      </c>
      <c r="I106" s="1008">
        <f>(I$113-SUM(I$109:I$112))*J106/SUM(J$104:J$107)</f>
        <v>0</v>
      </c>
      <c r="J106" s="1008">
        <f t="shared" ref="J106:N106" si="56">J96*J$68/1000</f>
        <v>0</v>
      </c>
      <c r="K106" s="1008">
        <f t="shared" si="56"/>
        <v>0</v>
      </c>
      <c r="L106" s="1008">
        <f t="shared" si="56"/>
        <v>0</v>
      </c>
      <c r="M106" s="1008">
        <f t="shared" si="56"/>
        <v>0</v>
      </c>
      <c r="N106" s="1008">
        <f t="shared" si="56"/>
        <v>0</v>
      </c>
      <c r="O106" s="357"/>
      <c r="P106" s="1015"/>
      <c r="Q106" s="1015"/>
      <c r="R106" s="1015"/>
    </row>
    <row r="107" spans="2:18" s="718" customFormat="1" x14ac:dyDescent="0.35">
      <c r="B107" s="324" t="s">
        <v>687</v>
      </c>
      <c r="C107" s="258" t="s">
        <v>1129</v>
      </c>
      <c r="D107" s="268" t="s">
        <v>128</v>
      </c>
      <c r="E107" s="421"/>
      <c r="F107" s="1008">
        <f>(F$113-SUM(F$109:F$112))*G107/SUM(G$104:G$107)</f>
        <v>0</v>
      </c>
      <c r="G107" s="1008">
        <f>G97*G$68/1000</f>
        <v>0</v>
      </c>
      <c r="H107" s="1008">
        <f>G107-F107</f>
        <v>0</v>
      </c>
      <c r="I107" s="1008">
        <f>(I$113-SUM(I$109:I$112))*J107/SUM(J$104:J$107)</f>
        <v>0</v>
      </c>
      <c r="J107" s="1008">
        <f t="shared" ref="J107:N107" si="57">J97*J$68/1000</f>
        <v>0</v>
      </c>
      <c r="K107" s="1008">
        <f t="shared" si="57"/>
        <v>0</v>
      </c>
      <c r="L107" s="1008">
        <f t="shared" si="57"/>
        <v>0</v>
      </c>
      <c r="M107" s="1008">
        <f t="shared" si="57"/>
        <v>0</v>
      </c>
      <c r="N107" s="1008">
        <f t="shared" si="57"/>
        <v>0</v>
      </c>
      <c r="O107" s="357"/>
      <c r="P107" s="1015"/>
      <c r="Q107" s="1015"/>
      <c r="R107" s="1015"/>
    </row>
    <row r="108" spans="2:18" s="718" customFormat="1" x14ac:dyDescent="0.35">
      <c r="B108" s="324" t="s">
        <v>785</v>
      </c>
      <c r="C108" s="258" t="s">
        <v>1130</v>
      </c>
      <c r="D108" s="268" t="s">
        <v>128</v>
      </c>
      <c r="E108" s="421"/>
      <c r="F108" s="1008"/>
      <c r="G108" s="1008"/>
      <c r="H108" s="1008"/>
      <c r="I108" s="1008"/>
      <c r="J108" s="1008">
        <f t="shared" ref="J108:N108" si="58">J98*J$68/1000</f>
        <v>0</v>
      </c>
      <c r="K108" s="1008">
        <f t="shared" si="58"/>
        <v>0</v>
      </c>
      <c r="L108" s="1008">
        <f t="shared" si="58"/>
        <v>0</v>
      </c>
      <c r="M108" s="1008">
        <f t="shared" si="58"/>
        <v>0</v>
      </c>
      <c r="N108" s="1008">
        <f t="shared" si="58"/>
        <v>0</v>
      </c>
      <c r="O108" s="357"/>
      <c r="P108" s="1015"/>
      <c r="Q108" s="1015"/>
      <c r="R108" s="1015"/>
    </row>
    <row r="109" spans="2:18" s="718" customFormat="1" x14ac:dyDescent="0.35">
      <c r="B109" s="324" t="s">
        <v>786</v>
      </c>
      <c r="C109" s="258" t="s">
        <v>681</v>
      </c>
      <c r="D109" s="268" t="s">
        <v>128</v>
      </c>
      <c r="E109" s="421"/>
      <c r="F109" s="1008">
        <f>F99*F63/1000*0.933</f>
        <v>1161.1916270352176</v>
      </c>
      <c r="G109" s="1008">
        <f>G99*G63/1000*0.933</f>
        <v>7524.9616004880008</v>
      </c>
      <c r="H109" s="1008">
        <f t="shared" si="53"/>
        <v>6363.7699734527832</v>
      </c>
      <c r="I109" s="1008">
        <f t="shared" ref="I109:N109" si="59">I99*I63/1000*0.933</f>
        <v>12695.227234915748</v>
      </c>
      <c r="J109" s="1008">
        <f t="shared" si="59"/>
        <v>23680.169961600001</v>
      </c>
      <c r="K109" s="1008">
        <f t="shared" si="59"/>
        <v>22925.489400000002</v>
      </c>
      <c r="L109" s="1008">
        <f t="shared" si="59"/>
        <v>22988.298959999996</v>
      </c>
      <c r="M109" s="1008">
        <f t="shared" si="59"/>
        <v>22925.489400000002</v>
      </c>
      <c r="N109" s="1008">
        <f t="shared" si="59"/>
        <v>22925.489400000002</v>
      </c>
      <c r="O109" s="357"/>
      <c r="P109" s="1015"/>
      <c r="Q109" s="1015"/>
      <c r="R109" s="1015"/>
    </row>
    <row r="110" spans="2:18" s="718" customFormat="1" x14ac:dyDescent="0.35">
      <c r="B110" s="324" t="s">
        <v>787</v>
      </c>
      <c r="C110" s="258" t="s">
        <v>682</v>
      </c>
      <c r="D110" s="268" t="s">
        <v>128</v>
      </c>
      <c r="E110" s="421"/>
      <c r="F110" s="1008">
        <f>F100*F64/1000*0.853</f>
        <v>348.92624602871706</v>
      </c>
      <c r="G110" s="1008">
        <f>G100*G64/1000*0.853</f>
        <v>2261.1742469004998</v>
      </c>
      <c r="H110" s="1008">
        <f t="shared" si="53"/>
        <v>1912.2480008717828</v>
      </c>
      <c r="I110" s="1008">
        <f t="shared" ref="I110:N110" si="60">I100*I64/1000*0.853</f>
        <v>7466.8040999960676</v>
      </c>
      <c r="J110" s="1008">
        <f t="shared" si="60"/>
        <v>13927.690059109998</v>
      </c>
      <c r="K110" s="1008">
        <f t="shared" si="60"/>
        <v>0</v>
      </c>
      <c r="L110" s="1008">
        <f t="shared" si="60"/>
        <v>0</v>
      </c>
      <c r="M110" s="1008">
        <f t="shared" si="60"/>
        <v>0</v>
      </c>
      <c r="N110" s="1008">
        <f t="shared" si="60"/>
        <v>0</v>
      </c>
      <c r="O110" s="357"/>
      <c r="P110" s="1015"/>
      <c r="Q110" s="1015"/>
      <c r="R110" s="1015"/>
    </row>
    <row r="111" spans="2:18" s="718" customFormat="1" x14ac:dyDescent="0.35">
      <c r="B111" s="324" t="s">
        <v>1138</v>
      </c>
      <c r="C111" s="258" t="s">
        <v>768</v>
      </c>
      <c r="D111" s="268" t="s">
        <v>128</v>
      </c>
      <c r="E111" s="421"/>
      <c r="F111" s="1008">
        <f>F101*F65/1000</f>
        <v>0</v>
      </c>
      <c r="G111" s="1008">
        <f>G101*G65/1000</f>
        <v>0</v>
      </c>
      <c r="H111" s="1008">
        <f t="shared" si="53"/>
        <v>0</v>
      </c>
      <c r="I111" s="1008">
        <f>I101*I65/1000</f>
        <v>0</v>
      </c>
      <c r="J111" s="1008">
        <f t="shared" ref="J111:N112" si="61">J101*J65/1000</f>
        <v>0</v>
      </c>
      <c r="K111" s="1008">
        <f t="shared" si="61"/>
        <v>0</v>
      </c>
      <c r="L111" s="1008">
        <f t="shared" si="61"/>
        <v>0</v>
      </c>
      <c r="M111" s="1008">
        <f t="shared" si="61"/>
        <v>0</v>
      </c>
      <c r="N111" s="1008">
        <f t="shared" si="61"/>
        <v>0</v>
      </c>
      <c r="O111" s="357"/>
      <c r="P111" s="1015"/>
      <c r="Q111" s="1015"/>
      <c r="R111" s="1015"/>
    </row>
    <row r="112" spans="2:18" s="718" customFormat="1" x14ac:dyDescent="0.35">
      <c r="B112" s="324" t="s">
        <v>1139</v>
      </c>
      <c r="C112" s="258" t="s">
        <v>769</v>
      </c>
      <c r="D112" s="268" t="s">
        <v>128</v>
      </c>
      <c r="E112" s="421"/>
      <c r="F112" s="1008">
        <f>F102*F66/1000</f>
        <v>0</v>
      </c>
      <c r="G112" s="1008">
        <f>G102*G66/1000</f>
        <v>0</v>
      </c>
      <c r="H112" s="1008">
        <f t="shared" si="53"/>
        <v>0</v>
      </c>
      <c r="I112" s="1008">
        <f>I102*I66/1000</f>
        <v>0</v>
      </c>
      <c r="J112" s="1008">
        <f t="shared" si="61"/>
        <v>0</v>
      </c>
      <c r="K112" s="1008">
        <f t="shared" si="61"/>
        <v>0</v>
      </c>
      <c r="L112" s="1008">
        <f t="shared" si="61"/>
        <v>0</v>
      </c>
      <c r="M112" s="1008">
        <f t="shared" si="61"/>
        <v>0</v>
      </c>
      <c r="N112" s="1008">
        <f t="shared" si="61"/>
        <v>0</v>
      </c>
      <c r="O112" s="357"/>
      <c r="P112" s="1015"/>
      <c r="Q112" s="1015"/>
      <c r="R112" s="1015"/>
    </row>
    <row r="113" spans="2:19" s="1016" customFormat="1" ht="15" x14ac:dyDescent="0.3">
      <c r="B113" s="313"/>
      <c r="C113" s="312" t="s">
        <v>363</v>
      </c>
      <c r="D113" s="269" t="s">
        <v>128</v>
      </c>
      <c r="E113" s="1011"/>
      <c r="F113" s="1009">
        <f>F23*F39</f>
        <v>659336.4939</v>
      </c>
      <c r="G113" s="1009">
        <f t="shared" ref="G113:N113" si="62">SUM(G104:G112)</f>
        <v>744957.2478473885</v>
      </c>
      <c r="H113" s="1009">
        <f t="shared" si="62"/>
        <v>85620.753947388424</v>
      </c>
      <c r="I113" s="1009">
        <f>I23*I39</f>
        <v>8868918.4147500005</v>
      </c>
      <c r="J113" s="1009">
        <f t="shared" si="62"/>
        <v>9541460.3767374661</v>
      </c>
      <c r="K113" s="1009">
        <f t="shared" si="62"/>
        <v>10512061.758000001</v>
      </c>
      <c r="L113" s="1009">
        <f t="shared" si="62"/>
        <v>10540861.927200001</v>
      </c>
      <c r="M113" s="1009">
        <f t="shared" si="62"/>
        <v>10512061.758000001</v>
      </c>
      <c r="N113" s="1009">
        <f t="shared" si="62"/>
        <v>10512061.758000001</v>
      </c>
      <c r="O113" s="355"/>
    </row>
    <row r="114" spans="2:19" s="718" customFormat="1" x14ac:dyDescent="0.3">
      <c r="B114" s="313"/>
      <c r="C114" s="312"/>
      <c r="D114" s="314"/>
      <c r="E114" s="426"/>
      <c r="F114" s="354"/>
      <c r="G114" s="354"/>
      <c r="H114" s="354"/>
      <c r="I114" s="354"/>
      <c r="J114" s="351"/>
      <c r="K114" s="351"/>
      <c r="L114" s="351"/>
      <c r="M114" s="351"/>
      <c r="N114" s="351"/>
      <c r="O114" s="353"/>
    </row>
    <row r="115" spans="2:19" s="718" customFormat="1" x14ac:dyDescent="0.3">
      <c r="B115" s="313">
        <v>4</v>
      </c>
      <c r="C115" s="312" t="s">
        <v>131</v>
      </c>
      <c r="D115" s="314"/>
      <c r="E115" s="426"/>
      <c r="F115" s="354"/>
      <c r="G115" s="354"/>
      <c r="H115" s="354"/>
      <c r="I115" s="354"/>
      <c r="J115" s="351"/>
      <c r="K115" s="351"/>
      <c r="L115" s="351"/>
      <c r="M115" s="351"/>
      <c r="N115" s="351"/>
      <c r="O115" s="353"/>
    </row>
    <row r="116" spans="2:19" s="718" customFormat="1" x14ac:dyDescent="0.35">
      <c r="B116" s="324" t="s">
        <v>788</v>
      </c>
      <c r="C116" s="258" t="s">
        <v>679</v>
      </c>
      <c r="D116" s="268" t="s">
        <v>132</v>
      </c>
      <c r="E116" s="425"/>
      <c r="F116" s="351">
        <f t="shared" ref="F116:G118" si="63">F94*F73/10^7</f>
        <v>85.018651375000474</v>
      </c>
      <c r="G116" s="351">
        <f t="shared" si="63"/>
        <v>106.58978146226914</v>
      </c>
      <c r="H116" s="351">
        <f>G116-F116</f>
        <v>21.571130087268671</v>
      </c>
      <c r="I116" s="351">
        <f t="shared" ref="I116" si="64">I94*I73/10^7</f>
        <v>1219.8307898042924</v>
      </c>
      <c r="J116" s="351">
        <f>J94*J73/10^7</f>
        <v>1374.3792979031141</v>
      </c>
      <c r="K116" s="351">
        <f>K94*K73/10^7</f>
        <v>1584.0105355234887</v>
      </c>
      <c r="L116" s="351">
        <f t="shared" ref="L116:N116" si="65">L94*L73/10^7</f>
        <v>1636.0007991277937</v>
      </c>
      <c r="M116" s="351">
        <f t="shared" si="65"/>
        <v>1680.476777136869</v>
      </c>
      <c r="N116" s="351">
        <f t="shared" si="65"/>
        <v>1730.8910804509751</v>
      </c>
      <c r="O116" s="353"/>
    </row>
    <row r="117" spans="2:19" s="718" customFormat="1" x14ac:dyDescent="0.35">
      <c r="B117" s="324" t="s">
        <v>789</v>
      </c>
      <c r="C117" s="258" t="s">
        <v>680</v>
      </c>
      <c r="D117" s="268" t="s">
        <v>132</v>
      </c>
      <c r="E117" s="425"/>
      <c r="F117" s="351">
        <f t="shared" si="63"/>
        <v>14.220798397789219</v>
      </c>
      <c r="G117" s="351">
        <f t="shared" si="63"/>
        <v>13.679539457821683</v>
      </c>
      <c r="H117" s="351">
        <f>G117-F117</f>
        <v>-0.54125893996753582</v>
      </c>
      <c r="I117" s="351">
        <f t="shared" ref="I117" si="66">I95*I74/10^7</f>
        <v>166.31601757539994</v>
      </c>
      <c r="J117" s="351">
        <f t="shared" ref="J117:N117" si="67">J95*J74/10^7</f>
        <v>136.86598724088412</v>
      </c>
      <c r="K117" s="351">
        <f t="shared" si="67"/>
        <v>0</v>
      </c>
      <c r="L117" s="351">
        <f t="shared" si="67"/>
        <v>0</v>
      </c>
      <c r="M117" s="351">
        <f t="shared" si="67"/>
        <v>0</v>
      </c>
      <c r="N117" s="351">
        <f t="shared" si="67"/>
        <v>0</v>
      </c>
      <c r="O117" s="353"/>
      <c r="P117" s="1318">
        <f>K117/K125</f>
        <v>0</v>
      </c>
      <c r="Q117" s="1318">
        <f t="shared" ref="Q117:S117" si="68">L117/L125</f>
        <v>0</v>
      </c>
      <c r="R117" s="1318">
        <f t="shared" si="68"/>
        <v>0</v>
      </c>
      <c r="S117" s="1318">
        <f t="shared" si="68"/>
        <v>0</v>
      </c>
    </row>
    <row r="118" spans="2:19" s="718" customFormat="1" x14ac:dyDescent="0.35">
      <c r="B118" s="324" t="s">
        <v>790</v>
      </c>
      <c r="C118" s="258" t="s">
        <v>767</v>
      </c>
      <c r="D118" s="268" t="s">
        <v>132</v>
      </c>
      <c r="E118" s="425"/>
      <c r="F118" s="351">
        <f t="shared" si="63"/>
        <v>0</v>
      </c>
      <c r="G118" s="351">
        <f t="shared" si="63"/>
        <v>0</v>
      </c>
      <c r="H118" s="351">
        <f>G118-F118</f>
        <v>0</v>
      </c>
      <c r="I118" s="351">
        <f t="shared" ref="I118" si="69">I96*I75/10^7</f>
        <v>0</v>
      </c>
      <c r="J118" s="351">
        <f t="shared" ref="J118:N120" si="70">J96*J75/10^7</f>
        <v>0</v>
      </c>
      <c r="K118" s="351">
        <f t="shared" si="70"/>
        <v>0</v>
      </c>
      <c r="L118" s="351">
        <f t="shared" si="70"/>
        <v>0</v>
      </c>
      <c r="M118" s="351">
        <f t="shared" si="70"/>
        <v>0</v>
      </c>
      <c r="N118" s="351">
        <f t="shared" si="70"/>
        <v>0</v>
      </c>
      <c r="O118" s="353"/>
    </row>
    <row r="119" spans="2:19" s="718" customFormat="1" x14ac:dyDescent="0.35">
      <c r="B119" s="324" t="s">
        <v>791</v>
      </c>
      <c r="C119" s="258" t="s">
        <v>1129</v>
      </c>
      <c r="D119" s="268" t="s">
        <v>132</v>
      </c>
      <c r="E119" s="425"/>
      <c r="F119" s="351"/>
      <c r="G119" s="351"/>
      <c r="H119" s="351"/>
      <c r="I119" s="351"/>
      <c r="J119" s="351">
        <f t="shared" si="70"/>
        <v>0</v>
      </c>
      <c r="K119" s="351">
        <f t="shared" si="70"/>
        <v>0</v>
      </c>
      <c r="L119" s="351">
        <f t="shared" si="70"/>
        <v>0</v>
      </c>
      <c r="M119" s="351">
        <f t="shared" si="70"/>
        <v>0</v>
      </c>
      <c r="N119" s="351">
        <f t="shared" si="70"/>
        <v>0</v>
      </c>
      <c r="O119" s="353"/>
    </row>
    <row r="120" spans="2:19" s="718" customFormat="1" x14ac:dyDescent="0.35">
      <c r="B120" s="324" t="s">
        <v>792</v>
      </c>
      <c r="C120" s="258" t="s">
        <v>1130</v>
      </c>
      <c r="D120" s="268" t="s">
        <v>132</v>
      </c>
      <c r="E120" s="425"/>
      <c r="F120" s="351"/>
      <c r="G120" s="351"/>
      <c r="H120" s="351"/>
      <c r="I120" s="351"/>
      <c r="J120" s="351">
        <f t="shared" si="70"/>
        <v>0</v>
      </c>
      <c r="K120" s="351">
        <f t="shared" si="70"/>
        <v>0</v>
      </c>
      <c r="L120" s="351">
        <f t="shared" si="70"/>
        <v>0</v>
      </c>
      <c r="M120" s="351">
        <f t="shared" si="70"/>
        <v>0</v>
      </c>
      <c r="N120" s="351">
        <f t="shared" si="70"/>
        <v>0</v>
      </c>
      <c r="O120" s="353"/>
    </row>
    <row r="121" spans="2:19" s="718" customFormat="1" x14ac:dyDescent="0.35">
      <c r="B121" s="324" t="s">
        <v>793</v>
      </c>
      <c r="C121" s="258" t="s">
        <v>681</v>
      </c>
      <c r="D121" s="268" t="s">
        <v>132</v>
      </c>
      <c r="E121" s="425"/>
      <c r="F121" s="351">
        <f t="shared" ref="F121:G124" si="71">F99*F78/10^7</f>
        <v>0.66114373426057982</v>
      </c>
      <c r="G121" s="351">
        <f t="shared" si="71"/>
        <v>4.2844618380659556</v>
      </c>
      <c r="H121" s="351">
        <f>G121-F121</f>
        <v>3.6233181038053757</v>
      </c>
      <c r="I121" s="351">
        <f t="shared" ref="I121" si="72">I99*I78/10^7</f>
        <v>7.324288538873045</v>
      </c>
      <c r="J121" s="351">
        <f>J99*J78/10^7</f>
        <v>13.661858447976309</v>
      </c>
      <c r="K121" s="351">
        <f t="shared" ref="K121:N121" si="73">K99*K78/10^7</f>
        <v>15.185372400000002</v>
      </c>
      <c r="L121" s="351">
        <f t="shared" si="73"/>
        <v>15.683785444799998</v>
      </c>
      <c r="M121" s="351">
        <f t="shared" si="73"/>
        <v>16.110161579160003</v>
      </c>
      <c r="N121" s="351">
        <f t="shared" si="73"/>
        <v>16.5934664265348</v>
      </c>
      <c r="O121" s="353"/>
    </row>
    <row r="122" spans="2:19" s="718" customFormat="1" x14ac:dyDescent="0.35">
      <c r="B122" s="324" t="s">
        <v>794</v>
      </c>
      <c r="C122" s="258" t="s">
        <v>682</v>
      </c>
      <c r="D122" s="268" t="s">
        <v>132</v>
      </c>
      <c r="E122" s="425"/>
      <c r="F122" s="351">
        <f t="shared" si="71"/>
        <v>0.25312352005784217</v>
      </c>
      <c r="G122" s="351">
        <f t="shared" si="71"/>
        <v>1.6403362927089447</v>
      </c>
      <c r="H122" s="351">
        <f>G122-F122</f>
        <v>1.3872127726511025</v>
      </c>
      <c r="I122" s="351">
        <f t="shared" ref="I122" si="74">I100*I79/10^7</f>
        <v>5.4846236478172612</v>
      </c>
      <c r="J122" s="351">
        <f t="shared" ref="J122:N122" si="75">J100*J79/10^7</f>
        <v>10.230365928269675</v>
      </c>
      <c r="K122" s="351">
        <f t="shared" si="75"/>
        <v>0</v>
      </c>
      <c r="L122" s="351">
        <f t="shared" si="75"/>
        <v>0</v>
      </c>
      <c r="M122" s="351">
        <f t="shared" si="75"/>
        <v>0</v>
      </c>
      <c r="N122" s="351">
        <f t="shared" si="75"/>
        <v>0</v>
      </c>
      <c r="O122" s="353"/>
    </row>
    <row r="123" spans="2:19" s="718" customFormat="1" x14ac:dyDescent="0.35">
      <c r="B123" s="324" t="s">
        <v>1140</v>
      </c>
      <c r="C123" s="258" t="s">
        <v>768</v>
      </c>
      <c r="D123" s="268" t="s">
        <v>132</v>
      </c>
      <c r="E123" s="425"/>
      <c r="F123" s="351">
        <f t="shared" si="71"/>
        <v>0</v>
      </c>
      <c r="G123" s="351">
        <f t="shared" si="71"/>
        <v>0</v>
      </c>
      <c r="H123" s="351">
        <f t="shared" ref="H123:H124" si="76">G123-F123</f>
        <v>0</v>
      </c>
      <c r="I123" s="351">
        <f t="shared" ref="I123" si="77">I101*I80/10^7</f>
        <v>0</v>
      </c>
      <c r="J123" s="351">
        <f t="shared" ref="J123:N123" si="78">J101*J80/10^7</f>
        <v>0</v>
      </c>
      <c r="K123" s="351">
        <f t="shared" si="78"/>
        <v>0</v>
      </c>
      <c r="L123" s="351">
        <f t="shared" si="78"/>
        <v>0</v>
      </c>
      <c r="M123" s="351">
        <f t="shared" si="78"/>
        <v>0</v>
      </c>
      <c r="N123" s="351">
        <f t="shared" si="78"/>
        <v>0</v>
      </c>
      <c r="O123" s="353"/>
    </row>
    <row r="124" spans="2:19" s="718" customFormat="1" x14ac:dyDescent="0.35">
      <c r="B124" s="324" t="s">
        <v>1141</v>
      </c>
      <c r="C124" s="258" t="s">
        <v>769</v>
      </c>
      <c r="D124" s="268" t="s">
        <v>132</v>
      </c>
      <c r="E124" s="425"/>
      <c r="F124" s="351">
        <f t="shared" si="71"/>
        <v>0</v>
      </c>
      <c r="G124" s="351">
        <f t="shared" si="71"/>
        <v>0</v>
      </c>
      <c r="H124" s="351">
        <f t="shared" si="76"/>
        <v>0</v>
      </c>
      <c r="I124" s="351">
        <f t="shared" ref="I124" si="79">I102*I81/10^7</f>
        <v>0</v>
      </c>
      <c r="J124" s="351">
        <f t="shared" ref="J124:N124" si="80">J102*J81/10^7</f>
        <v>0</v>
      </c>
      <c r="K124" s="351">
        <f t="shared" si="80"/>
        <v>0</v>
      </c>
      <c r="L124" s="351">
        <f t="shared" si="80"/>
        <v>0</v>
      </c>
      <c r="M124" s="351">
        <f t="shared" si="80"/>
        <v>0</v>
      </c>
      <c r="N124" s="351">
        <f t="shared" si="80"/>
        <v>0</v>
      </c>
      <c r="O124" s="353"/>
    </row>
    <row r="125" spans="2:19" s="1016" customFormat="1" ht="15" x14ac:dyDescent="0.3">
      <c r="B125" s="313"/>
      <c r="C125" s="312" t="s">
        <v>131</v>
      </c>
      <c r="D125" s="269" t="s">
        <v>132</v>
      </c>
      <c r="E125" s="1011"/>
      <c r="F125" s="287">
        <f>SUM(F116:F124)</f>
        <v>100.15371702710812</v>
      </c>
      <c r="G125" s="287">
        <f>SUM(G116:G124)</f>
        <v>126.19411905086571</v>
      </c>
      <c r="H125" s="287">
        <f t="shared" ref="H125" si="81">SUM(H116:H124)</f>
        <v>26.040402023757615</v>
      </c>
      <c r="I125" s="287">
        <f>SUM(I116:I124)</f>
        <v>1398.9557195663826</v>
      </c>
      <c r="J125" s="287">
        <f t="shared" ref="J125:N125" si="82">SUM(J116:J124)</f>
        <v>1535.1375095202443</v>
      </c>
      <c r="K125" s="287">
        <f t="shared" si="82"/>
        <v>1599.1959079234887</v>
      </c>
      <c r="L125" s="287">
        <f t="shared" si="82"/>
        <v>1651.6845845725936</v>
      </c>
      <c r="M125" s="287">
        <f t="shared" si="82"/>
        <v>1696.586938716029</v>
      </c>
      <c r="N125" s="287">
        <f t="shared" si="82"/>
        <v>1747.48454687751</v>
      </c>
      <c r="O125" s="355"/>
    </row>
    <row r="126" spans="2:19" s="718" customFormat="1" x14ac:dyDescent="0.3">
      <c r="B126" s="313"/>
      <c r="C126" s="312"/>
      <c r="D126" s="314"/>
      <c r="E126" s="426"/>
      <c r="F126" s="354"/>
      <c r="G126" s="354"/>
      <c r="H126" s="354"/>
      <c r="I126" s="354"/>
      <c r="J126" s="351"/>
      <c r="K126" s="351"/>
      <c r="L126" s="351"/>
      <c r="M126" s="351"/>
      <c r="N126" s="351"/>
      <c r="O126" s="353"/>
    </row>
    <row r="127" spans="2:19" s="718" customFormat="1" x14ac:dyDescent="0.3">
      <c r="B127" s="313">
        <v>5</v>
      </c>
      <c r="C127" s="312" t="s">
        <v>645</v>
      </c>
      <c r="D127" s="314"/>
      <c r="E127" s="426"/>
      <c r="F127" s="354"/>
      <c r="G127" s="354"/>
      <c r="H127" s="354"/>
      <c r="I127" s="354"/>
      <c r="J127" s="351"/>
      <c r="K127" s="351"/>
      <c r="L127" s="351"/>
      <c r="M127" s="351"/>
      <c r="N127" s="351"/>
      <c r="O127" s="353"/>
    </row>
    <row r="128" spans="2:19" s="718" customFormat="1" x14ac:dyDescent="0.35">
      <c r="B128" s="324">
        <v>5.0999999999999996</v>
      </c>
      <c r="C128" s="258" t="s">
        <v>679</v>
      </c>
      <c r="D128" s="268" t="s">
        <v>132</v>
      </c>
      <c r="E128" s="425"/>
      <c r="F128" s="351">
        <f>G128</f>
        <v>0</v>
      </c>
      <c r="G128" s="351"/>
      <c r="H128" s="351">
        <f>G128-F128</f>
        <v>0</v>
      </c>
      <c r="I128" s="351">
        <f>J128</f>
        <v>0</v>
      </c>
      <c r="J128" s="351"/>
      <c r="K128" s="351"/>
      <c r="L128" s="351"/>
      <c r="M128" s="351"/>
      <c r="N128" s="351"/>
      <c r="O128" s="353"/>
    </row>
    <row r="129" spans="2:15" s="718" customFormat="1" x14ac:dyDescent="0.35">
      <c r="B129" s="324">
        <v>5.2</v>
      </c>
      <c r="C129" s="258" t="s">
        <v>109</v>
      </c>
      <c r="D129" s="268" t="s">
        <v>132</v>
      </c>
      <c r="E129" s="425"/>
      <c r="F129" s="351">
        <f t="shared" ref="F129:F130" si="83">G129</f>
        <v>0</v>
      </c>
      <c r="G129" s="351"/>
      <c r="H129" s="351">
        <f>G129-F129</f>
        <v>0</v>
      </c>
      <c r="I129" s="351">
        <f t="shared" ref="I129:I130" si="84">J129</f>
        <v>0</v>
      </c>
      <c r="J129" s="351"/>
      <c r="K129" s="351"/>
      <c r="L129" s="351"/>
      <c r="M129" s="351"/>
      <c r="N129" s="351"/>
      <c r="O129" s="353"/>
    </row>
    <row r="130" spans="2:15" s="718" customFormat="1" x14ac:dyDescent="0.35">
      <c r="B130" s="324">
        <v>5.3</v>
      </c>
      <c r="C130" s="258" t="s">
        <v>111</v>
      </c>
      <c r="D130" s="268" t="s">
        <v>132</v>
      </c>
      <c r="E130" s="425"/>
      <c r="F130" s="351">
        <f t="shared" si="83"/>
        <v>0</v>
      </c>
      <c r="G130" s="351"/>
      <c r="H130" s="351">
        <f>G130-F130</f>
        <v>0</v>
      </c>
      <c r="I130" s="351">
        <f t="shared" si="84"/>
        <v>0</v>
      </c>
      <c r="J130" s="351"/>
      <c r="K130" s="351"/>
      <c r="L130" s="351"/>
      <c r="M130" s="351"/>
      <c r="N130" s="351"/>
      <c r="O130" s="353"/>
    </row>
    <row r="131" spans="2:15" s="718" customFormat="1" x14ac:dyDescent="0.3">
      <c r="B131" s="313"/>
      <c r="C131" s="312" t="s">
        <v>646</v>
      </c>
      <c r="D131" s="268" t="s">
        <v>132</v>
      </c>
      <c r="E131" s="428"/>
      <c r="F131" s="367">
        <f t="shared" ref="F131:H131" si="85">SUM(F128:F130)</f>
        <v>0</v>
      </c>
      <c r="G131" s="367">
        <f t="shared" si="85"/>
        <v>0</v>
      </c>
      <c r="H131" s="367">
        <f t="shared" si="85"/>
        <v>0</v>
      </c>
      <c r="I131" s="367">
        <f t="shared" ref="I131" si="86">SUM(I128:I130)</f>
        <v>0</v>
      </c>
      <c r="J131" s="367">
        <f t="shared" ref="J131:N131" si="87">SUM(J128:J130)</f>
        <v>0</v>
      </c>
      <c r="K131" s="367">
        <f t="shared" si="87"/>
        <v>0</v>
      </c>
      <c r="L131" s="367">
        <f t="shared" si="87"/>
        <v>0</v>
      </c>
      <c r="M131" s="367">
        <f t="shared" si="87"/>
        <v>0</v>
      </c>
      <c r="N131" s="367">
        <f t="shared" si="87"/>
        <v>0</v>
      </c>
      <c r="O131" s="353"/>
    </row>
    <row r="132" spans="2:15" s="718" customFormat="1" x14ac:dyDescent="0.3">
      <c r="B132" s="313"/>
      <c r="C132" s="312"/>
      <c r="D132" s="314"/>
      <c r="E132" s="426"/>
      <c r="F132" s="354"/>
      <c r="G132" s="354"/>
      <c r="H132" s="354"/>
      <c r="I132" s="354"/>
      <c r="J132" s="354"/>
      <c r="K132" s="354"/>
      <c r="L132" s="354"/>
      <c r="M132" s="354"/>
      <c r="N132" s="354"/>
      <c r="O132" s="353"/>
    </row>
    <row r="133" spans="2:15" s="718" customFormat="1" x14ac:dyDescent="0.3">
      <c r="B133" s="313">
        <v>6</v>
      </c>
      <c r="C133" s="312" t="s">
        <v>647</v>
      </c>
      <c r="D133" s="314"/>
      <c r="E133" s="426"/>
      <c r="F133" s="354"/>
      <c r="G133" s="354"/>
      <c r="H133" s="354"/>
      <c r="I133" s="354"/>
      <c r="J133" s="354"/>
      <c r="K133" s="354"/>
      <c r="L133" s="354"/>
      <c r="M133" s="354"/>
      <c r="N133" s="354"/>
      <c r="O133" s="353"/>
    </row>
    <row r="134" spans="2:15" s="718" customFormat="1" x14ac:dyDescent="0.35">
      <c r="B134" s="324">
        <v>6.1</v>
      </c>
      <c r="C134" s="258" t="s">
        <v>679</v>
      </c>
      <c r="D134" s="268" t="s">
        <v>132</v>
      </c>
      <c r="E134" s="425"/>
      <c r="F134" s="351">
        <f t="shared" ref="F134:F136" si="88">G134</f>
        <v>0</v>
      </c>
      <c r="G134" s="351"/>
      <c r="H134" s="351"/>
      <c r="I134" s="351">
        <f t="shared" ref="I134:I136" si="89">J134</f>
        <v>0</v>
      </c>
      <c r="J134" s="351"/>
      <c r="K134" s="351"/>
      <c r="L134" s="351"/>
      <c r="M134" s="351"/>
      <c r="N134" s="351"/>
      <c r="O134" s="353"/>
    </row>
    <row r="135" spans="2:15" s="718" customFormat="1" x14ac:dyDescent="0.35">
      <c r="B135" s="324">
        <v>6.2</v>
      </c>
      <c r="C135" s="258" t="s">
        <v>109</v>
      </c>
      <c r="D135" s="268" t="s">
        <v>132</v>
      </c>
      <c r="E135" s="425"/>
      <c r="F135" s="351">
        <f t="shared" si="88"/>
        <v>0</v>
      </c>
      <c r="G135" s="351"/>
      <c r="H135" s="351"/>
      <c r="I135" s="351">
        <f t="shared" si="89"/>
        <v>0</v>
      </c>
      <c r="J135" s="351"/>
      <c r="K135" s="351"/>
      <c r="L135" s="351"/>
      <c r="M135" s="351"/>
      <c r="N135" s="351"/>
      <c r="O135" s="353"/>
    </row>
    <row r="136" spans="2:15" s="718" customFormat="1" x14ac:dyDescent="0.35">
      <c r="B136" s="324">
        <v>6.3</v>
      </c>
      <c r="C136" s="258" t="s">
        <v>111</v>
      </c>
      <c r="D136" s="268" t="s">
        <v>132</v>
      </c>
      <c r="E136" s="425"/>
      <c r="F136" s="351">
        <f t="shared" si="88"/>
        <v>0</v>
      </c>
      <c r="G136" s="351"/>
      <c r="H136" s="351"/>
      <c r="I136" s="351">
        <f t="shared" si="89"/>
        <v>0</v>
      </c>
      <c r="J136" s="351"/>
      <c r="K136" s="351"/>
      <c r="L136" s="351"/>
      <c r="M136" s="351"/>
      <c r="N136" s="351"/>
      <c r="O136" s="353"/>
    </row>
    <row r="137" spans="2:15" s="718" customFormat="1" x14ac:dyDescent="0.3">
      <c r="B137" s="313"/>
      <c r="C137" s="312" t="s">
        <v>648</v>
      </c>
      <c r="D137" s="269" t="s">
        <v>132</v>
      </c>
      <c r="E137" s="428"/>
      <c r="F137" s="367">
        <f t="shared" ref="F137:H137" si="90">SUM(F134:F136)</f>
        <v>0</v>
      </c>
      <c r="G137" s="367">
        <f t="shared" si="90"/>
        <v>0</v>
      </c>
      <c r="H137" s="367">
        <f t="shared" si="90"/>
        <v>0</v>
      </c>
      <c r="I137" s="367">
        <f t="shared" ref="I137" si="91">SUM(I134:I136)</f>
        <v>0</v>
      </c>
      <c r="J137" s="367">
        <f t="shared" ref="J137:N137" si="92">SUM(J134:J136)</f>
        <v>0</v>
      </c>
      <c r="K137" s="367">
        <f t="shared" si="92"/>
        <v>0</v>
      </c>
      <c r="L137" s="367">
        <f t="shared" si="92"/>
        <v>0</v>
      </c>
      <c r="M137" s="367">
        <f t="shared" si="92"/>
        <v>0</v>
      </c>
      <c r="N137" s="367">
        <f t="shared" si="92"/>
        <v>0</v>
      </c>
      <c r="O137" s="353"/>
    </row>
    <row r="138" spans="2:15" s="718" customFormat="1" x14ac:dyDescent="0.3">
      <c r="B138" s="313"/>
      <c r="C138" s="312"/>
      <c r="D138" s="268"/>
      <c r="E138" s="426"/>
      <c r="F138" s="354"/>
      <c r="G138" s="354"/>
      <c r="H138" s="354"/>
      <c r="I138" s="354"/>
      <c r="J138" s="354"/>
      <c r="K138" s="354"/>
      <c r="L138" s="354"/>
      <c r="M138" s="354"/>
      <c r="N138" s="354"/>
      <c r="O138" s="353"/>
    </row>
    <row r="139" spans="2:15" s="718" customFormat="1" x14ac:dyDescent="0.3">
      <c r="B139" s="313">
        <v>7</v>
      </c>
      <c r="C139" s="312" t="s">
        <v>133</v>
      </c>
      <c r="D139" s="314"/>
      <c r="E139" s="426"/>
      <c r="F139" s="354"/>
      <c r="G139" s="354"/>
      <c r="H139" s="354"/>
      <c r="I139" s="354"/>
      <c r="J139" s="354"/>
      <c r="K139" s="354"/>
      <c r="L139" s="354"/>
      <c r="M139" s="354"/>
      <c r="N139" s="354"/>
      <c r="O139" s="353"/>
    </row>
    <row r="140" spans="2:15" s="718" customFormat="1" x14ac:dyDescent="0.35">
      <c r="B140" s="324" t="s">
        <v>700</v>
      </c>
      <c r="C140" s="258" t="s">
        <v>764</v>
      </c>
      <c r="D140" s="268" t="s">
        <v>132</v>
      </c>
      <c r="E140" s="425"/>
      <c r="F140" s="351">
        <f t="shared" ref="F140:F152" si="93">G140</f>
        <v>0</v>
      </c>
      <c r="G140" s="351"/>
      <c r="H140" s="351">
        <f>G140-F140</f>
        <v>0</v>
      </c>
      <c r="I140" s="351">
        <f t="shared" ref="I140:I152" si="94">J140</f>
        <v>0</v>
      </c>
      <c r="J140" s="523"/>
      <c r="K140" s="523"/>
      <c r="L140" s="523"/>
      <c r="M140" s="523"/>
      <c r="N140" s="523"/>
      <c r="O140" s="353"/>
    </row>
    <row r="141" spans="2:15" s="718" customFormat="1" x14ac:dyDescent="0.35">
      <c r="B141" s="324" t="s">
        <v>701</v>
      </c>
      <c r="C141" s="258" t="s">
        <v>765</v>
      </c>
      <c r="D141" s="268" t="s">
        <v>132</v>
      </c>
      <c r="E141" s="425"/>
      <c r="F141" s="351">
        <f t="shared" si="93"/>
        <v>0</v>
      </c>
      <c r="G141" s="351"/>
      <c r="H141" s="351">
        <f t="shared" ref="H141:H152" si="95">G141-F141</f>
        <v>0</v>
      </c>
      <c r="I141" s="351">
        <f t="shared" si="94"/>
        <v>0</v>
      </c>
      <c r="J141" s="523"/>
      <c r="K141" s="523"/>
      <c r="L141" s="523"/>
      <c r="M141" s="523"/>
      <c r="N141" s="523"/>
      <c r="O141" s="353"/>
    </row>
    <row r="142" spans="2:15" s="718" customFormat="1" x14ac:dyDescent="0.35">
      <c r="B142" s="324" t="s">
        <v>702</v>
      </c>
      <c r="C142" s="258" t="s">
        <v>689</v>
      </c>
      <c r="D142" s="268" t="s">
        <v>132</v>
      </c>
      <c r="E142" s="425"/>
      <c r="F142" s="351">
        <f t="shared" si="93"/>
        <v>0</v>
      </c>
      <c r="G142" s="351"/>
      <c r="H142" s="351">
        <f t="shared" si="95"/>
        <v>0</v>
      </c>
      <c r="I142" s="351">
        <f t="shared" si="94"/>
        <v>0</v>
      </c>
      <c r="J142" s="523"/>
      <c r="K142" s="523"/>
      <c r="L142" s="523"/>
      <c r="M142" s="523"/>
      <c r="N142" s="523"/>
      <c r="O142" s="353"/>
    </row>
    <row r="143" spans="2:15" s="718" customFormat="1" x14ac:dyDescent="0.35">
      <c r="B143" s="324" t="s">
        <v>745</v>
      </c>
      <c r="C143" s="258" t="s">
        <v>690</v>
      </c>
      <c r="D143" s="268" t="s">
        <v>132</v>
      </c>
      <c r="E143" s="425"/>
      <c r="F143" s="351">
        <f t="shared" si="93"/>
        <v>0</v>
      </c>
      <c r="G143" s="351"/>
      <c r="H143" s="351">
        <f t="shared" si="95"/>
        <v>0</v>
      </c>
      <c r="I143" s="351">
        <f t="shared" si="94"/>
        <v>0</v>
      </c>
      <c r="J143" s="523"/>
      <c r="K143" s="523"/>
      <c r="L143" s="523"/>
      <c r="M143" s="523"/>
      <c r="N143" s="523"/>
      <c r="O143" s="353"/>
    </row>
    <row r="144" spans="2:15" s="718" customFormat="1" x14ac:dyDescent="0.35">
      <c r="B144" s="324" t="s">
        <v>746</v>
      </c>
      <c r="C144" s="258" t="s">
        <v>691</v>
      </c>
      <c r="D144" s="268" t="s">
        <v>132</v>
      </c>
      <c r="E144" s="425"/>
      <c r="F144" s="351">
        <f t="shared" si="93"/>
        <v>0</v>
      </c>
      <c r="G144" s="351"/>
      <c r="H144" s="351">
        <f t="shared" si="95"/>
        <v>0</v>
      </c>
      <c r="I144" s="351">
        <f t="shared" si="94"/>
        <v>0</v>
      </c>
      <c r="J144" s="523"/>
      <c r="K144" s="523"/>
      <c r="L144" s="523"/>
      <c r="M144" s="523"/>
      <c r="N144" s="523"/>
      <c r="O144" s="353"/>
    </row>
    <row r="145" spans="2:15" s="718" customFormat="1" x14ac:dyDescent="0.35">
      <c r="B145" s="324" t="s">
        <v>747</v>
      </c>
      <c r="C145" s="258" t="s">
        <v>692</v>
      </c>
      <c r="D145" s="268" t="s">
        <v>132</v>
      </c>
      <c r="E145" s="425"/>
      <c r="F145" s="351">
        <f t="shared" si="93"/>
        <v>0</v>
      </c>
      <c r="G145" s="351"/>
      <c r="H145" s="351">
        <f t="shared" si="95"/>
        <v>0</v>
      </c>
      <c r="I145" s="351">
        <f t="shared" si="94"/>
        <v>0</v>
      </c>
      <c r="J145" s="523"/>
      <c r="K145" s="523"/>
      <c r="L145" s="523"/>
      <c r="M145" s="523"/>
      <c r="N145" s="523"/>
      <c r="O145" s="353"/>
    </row>
    <row r="146" spans="2:15" s="718" customFormat="1" x14ac:dyDescent="0.35">
      <c r="B146" s="324" t="s">
        <v>748</v>
      </c>
      <c r="C146" s="258" t="s">
        <v>693</v>
      </c>
      <c r="D146" s="268" t="s">
        <v>132</v>
      </c>
      <c r="E146" s="425"/>
      <c r="F146" s="351">
        <f t="shared" si="93"/>
        <v>0</v>
      </c>
      <c r="G146" s="351"/>
      <c r="H146" s="351">
        <f t="shared" si="95"/>
        <v>0</v>
      </c>
      <c r="I146" s="351">
        <f t="shared" si="94"/>
        <v>0</v>
      </c>
      <c r="J146" s="523"/>
      <c r="K146" s="523"/>
      <c r="L146" s="523"/>
      <c r="M146" s="523"/>
      <c r="N146" s="523"/>
      <c r="O146" s="353"/>
    </row>
    <row r="147" spans="2:15" s="718" customFormat="1" x14ac:dyDescent="0.35">
      <c r="B147" s="324" t="s">
        <v>749</v>
      </c>
      <c r="C147" s="258" t="s">
        <v>694</v>
      </c>
      <c r="D147" s="268" t="s">
        <v>132</v>
      </c>
      <c r="E147" s="425"/>
      <c r="F147" s="351">
        <f t="shared" si="93"/>
        <v>0</v>
      </c>
      <c r="G147" s="351"/>
      <c r="H147" s="351">
        <f t="shared" si="95"/>
        <v>0</v>
      </c>
      <c r="I147" s="351">
        <f t="shared" si="94"/>
        <v>0</v>
      </c>
      <c r="J147" s="523"/>
      <c r="K147" s="523"/>
      <c r="L147" s="523"/>
      <c r="M147" s="523"/>
      <c r="N147" s="523"/>
      <c r="O147" s="353"/>
    </row>
    <row r="148" spans="2:15" s="718" customFormat="1" x14ac:dyDescent="0.35">
      <c r="B148" s="324" t="s">
        <v>750</v>
      </c>
      <c r="C148" s="258" t="s">
        <v>695</v>
      </c>
      <c r="D148" s="268" t="s">
        <v>132</v>
      </c>
      <c r="E148" s="425"/>
      <c r="F148" s="351">
        <f t="shared" si="93"/>
        <v>0</v>
      </c>
      <c r="G148" s="351"/>
      <c r="H148" s="351">
        <f t="shared" si="95"/>
        <v>0</v>
      </c>
      <c r="I148" s="351">
        <f t="shared" si="94"/>
        <v>0</v>
      </c>
      <c r="J148" s="523"/>
      <c r="K148" s="523"/>
      <c r="L148" s="523"/>
      <c r="M148" s="523"/>
      <c r="N148" s="523"/>
      <c r="O148" s="353"/>
    </row>
    <row r="149" spans="2:15" s="718" customFormat="1" x14ac:dyDescent="0.35">
      <c r="B149" s="324" t="s">
        <v>751</v>
      </c>
      <c r="C149" s="258" t="s">
        <v>696</v>
      </c>
      <c r="D149" s="268" t="s">
        <v>132</v>
      </c>
      <c r="E149" s="425"/>
      <c r="F149" s="351">
        <f t="shared" si="93"/>
        <v>0</v>
      </c>
      <c r="G149" s="351"/>
      <c r="H149" s="351">
        <f t="shared" si="95"/>
        <v>0</v>
      </c>
      <c r="I149" s="351">
        <f t="shared" si="94"/>
        <v>0</v>
      </c>
      <c r="J149" s="523"/>
      <c r="K149" s="523"/>
      <c r="L149" s="523"/>
      <c r="M149" s="523"/>
      <c r="N149" s="523"/>
      <c r="O149" s="353"/>
    </row>
    <row r="150" spans="2:15" s="718" customFormat="1" x14ac:dyDescent="0.35">
      <c r="B150" s="324" t="s">
        <v>752</v>
      </c>
      <c r="C150" s="258" t="s">
        <v>697</v>
      </c>
      <c r="D150" s="268" t="s">
        <v>132</v>
      </c>
      <c r="E150" s="425"/>
      <c r="F150" s="351">
        <f t="shared" si="93"/>
        <v>0</v>
      </c>
      <c r="G150" s="351"/>
      <c r="H150" s="351">
        <f t="shared" si="95"/>
        <v>0</v>
      </c>
      <c r="I150" s="351">
        <f t="shared" si="94"/>
        <v>0</v>
      </c>
      <c r="J150" s="523"/>
      <c r="K150" s="523"/>
      <c r="L150" s="523"/>
      <c r="M150" s="523"/>
      <c r="N150" s="523"/>
      <c r="O150" s="353"/>
    </row>
    <row r="151" spans="2:15" s="718" customFormat="1" x14ac:dyDescent="0.35">
      <c r="B151" s="324" t="s">
        <v>753</v>
      </c>
      <c r="C151" s="258" t="s">
        <v>698</v>
      </c>
      <c r="D151" s="268" t="s">
        <v>132</v>
      </c>
      <c r="E151" s="425"/>
      <c r="F151" s="351">
        <f t="shared" si="93"/>
        <v>0</v>
      </c>
      <c r="G151" s="351"/>
      <c r="H151" s="351">
        <f t="shared" si="95"/>
        <v>0</v>
      </c>
      <c r="I151" s="351">
        <f t="shared" si="94"/>
        <v>0</v>
      </c>
      <c r="J151" s="523"/>
      <c r="K151" s="523"/>
      <c r="L151" s="523"/>
      <c r="M151" s="523"/>
      <c r="N151" s="523"/>
      <c r="O151" s="353"/>
    </row>
    <row r="152" spans="2:15" s="718" customFormat="1" x14ac:dyDescent="0.35">
      <c r="B152" s="324" t="s">
        <v>754</v>
      </c>
      <c r="C152" s="258" t="s">
        <v>699</v>
      </c>
      <c r="D152" s="268" t="s">
        <v>132</v>
      </c>
      <c r="E152" s="425"/>
      <c r="F152" s="351">
        <f t="shared" si="93"/>
        <v>0</v>
      </c>
      <c r="G152" s="351"/>
      <c r="H152" s="351">
        <f t="shared" si="95"/>
        <v>0</v>
      </c>
      <c r="I152" s="351">
        <f t="shared" si="94"/>
        <v>0</v>
      </c>
      <c r="J152" s="523"/>
      <c r="K152" s="523"/>
      <c r="L152" s="523"/>
      <c r="M152" s="523"/>
      <c r="N152" s="523"/>
      <c r="O152" s="353"/>
    </row>
    <row r="153" spans="2:15" s="1016" customFormat="1" x14ac:dyDescent="0.3">
      <c r="B153" s="313"/>
      <c r="C153" s="312" t="s">
        <v>134</v>
      </c>
      <c r="D153" s="269" t="s">
        <v>132</v>
      </c>
      <c r="E153" s="425"/>
      <c r="F153" s="351">
        <f>SUM(F140:F152)</f>
        <v>0</v>
      </c>
      <c r="G153" s="351">
        <f t="shared" ref="G153:H153" si="96">SUM(G140:G152)</f>
        <v>0</v>
      </c>
      <c r="H153" s="351">
        <f t="shared" si="96"/>
        <v>0</v>
      </c>
      <c r="I153" s="351">
        <f>SUM(I140:I152)</f>
        <v>0</v>
      </c>
      <c r="J153" s="351">
        <f t="shared" ref="J153:N153" si="97">SUM(J140:J152)</f>
        <v>0</v>
      </c>
      <c r="K153" s="351">
        <f t="shared" si="97"/>
        <v>0</v>
      </c>
      <c r="L153" s="351">
        <f t="shared" si="97"/>
        <v>0</v>
      </c>
      <c r="M153" s="351">
        <f t="shared" si="97"/>
        <v>0</v>
      </c>
      <c r="N153" s="351">
        <f t="shared" si="97"/>
        <v>0</v>
      </c>
      <c r="O153" s="355"/>
    </row>
    <row r="154" spans="2:15" s="718" customFormat="1" x14ac:dyDescent="0.3">
      <c r="B154" s="313"/>
      <c r="C154" s="312"/>
      <c r="D154" s="314"/>
      <c r="E154" s="426"/>
      <c r="F154" s="354"/>
      <c r="G154" s="354"/>
      <c r="H154" s="354"/>
      <c r="I154" s="354"/>
      <c r="J154" s="354"/>
      <c r="K154" s="354"/>
      <c r="L154" s="354"/>
      <c r="M154" s="354"/>
      <c r="N154" s="354"/>
      <c r="O154" s="353"/>
    </row>
    <row r="155" spans="2:15" s="719" customFormat="1" x14ac:dyDescent="0.3">
      <c r="B155" s="263">
        <v>8</v>
      </c>
      <c r="C155" s="1017" t="s">
        <v>649</v>
      </c>
      <c r="D155" s="268" t="s">
        <v>132</v>
      </c>
      <c r="E155" s="1011">
        <v>263.25</v>
      </c>
      <c r="F155" s="287">
        <f>IFERROR((F125+F131+F137+F153),0)</f>
        <v>100.15371702710812</v>
      </c>
      <c r="G155" s="287">
        <f>G125+G131+G137+G4153+G153</f>
        <v>126.19411905086571</v>
      </c>
      <c r="H155" s="287">
        <f t="shared" ref="H155" si="98">H125+H131+H137+H153</f>
        <v>26.040402023757615</v>
      </c>
      <c r="I155" s="287">
        <f>IFERROR((I125+I131+I137+I153),0)</f>
        <v>1398.9557195663826</v>
      </c>
      <c r="J155" s="287">
        <f t="shared" ref="J155:N155" si="99">IFERROR((J125+J131+J137+J153),0)</f>
        <v>1535.1375095202443</v>
      </c>
      <c r="K155" s="287">
        <f>IFERROR((K125+K131+K137+K153),0)</f>
        <v>1599.1959079234887</v>
      </c>
      <c r="L155" s="287">
        <f t="shared" si="99"/>
        <v>1651.6845845725936</v>
      </c>
      <c r="M155" s="287">
        <f t="shared" si="99"/>
        <v>1696.586938716029</v>
      </c>
      <c r="N155" s="287">
        <f t="shared" si="99"/>
        <v>1747.48454687751</v>
      </c>
      <c r="O155" s="280"/>
    </row>
    <row r="156" spans="2:15" s="719" customFormat="1" x14ac:dyDescent="0.35">
      <c r="B156" s="263"/>
      <c r="C156" s="1017"/>
      <c r="D156" s="264"/>
      <c r="E156" s="344"/>
      <c r="F156" s="344"/>
      <c r="G156" s="344"/>
      <c r="H156" s="344"/>
      <c r="I156" s="344"/>
      <c r="J156" s="344"/>
      <c r="K156" s="344"/>
      <c r="L156" s="344"/>
      <c r="M156" s="344"/>
      <c r="N156" s="344"/>
      <c r="O156" s="271"/>
    </row>
    <row r="157" spans="2:15" s="719" customFormat="1" x14ac:dyDescent="0.35">
      <c r="B157" s="263">
        <v>9</v>
      </c>
      <c r="C157" s="1017" t="s">
        <v>2874</v>
      </c>
      <c r="D157" s="264" t="s">
        <v>135</v>
      </c>
      <c r="E157" s="344">
        <f>E155/(E23*(1-E29))*10</f>
        <v>3.2586898395721926</v>
      </c>
      <c r="F157" s="344">
        <f>F155/(F23*(1-F29))*10</f>
        <v>3.2492332881444899</v>
      </c>
      <c r="G157" s="344">
        <f>G155/(G23*(1-G29))*10</f>
        <v>4.5268112283196755</v>
      </c>
      <c r="H157" s="344">
        <f t="shared" ref="H157" si="100">G157-F157</f>
        <v>1.2775779401751857</v>
      </c>
      <c r="I157" s="344">
        <f>I155/(I23*(1-I28))*10</f>
        <v>3.5799164070516767</v>
      </c>
      <c r="J157" s="344">
        <f>J155/(J23*(1-J32))*10</f>
        <v>3.9832577194252035</v>
      </c>
      <c r="K157" s="344">
        <f>K155/(K23*(1-K29))*10</f>
        <v>3.4526562645058592</v>
      </c>
      <c r="L157" s="344">
        <f>L155/(L23*(1-L29))*10</f>
        <v>3.5562359524410345</v>
      </c>
      <c r="M157" s="344">
        <f t="shared" ref="M157:N157" si="101">M155/(M23*(1-M29))*10</f>
        <v>3.662923031014266</v>
      </c>
      <c r="N157" s="344">
        <f t="shared" si="101"/>
        <v>3.772810721944694</v>
      </c>
      <c r="O157" s="344"/>
    </row>
    <row r="158" spans="2:15" x14ac:dyDescent="0.35">
      <c r="B158" s="1018">
        <v>10</v>
      </c>
      <c r="C158" s="55" t="s">
        <v>2835</v>
      </c>
      <c r="D158" s="173" t="s">
        <v>132</v>
      </c>
      <c r="E158" s="1019"/>
      <c r="F158" s="1019"/>
      <c r="G158" s="1019"/>
      <c r="H158" s="1019"/>
      <c r="I158" s="1019"/>
      <c r="J158" s="280">
        <f>E198</f>
        <v>0</v>
      </c>
      <c r="K158" s="280">
        <f>F198</f>
        <v>1.7222866056000003E-2</v>
      </c>
      <c r="L158" s="280">
        <f>G198</f>
        <v>3.4540103980799999E-2</v>
      </c>
      <c r="M158" s="280">
        <f>H198</f>
        <v>3.4445732112000006E-2</v>
      </c>
      <c r="N158" s="280">
        <f>I198</f>
        <v>3.4445732112000006E-2</v>
      </c>
      <c r="O158" s="277"/>
    </row>
    <row r="159" spans="2:15" s="719" customFormat="1" ht="15" x14ac:dyDescent="0.3">
      <c r="B159" s="1018">
        <f>B158+1</f>
        <v>11</v>
      </c>
      <c r="C159" s="55" t="s">
        <v>2875</v>
      </c>
      <c r="D159" s="343" t="s">
        <v>132</v>
      </c>
      <c r="E159" s="1073">
        <f>E155+E158</f>
        <v>263.25</v>
      </c>
      <c r="F159" s="1073">
        <f>F155+F158</f>
        <v>100.15371702710812</v>
      </c>
      <c r="G159" s="1073">
        <f t="shared" ref="G159:N159" si="102">G155+G158</f>
        <v>126.19411905086571</v>
      </c>
      <c r="H159" s="1073">
        <f t="shared" si="102"/>
        <v>26.040402023757615</v>
      </c>
      <c r="I159" s="1073">
        <f>I155+I158</f>
        <v>1398.9557195663826</v>
      </c>
      <c r="J159" s="1073">
        <f t="shared" si="102"/>
        <v>1535.1375095202443</v>
      </c>
      <c r="K159" s="1073">
        <f t="shared" si="102"/>
        <v>1599.2131307895447</v>
      </c>
      <c r="L159" s="1073">
        <f t="shared" si="102"/>
        <v>1651.7191246765744</v>
      </c>
      <c r="M159" s="1073">
        <f t="shared" si="102"/>
        <v>1696.621384448141</v>
      </c>
      <c r="N159" s="1073">
        <f t="shared" si="102"/>
        <v>1747.518992609622</v>
      </c>
      <c r="O159" s="271"/>
    </row>
    <row r="160" spans="2:15" s="719" customFormat="1" ht="15" x14ac:dyDescent="0.3">
      <c r="B160" s="1018">
        <f>B159+1</f>
        <v>12</v>
      </c>
      <c r="C160" s="1017" t="s">
        <v>2876</v>
      </c>
      <c r="D160" s="263" t="s">
        <v>135</v>
      </c>
      <c r="E160" s="1074"/>
      <c r="F160" s="1247">
        <f>F159/(F23*(1-F32))*10</f>
        <v>3.2492332881444899</v>
      </c>
      <c r="G160" s="1247">
        <f>G159/(G23*(1-G32))*10</f>
        <v>4.5268112283196755</v>
      </c>
      <c r="H160" s="1074"/>
      <c r="I160" s="1247">
        <f>I159/(I23*(1-I28))*10</f>
        <v>3.5799164070516767</v>
      </c>
      <c r="J160" s="1247">
        <f>J159/(J23*(1-J32))*10</f>
        <v>3.9832577194252035</v>
      </c>
      <c r="K160" s="1247">
        <f>K159/(K23*(1-K32))*10</f>
        <v>3.4563606747708682</v>
      </c>
      <c r="L160" s="1247">
        <f t="shared" ref="L160:N160" si="103">L159/(L23*(1-L32))*10</f>
        <v>3.5638729156572841</v>
      </c>
      <c r="M160" s="1247">
        <f t="shared" si="103"/>
        <v>3.6707868673375281</v>
      </c>
      <c r="N160" s="1247">
        <f t="shared" si="103"/>
        <v>3.7809082375681808</v>
      </c>
      <c r="O160" s="271"/>
    </row>
    <row r="161" spans="2:15" s="719" customFormat="1" ht="15" x14ac:dyDescent="0.3">
      <c r="B161" s="1018">
        <f>B160+1</f>
        <v>13</v>
      </c>
      <c r="C161" s="271" t="s">
        <v>2877</v>
      </c>
      <c r="D161" s="263" t="s">
        <v>135</v>
      </c>
      <c r="E161" s="263"/>
      <c r="F161" s="1074">
        <f>F160-F157</f>
        <v>0</v>
      </c>
      <c r="G161" s="1074">
        <f>G160-G157</f>
        <v>0</v>
      </c>
      <c r="H161" s="263"/>
      <c r="I161" s="1074">
        <f>I160-I157</f>
        <v>0</v>
      </c>
      <c r="J161" s="1074">
        <f>J160-J157</f>
        <v>0</v>
      </c>
      <c r="K161" s="1074">
        <f t="shared" ref="K161:N161" si="104">K160-K157</f>
        <v>3.7044102650090061E-3</v>
      </c>
      <c r="L161" s="1074">
        <f t="shared" si="104"/>
        <v>7.6369632162496259E-3</v>
      </c>
      <c r="M161" s="1074">
        <f t="shared" si="104"/>
        <v>7.8638363232621522E-3</v>
      </c>
      <c r="N161" s="1074">
        <f t="shared" si="104"/>
        <v>8.0975156234868173E-3</v>
      </c>
      <c r="O161" s="271"/>
    </row>
    <row r="162" spans="2:15" s="719" customFormat="1" ht="15" x14ac:dyDescent="0.3">
      <c r="B162" s="271"/>
      <c r="C162" s="271" t="s">
        <v>2968</v>
      </c>
      <c r="D162" s="263"/>
      <c r="E162" s="263"/>
      <c r="F162" s="263"/>
      <c r="G162" s="263"/>
      <c r="H162" s="263"/>
      <c r="I162" s="263"/>
      <c r="J162" s="1074"/>
      <c r="K162" s="1074"/>
      <c r="L162" s="1074"/>
      <c r="M162" s="1074"/>
      <c r="N162" s="1074"/>
      <c r="O162" s="271"/>
    </row>
    <row r="163" spans="2:15" ht="16" thickBot="1" x14ac:dyDescent="0.4">
      <c r="B163" s="768" t="s">
        <v>1212</v>
      </c>
      <c r="J163" s="1072"/>
      <c r="K163" s="1072"/>
    </row>
    <row r="164" spans="2:15" ht="16" thickBot="1" x14ac:dyDescent="0.4">
      <c r="B164" s="721" t="s">
        <v>565</v>
      </c>
      <c r="C164" s="720"/>
      <c r="D164" s="722"/>
      <c r="E164" s="798" t="s">
        <v>1167</v>
      </c>
      <c r="F164" s="799" t="s">
        <v>1168</v>
      </c>
      <c r="G164" s="799" t="s">
        <v>1169</v>
      </c>
      <c r="H164" s="799" t="s">
        <v>1170</v>
      </c>
      <c r="I164" s="800" t="s">
        <v>1171</v>
      </c>
      <c r="K164" s="711"/>
      <c r="L164" s="711"/>
      <c r="M164" s="711"/>
      <c r="O164" s="711"/>
    </row>
    <row r="165" spans="2:15" ht="16" thickBot="1" x14ac:dyDescent="0.4">
      <c r="B165" s="723" t="s">
        <v>1166</v>
      </c>
      <c r="C165" s="720"/>
      <c r="D165" s="722"/>
      <c r="E165" s="724" t="s">
        <v>1308</v>
      </c>
      <c r="F165" s="724" t="s">
        <v>1308</v>
      </c>
      <c r="G165" s="724" t="s">
        <v>1308</v>
      </c>
      <c r="H165" s="724" t="s">
        <v>1308</v>
      </c>
      <c r="I165" s="724" t="s">
        <v>1308</v>
      </c>
      <c r="K165" s="711"/>
      <c r="L165" s="711"/>
      <c r="M165" s="711"/>
      <c r="O165" s="711"/>
    </row>
    <row r="166" spans="2:15" x14ac:dyDescent="0.35">
      <c r="B166" s="709"/>
      <c r="C166" s="709"/>
      <c r="D166" s="722"/>
      <c r="H166" s="719"/>
      <c r="I166" s="711"/>
      <c r="K166" s="711"/>
      <c r="L166" s="711"/>
      <c r="M166" s="711"/>
      <c r="O166" s="711"/>
    </row>
    <row r="167" spans="2:15" x14ac:dyDescent="0.35">
      <c r="B167" s="725" t="s">
        <v>406</v>
      </c>
      <c r="C167" s="726" t="s">
        <v>35</v>
      </c>
      <c r="E167" s="727"/>
      <c r="F167" s="728"/>
      <c r="G167" s="264"/>
      <c r="H167" s="271"/>
      <c r="I167" s="264"/>
      <c r="K167" s="711"/>
      <c r="L167" s="711"/>
      <c r="M167" s="711"/>
      <c r="O167" s="711"/>
    </row>
    <row r="168" spans="2:15" x14ac:dyDescent="0.35">
      <c r="B168" s="725">
        <v>1</v>
      </c>
      <c r="C168" s="726" t="s">
        <v>1172</v>
      </c>
      <c r="E168" s="729">
        <f>J40</f>
        <v>2301.2570264392934</v>
      </c>
      <c r="F168" s="730">
        <f>$K$40</f>
        <v>2139.0500000000002</v>
      </c>
      <c r="G168" s="790">
        <f>$L$40</f>
        <v>2139.0500000000002</v>
      </c>
      <c r="H168" s="790">
        <f>$M$40</f>
        <v>2139.0500000000002</v>
      </c>
      <c r="I168" s="790">
        <f>$N$40</f>
        <v>2139.0500000000002</v>
      </c>
      <c r="K168" s="711"/>
      <c r="L168" s="711"/>
      <c r="M168" s="711"/>
      <c r="O168" s="711"/>
    </row>
    <row r="169" spans="2:15" x14ac:dyDescent="0.35">
      <c r="B169" s="725">
        <f>B168+1</f>
        <v>2</v>
      </c>
      <c r="C169" s="726" t="s">
        <v>1173</v>
      </c>
      <c r="E169" s="731">
        <f>J68+85</f>
        <v>3126.1050296160788</v>
      </c>
      <c r="F169" s="732">
        <f>K68+85</f>
        <v>3204.1370133046266</v>
      </c>
      <c r="G169" s="732">
        <f>L68+85</f>
        <v>3204.1370133046266</v>
      </c>
      <c r="H169" s="732">
        <f>M68+85</f>
        <v>3204.1370133046266</v>
      </c>
      <c r="I169" s="732">
        <f>N68+85</f>
        <v>3204.1370133046266</v>
      </c>
      <c r="K169" s="711"/>
      <c r="L169" s="711"/>
      <c r="M169" s="711"/>
      <c r="O169" s="711"/>
    </row>
    <row r="170" spans="2:15" x14ac:dyDescent="0.35">
      <c r="B170" s="725">
        <f t="shared" ref="B170:B176" si="105">B169+1</f>
        <v>3</v>
      </c>
      <c r="C170" s="726" t="s">
        <v>1174</v>
      </c>
      <c r="E170" s="733">
        <f>E169-85</f>
        <v>3041.1050296160788</v>
      </c>
      <c r="F170" s="734">
        <f t="shared" ref="F170" si="106">F169-85</f>
        <v>3119.1370133046266</v>
      </c>
      <c r="G170" s="734">
        <f t="shared" ref="G170" si="107">G169-85</f>
        <v>3119.1370133046266</v>
      </c>
      <c r="H170" s="734">
        <f t="shared" ref="H170" si="108">H169-85</f>
        <v>3119.1370133046266</v>
      </c>
      <c r="I170" s="734">
        <f t="shared" ref="I170" si="109">I169-85</f>
        <v>3119.1370133046266</v>
      </c>
      <c r="K170" s="711"/>
      <c r="L170" s="711"/>
      <c r="M170" s="711"/>
      <c r="O170" s="711"/>
    </row>
    <row r="171" spans="2:15" x14ac:dyDescent="0.35">
      <c r="B171" s="725">
        <f t="shared" si="105"/>
        <v>4</v>
      </c>
      <c r="C171" s="726" t="s">
        <v>1175</v>
      </c>
      <c r="E171" s="1273">
        <f>Assumptions!G106</f>
        <v>7.4999999999999997E-3</v>
      </c>
      <c r="F171" s="1273">
        <f>Assumptions!H106</f>
        <v>7.4999999999999997E-3</v>
      </c>
      <c r="G171" s="1273">
        <f>Assumptions!I106</f>
        <v>7.4999999999999997E-3</v>
      </c>
      <c r="H171" s="1273">
        <f>Assumptions!J106</f>
        <v>7.4999999999999997E-3</v>
      </c>
      <c r="I171" s="1273">
        <f>Assumptions!K106</f>
        <v>7.4999999999999997E-3</v>
      </c>
      <c r="K171" s="711"/>
      <c r="L171" s="711"/>
      <c r="M171" s="711"/>
      <c r="O171" s="711"/>
    </row>
    <row r="172" spans="2:15" x14ac:dyDescent="0.35">
      <c r="B172" s="725">
        <f t="shared" si="105"/>
        <v>5</v>
      </c>
      <c r="C172" s="726" t="s">
        <v>1213</v>
      </c>
      <c r="E172" s="1273">
        <f>Assumptions!G107</f>
        <v>0.89</v>
      </c>
      <c r="F172" s="1273">
        <f>Assumptions!H107</f>
        <v>0.89</v>
      </c>
      <c r="G172" s="1273">
        <f>Assumptions!I107</f>
        <v>0.89</v>
      </c>
      <c r="H172" s="1273">
        <f>Assumptions!J107</f>
        <v>0.89</v>
      </c>
      <c r="I172" s="1273">
        <f>Assumptions!K107</f>
        <v>0.89</v>
      </c>
      <c r="K172" s="711"/>
      <c r="L172" s="711"/>
      <c r="M172" s="711"/>
      <c r="O172" s="711"/>
    </row>
    <row r="173" spans="2:15" ht="30" x14ac:dyDescent="0.35">
      <c r="B173" s="725">
        <f t="shared" si="105"/>
        <v>6</v>
      </c>
      <c r="C173" s="726" t="s">
        <v>1176</v>
      </c>
      <c r="E173" s="1274">
        <f>Assumptions!G108</f>
        <v>200</v>
      </c>
      <c r="F173" s="1274">
        <f>Assumptions!H108</f>
        <v>200</v>
      </c>
      <c r="G173" s="1274">
        <f>Assumptions!I108</f>
        <v>200</v>
      </c>
      <c r="H173" s="1274">
        <f>Assumptions!J108</f>
        <v>200</v>
      </c>
      <c r="I173" s="1274">
        <f>Assumptions!K108</f>
        <v>200</v>
      </c>
      <c r="K173" s="711"/>
      <c r="L173" s="711"/>
      <c r="M173" s="711"/>
      <c r="O173" s="711"/>
    </row>
    <row r="174" spans="2:15" x14ac:dyDescent="0.35">
      <c r="B174" s="725">
        <f t="shared" si="105"/>
        <v>7</v>
      </c>
      <c r="C174" s="726" t="s">
        <v>1177</v>
      </c>
      <c r="E174" s="1275">
        <f>IF(E173&lt;=200,96%,73%)</f>
        <v>0.96</v>
      </c>
      <c r="F174" s="1275">
        <f t="shared" ref="F174:H174" si="110">IF(F173&lt;=200,96%,73%)</f>
        <v>0.96</v>
      </c>
      <c r="G174" s="1275">
        <f t="shared" si="110"/>
        <v>0.96</v>
      </c>
      <c r="H174" s="1275">
        <f t="shared" si="110"/>
        <v>0.96</v>
      </c>
      <c r="I174" s="1275">
        <f>IF(I173&lt;=200,96%,73%)</f>
        <v>0.96</v>
      </c>
      <c r="K174" s="711"/>
      <c r="L174" s="711"/>
      <c r="M174" s="711"/>
      <c r="O174" s="711"/>
    </row>
    <row r="175" spans="2:15" x14ac:dyDescent="0.35">
      <c r="B175" s="725">
        <f t="shared" si="105"/>
        <v>8</v>
      </c>
      <c r="C175" s="726" t="s">
        <v>1178</v>
      </c>
      <c r="E175" s="735">
        <f t="shared" ref="E175:H175" si="111">IF(E174=73%,26.8,35.2)</f>
        <v>35.200000000000003</v>
      </c>
      <c r="F175" s="735">
        <f t="shared" si="111"/>
        <v>35.200000000000003</v>
      </c>
      <c r="G175" s="735">
        <f t="shared" si="111"/>
        <v>35.200000000000003</v>
      </c>
      <c r="H175" s="735">
        <f t="shared" si="111"/>
        <v>35.200000000000003</v>
      </c>
      <c r="I175" s="735">
        <f>IF(I174=73%,26.8,35.2)</f>
        <v>35.200000000000003</v>
      </c>
      <c r="K175" s="711"/>
      <c r="L175" s="711"/>
      <c r="M175" s="711"/>
      <c r="O175" s="711"/>
    </row>
    <row r="176" spans="2:15" x14ac:dyDescent="0.35">
      <c r="B176" s="725">
        <f t="shared" si="105"/>
        <v>9</v>
      </c>
      <c r="C176" s="726" t="s">
        <v>1179</v>
      </c>
      <c r="E176" s="1272">
        <f>Assumptions!G109</f>
        <v>0.96</v>
      </c>
      <c r="F176" s="1272">
        <f>Assumptions!H109</f>
        <v>0.96</v>
      </c>
      <c r="G176" s="1272">
        <f>Assumptions!I109</f>
        <v>0.96</v>
      </c>
      <c r="H176" s="1272">
        <f>Assumptions!J109</f>
        <v>0.96</v>
      </c>
      <c r="I176" s="1272">
        <f>Assumptions!K109</f>
        <v>0.96</v>
      </c>
      <c r="K176" s="711"/>
      <c r="L176" s="711"/>
      <c r="M176" s="711"/>
      <c r="O176" s="711"/>
    </row>
    <row r="177" spans="2:15" x14ac:dyDescent="0.35">
      <c r="B177" s="725">
        <f>B176+1</f>
        <v>10</v>
      </c>
      <c r="C177" s="726" t="s">
        <v>1180</v>
      </c>
      <c r="E177" s="736">
        <f t="shared" ref="E177:H177" si="112">E175*E176/E174</f>
        <v>35.200000000000003</v>
      </c>
      <c r="F177" s="736">
        <f t="shared" si="112"/>
        <v>35.200000000000003</v>
      </c>
      <c r="G177" s="736">
        <f t="shared" si="112"/>
        <v>35.200000000000003</v>
      </c>
      <c r="H177" s="736">
        <f t="shared" si="112"/>
        <v>35.200000000000003</v>
      </c>
      <c r="I177" s="736">
        <f>I175*I176/I174</f>
        <v>35.200000000000003</v>
      </c>
      <c r="K177" s="711"/>
      <c r="L177" s="711"/>
      <c r="M177" s="711"/>
      <c r="O177" s="711"/>
    </row>
    <row r="178" spans="2:15" x14ac:dyDescent="0.35">
      <c r="B178" s="725">
        <f>B177+1</f>
        <v>11</v>
      </c>
      <c r="C178" s="726" t="s">
        <v>1181</v>
      </c>
      <c r="E178" s="1071">
        <f t="shared" ref="E178:H178" si="113">(E177*E168*E171/E170)*(85/E172)</f>
        <v>19.079480874825737</v>
      </c>
      <c r="F178" s="1071">
        <f t="shared" si="113"/>
        <v>17.290968910165098</v>
      </c>
      <c r="G178" s="1071">
        <f t="shared" si="113"/>
        <v>17.290968910165098</v>
      </c>
      <c r="H178" s="1071">
        <f t="shared" si="113"/>
        <v>17.290968910165098</v>
      </c>
      <c r="I178" s="1071">
        <f>(I177*I168*I171/I170)*(85/I172)</f>
        <v>17.290968910165098</v>
      </c>
      <c r="K178" s="711"/>
      <c r="L178" s="711"/>
      <c r="M178" s="711"/>
      <c r="O178" s="711"/>
    </row>
    <row r="179" spans="2:15" x14ac:dyDescent="0.35">
      <c r="B179" s="738"/>
      <c r="C179" s="738"/>
      <c r="E179" s="739"/>
      <c r="F179" s="728"/>
      <c r="G179" s="728"/>
      <c r="H179" s="728"/>
      <c r="I179" s="728"/>
      <c r="K179" s="711"/>
      <c r="L179" s="711"/>
      <c r="M179" s="711"/>
      <c r="O179" s="711"/>
    </row>
    <row r="180" spans="2:15" x14ac:dyDescent="0.35">
      <c r="B180" s="738"/>
      <c r="C180" s="738"/>
      <c r="E180" s="739"/>
      <c r="F180" s="728"/>
      <c r="G180" s="728"/>
      <c r="H180" s="728"/>
      <c r="I180" s="728"/>
      <c r="K180" s="711"/>
      <c r="L180" s="711"/>
      <c r="M180" s="711"/>
      <c r="O180" s="711"/>
    </row>
    <row r="181" spans="2:15" x14ac:dyDescent="0.35">
      <c r="B181" s="725" t="s">
        <v>406</v>
      </c>
      <c r="C181" s="726" t="s">
        <v>1182</v>
      </c>
      <c r="E181" s="727"/>
      <c r="F181" s="728"/>
      <c r="G181" s="728"/>
      <c r="H181" s="728"/>
      <c r="I181" s="728"/>
      <c r="K181" s="711"/>
      <c r="L181" s="711"/>
      <c r="M181" s="711"/>
      <c r="O181" s="711"/>
    </row>
    <row r="182" spans="2:15" x14ac:dyDescent="0.35">
      <c r="B182" s="725">
        <v>1</v>
      </c>
      <c r="C182" s="726" t="s">
        <v>1183</v>
      </c>
      <c r="E182" s="1360">
        <f>J23*0/365</f>
        <v>0</v>
      </c>
      <c r="F182" s="1360">
        <f>K23*0</f>
        <v>0</v>
      </c>
      <c r="G182" s="1360">
        <f>L23*0</f>
        <v>0</v>
      </c>
      <c r="H182" s="1360">
        <f>M23*0</f>
        <v>0</v>
      </c>
      <c r="I182" s="1360">
        <f>N23*0</f>
        <v>0</v>
      </c>
      <c r="K182" s="711"/>
      <c r="L182" s="711"/>
      <c r="M182" s="711"/>
      <c r="O182" s="711"/>
    </row>
    <row r="183" spans="2:15" x14ac:dyDescent="0.35">
      <c r="B183" s="725">
        <f>B182+1</f>
        <v>2</v>
      </c>
      <c r="C183" s="726" t="s">
        <v>1184</v>
      </c>
      <c r="E183" s="1361" t="s">
        <v>2836</v>
      </c>
      <c r="F183" s="1361" t="s">
        <v>2836</v>
      </c>
      <c r="G183" s="1361" t="s">
        <v>2836</v>
      </c>
      <c r="H183" s="1361" t="s">
        <v>2836</v>
      </c>
      <c r="I183" s="1361" t="s">
        <v>2836</v>
      </c>
      <c r="K183" s="711"/>
      <c r="L183" s="711"/>
      <c r="M183" s="711"/>
      <c r="O183" s="711"/>
    </row>
    <row r="184" spans="2:15" x14ac:dyDescent="0.35">
      <c r="B184" s="725">
        <f t="shared" ref="B184:B187" si="114">B183+1</f>
        <v>3</v>
      </c>
      <c r="C184" s="726" t="s">
        <v>1181</v>
      </c>
      <c r="E184" s="1362">
        <f>IF(E183="SBC",12*100%/E172,E178)</f>
        <v>19.079480874825737</v>
      </c>
      <c r="F184" s="1362">
        <f t="shared" ref="F184" si="115">IF(F183="SBC",12*100%/F172,F178)</f>
        <v>17.290968910165098</v>
      </c>
      <c r="G184" s="1362">
        <f t="shared" ref="G184" si="116">IF(G183="SBC",12*100%/G172,G178)</f>
        <v>17.290968910165098</v>
      </c>
      <c r="H184" s="1362">
        <f t="shared" ref="H184" si="117">IF(H183="SBC",12*100%/H172,H178)</f>
        <v>17.290968910165098</v>
      </c>
      <c r="I184" s="1362">
        <f t="shared" ref="I184" si="118">IF(I183="SBC",12*100%/I172,I178)</f>
        <v>17.290968910165098</v>
      </c>
      <c r="K184" s="711"/>
      <c r="L184" s="711"/>
      <c r="M184" s="711"/>
      <c r="O184" s="711"/>
    </row>
    <row r="185" spans="2:15" x14ac:dyDescent="0.35">
      <c r="B185" s="725">
        <f t="shared" si="114"/>
        <v>4</v>
      </c>
      <c r="C185" s="726" t="s">
        <v>1185</v>
      </c>
      <c r="E185" s="733">
        <f t="shared" ref="E185:F185" si="119">E182*E184</f>
        <v>0</v>
      </c>
      <c r="F185" s="733">
        <f t="shared" si="119"/>
        <v>0</v>
      </c>
      <c r="G185" s="733">
        <f t="shared" ref="G185" si="120">G182*G184</f>
        <v>0</v>
      </c>
      <c r="H185" s="733">
        <f t="shared" ref="H185" si="121">H182*H184</f>
        <v>0</v>
      </c>
      <c r="I185" s="733">
        <f t="shared" ref="I185" si="122">I182*I184</f>
        <v>0</v>
      </c>
      <c r="K185" s="711"/>
      <c r="L185" s="711"/>
      <c r="M185" s="711"/>
      <c r="O185" s="711"/>
    </row>
    <row r="186" spans="2:15" x14ac:dyDescent="0.35">
      <c r="B186" s="725">
        <f t="shared" si="114"/>
        <v>5</v>
      </c>
      <c r="C186" s="726" t="s">
        <v>1186</v>
      </c>
      <c r="E186" s="1361" t="str">
        <f>IF(E183="SBC","44895.46",Assumptions!H104)</f>
        <v>3228.75</v>
      </c>
      <c r="F186" s="1361" t="str">
        <f>IF(F183="SBC","44895.46",Assumptions!I104)</f>
        <v>3228.75</v>
      </c>
      <c r="G186" s="1361" t="str">
        <f>IF(G183="SBC","44895.46",Assumptions!J104)</f>
        <v>3228.75</v>
      </c>
      <c r="H186" s="1361" t="str">
        <f>IF(H183="SBC","44895.46",Assumptions!K104)</f>
        <v>3228.75</v>
      </c>
      <c r="I186" s="1361" t="str">
        <f>IF(I183="SBC","44895.46",Assumptions!L104)</f>
        <v>3228.75</v>
      </c>
      <c r="K186" s="711"/>
      <c r="L186" s="711"/>
      <c r="M186" s="711"/>
      <c r="O186" s="711"/>
    </row>
    <row r="187" spans="2:15" x14ac:dyDescent="0.35">
      <c r="B187" s="725">
        <f t="shared" si="114"/>
        <v>6</v>
      </c>
      <c r="C187" s="726" t="s">
        <v>1187</v>
      </c>
      <c r="D187" s="740"/>
      <c r="E187" s="737">
        <f t="shared" ref="E187:H187" si="123">E186*E185/10^7</f>
        <v>0</v>
      </c>
      <c r="F187" s="737">
        <f t="shared" si="123"/>
        <v>0</v>
      </c>
      <c r="G187" s="737">
        <f t="shared" si="123"/>
        <v>0</v>
      </c>
      <c r="H187" s="737">
        <f t="shared" si="123"/>
        <v>0</v>
      </c>
      <c r="I187" s="737">
        <f>I186*I185/10^7</f>
        <v>0</v>
      </c>
      <c r="K187" s="711"/>
      <c r="L187" s="711"/>
      <c r="M187" s="711"/>
      <c r="O187" s="711"/>
    </row>
    <row r="188" spans="2:15" x14ac:dyDescent="0.35">
      <c r="B188" s="738"/>
      <c r="C188" s="738"/>
      <c r="E188" s="735"/>
      <c r="F188" s="728"/>
      <c r="G188" s="728"/>
      <c r="H188" s="728"/>
      <c r="I188" s="728"/>
      <c r="K188" s="711"/>
      <c r="L188" s="711"/>
      <c r="M188" s="711"/>
      <c r="O188" s="711"/>
    </row>
    <row r="189" spans="2:15" x14ac:dyDescent="0.35">
      <c r="B189" s="738"/>
      <c r="C189" s="738"/>
      <c r="E189" s="735"/>
      <c r="F189" s="728"/>
      <c r="G189" s="728"/>
      <c r="H189" s="728"/>
      <c r="I189" s="728"/>
      <c r="K189" s="711"/>
      <c r="L189" s="711"/>
      <c r="M189" s="711"/>
      <c r="O189" s="711"/>
    </row>
    <row r="190" spans="2:15" x14ac:dyDescent="0.35">
      <c r="B190" s="725" t="s">
        <v>406</v>
      </c>
      <c r="C190" s="725" t="s">
        <v>1188</v>
      </c>
      <c r="E190" s="727"/>
      <c r="F190" s="728"/>
      <c r="G190" s="728"/>
      <c r="H190" s="728"/>
      <c r="I190" s="728"/>
      <c r="K190" s="711"/>
      <c r="L190" s="711"/>
      <c r="M190" s="711"/>
      <c r="O190" s="711"/>
    </row>
    <row r="191" spans="2:15" x14ac:dyDescent="0.35">
      <c r="B191" s="725">
        <v>1</v>
      </c>
      <c r="C191" s="725" t="s">
        <v>1183</v>
      </c>
      <c r="E191" s="733">
        <f>J23*0/365</f>
        <v>0</v>
      </c>
      <c r="F191" s="733">
        <f>K23/2</f>
        <v>2457.1800000000003</v>
      </c>
      <c r="G191" s="733">
        <f>L23</f>
        <v>4927.8239999999996</v>
      </c>
      <c r="H191" s="733">
        <f>M23</f>
        <v>4914.3600000000006</v>
      </c>
      <c r="I191" s="733">
        <f>N23</f>
        <v>4914.3600000000006</v>
      </c>
      <c r="K191" s="711"/>
      <c r="L191" s="711"/>
      <c r="M191" s="711"/>
      <c r="O191" s="711"/>
    </row>
    <row r="192" spans="2:15" x14ac:dyDescent="0.35">
      <c r="B192" s="725">
        <f>B191+1</f>
        <v>2</v>
      </c>
      <c r="C192" s="725" t="s">
        <v>1184</v>
      </c>
      <c r="E192" s="1363" t="str">
        <f>Assumptions!G114</f>
        <v>Ammonia</v>
      </c>
      <c r="F192" s="1363" t="str">
        <f>Assumptions!H114</f>
        <v>Ammonia</v>
      </c>
      <c r="G192" s="1363" t="str">
        <f>Assumptions!I114</f>
        <v>Ammonia</v>
      </c>
      <c r="H192" s="1363" t="str">
        <f>Assumptions!J114</f>
        <v>Ammonia</v>
      </c>
      <c r="I192" s="1363" t="str">
        <f>Assumptions!K114</f>
        <v>Ammonia</v>
      </c>
      <c r="K192" s="711"/>
      <c r="L192" s="711"/>
      <c r="M192" s="711"/>
      <c r="O192" s="711"/>
    </row>
    <row r="193" spans="2:28" x14ac:dyDescent="0.35">
      <c r="B193" s="725">
        <f t="shared" ref="B193:B196" si="124">B192+1</f>
        <v>3</v>
      </c>
      <c r="C193" s="725" t="s">
        <v>1189</v>
      </c>
      <c r="E193" s="1363">
        <f>Assumptions!G115</f>
        <v>0.6</v>
      </c>
      <c r="F193" s="1363">
        <f>Assumptions!H115</f>
        <v>0.6</v>
      </c>
      <c r="G193" s="1363">
        <f>Assumptions!I115</f>
        <v>0.6</v>
      </c>
      <c r="H193" s="1363">
        <f>Assumptions!J115</f>
        <v>0.6</v>
      </c>
      <c r="I193" s="1363">
        <f>Assumptions!K115</f>
        <v>0.6</v>
      </c>
      <c r="K193" s="711"/>
      <c r="L193" s="711"/>
      <c r="M193" s="711"/>
      <c r="O193" s="711"/>
    </row>
    <row r="194" spans="2:28" x14ac:dyDescent="0.35">
      <c r="B194" s="725">
        <f t="shared" si="124"/>
        <v>4</v>
      </c>
      <c r="C194" s="725" t="s">
        <v>1190</v>
      </c>
      <c r="E194" s="733">
        <f t="shared" ref="E194:F194" si="125">E191*E193</f>
        <v>0</v>
      </c>
      <c r="F194" s="733">
        <f t="shared" si="125"/>
        <v>1474.3080000000002</v>
      </c>
      <c r="G194" s="733">
        <f t="shared" ref="G194" si="126">G191*G193</f>
        <v>2956.6943999999999</v>
      </c>
      <c r="H194" s="733">
        <f t="shared" ref="H194" si="127">H191*H193</f>
        <v>2948.6160000000004</v>
      </c>
      <c r="I194" s="733">
        <f t="shared" ref="I194" si="128">I191*I193</f>
        <v>2948.6160000000004</v>
      </c>
      <c r="K194" s="711"/>
      <c r="L194" s="711"/>
      <c r="M194" s="711"/>
      <c r="O194" s="711"/>
    </row>
    <row r="195" spans="2:28" x14ac:dyDescent="0.35">
      <c r="B195" s="725">
        <f t="shared" si="124"/>
        <v>5</v>
      </c>
      <c r="C195" s="725" t="s">
        <v>1191</v>
      </c>
      <c r="E195" s="735">
        <f>Assumptions!G111</f>
        <v>116.82</v>
      </c>
      <c r="F195" s="735">
        <f>Assumptions!H111</f>
        <v>116.82</v>
      </c>
      <c r="G195" s="735">
        <f>Assumptions!I111</f>
        <v>116.82</v>
      </c>
      <c r="H195" s="735">
        <f>Assumptions!J111</f>
        <v>116.82</v>
      </c>
      <c r="I195" s="735">
        <f>Assumptions!K111</f>
        <v>116.82</v>
      </c>
      <c r="K195" s="711"/>
      <c r="L195" s="711"/>
      <c r="M195" s="711"/>
      <c r="O195" s="711"/>
    </row>
    <row r="196" spans="2:28" x14ac:dyDescent="0.35">
      <c r="B196" s="725">
        <f t="shared" si="124"/>
        <v>6</v>
      </c>
      <c r="C196" s="725" t="s">
        <v>1192</v>
      </c>
      <c r="E196" s="733">
        <f t="shared" ref="E196:H196" si="129">E195*E194/10^7</f>
        <v>0</v>
      </c>
      <c r="F196" s="733">
        <f t="shared" si="129"/>
        <v>1.7222866056000003E-2</v>
      </c>
      <c r="G196" s="733">
        <f t="shared" si="129"/>
        <v>3.4540103980799999E-2</v>
      </c>
      <c r="H196" s="733">
        <f t="shared" si="129"/>
        <v>3.4445732112000006E-2</v>
      </c>
      <c r="I196" s="733">
        <f>I195*I194/10^7</f>
        <v>3.4445732112000006E-2</v>
      </c>
      <c r="K196" s="711"/>
      <c r="L196" s="711"/>
      <c r="M196" s="711"/>
      <c r="O196" s="711"/>
    </row>
    <row r="197" spans="2:28" x14ac:dyDescent="0.35">
      <c r="C197" s="720"/>
      <c r="E197" s="1364"/>
      <c r="F197" s="728"/>
      <c r="G197" s="728"/>
      <c r="H197" s="728"/>
      <c r="I197" s="728"/>
      <c r="K197" s="711"/>
      <c r="L197" s="711"/>
      <c r="M197" s="711"/>
      <c r="O197" s="711"/>
    </row>
    <row r="198" spans="2:28" ht="16" thickBot="1" x14ac:dyDescent="0.4">
      <c r="B198" s="271"/>
      <c r="C198" s="263" t="s">
        <v>1193</v>
      </c>
      <c r="D198" s="741"/>
      <c r="E198" s="1013">
        <f>IFERROR((E187+E196),0)</f>
        <v>0</v>
      </c>
      <c r="F198" s="1013">
        <f t="shared" ref="F198:H198" si="130">IFERROR((F187+F196),0)</f>
        <v>1.7222866056000003E-2</v>
      </c>
      <c r="G198" s="1013">
        <f t="shared" si="130"/>
        <v>3.4540103980799999E-2</v>
      </c>
      <c r="H198" s="1013">
        <f t="shared" si="130"/>
        <v>3.4445732112000006E-2</v>
      </c>
      <c r="I198" s="1013">
        <f>IFERROR((I187+I196),0)</f>
        <v>3.4445732112000006E-2</v>
      </c>
      <c r="K198" s="711"/>
      <c r="L198" s="711"/>
      <c r="M198" s="711"/>
      <c r="O198" s="711"/>
    </row>
    <row r="199" spans="2:28" x14ac:dyDescent="0.35">
      <c r="C199" s="720"/>
      <c r="N199" s="720"/>
      <c r="O199" s="720"/>
      <c r="P199" s="720"/>
      <c r="Q199" s="720"/>
      <c r="R199" s="720"/>
      <c r="S199" s="720"/>
      <c r="T199" s="720"/>
      <c r="U199" s="720"/>
      <c r="V199" s="720"/>
      <c r="W199" s="720"/>
      <c r="X199" s="720"/>
      <c r="Y199" s="720"/>
      <c r="Z199" s="720"/>
      <c r="AA199" s="720"/>
      <c r="AB199" s="720"/>
    </row>
  </sheetData>
  <mergeCells count="15">
    <mergeCell ref="O2:Y2"/>
    <mergeCell ref="O3:Y3"/>
    <mergeCell ref="O4:Y4"/>
    <mergeCell ref="B6:B8"/>
    <mergeCell ref="C6:C8"/>
    <mergeCell ref="D6:D8"/>
    <mergeCell ref="O6:O8"/>
    <mergeCell ref="B2:M2"/>
    <mergeCell ref="B3:M3"/>
    <mergeCell ref="E6:H6"/>
    <mergeCell ref="B4:M4"/>
    <mergeCell ref="K6:N6"/>
    <mergeCell ref="I6:J6"/>
    <mergeCell ref="I7:I8"/>
    <mergeCell ref="J7:J8"/>
  </mergeCells>
  <phoneticPr fontId="28" type="noConversion"/>
  <printOptions horizontalCentered="1" verticalCentered="1"/>
  <pageMargins left="0.19685039370078741" right="0.11811023622047245" top="3.937007874015748E-2" bottom="0" header="0.51181102362204722" footer="0.34"/>
  <pageSetup paperSize="9" scale="48" fitToHeight="0" orientation="landscape" r:id="rId1"/>
  <headerFooter alignWithMargins="0"/>
  <rowBreaks count="2" manualBreakCount="2">
    <brk id="64" max="23" man="1"/>
    <brk id="125" max="16383" man="1"/>
  </rowBreaks>
  <colBreaks count="1" manualBreakCount="1">
    <brk id="14"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2"/>
  <sheetViews>
    <sheetView zoomScale="79" workbookViewId="0">
      <selection activeCell="N11" sqref="N11:N12"/>
    </sheetView>
  </sheetViews>
  <sheetFormatPr defaultColWidth="9.1796875" defaultRowHeight="14.5" x14ac:dyDescent="0.35"/>
  <cols>
    <col min="1" max="1" width="12.453125" style="860" bestFit="1" customWidth="1"/>
    <col min="2" max="9" width="9.1796875" style="860"/>
    <col min="10" max="10" width="42" style="860" customWidth="1"/>
    <col min="11" max="11" width="8" style="860" customWidth="1"/>
    <col min="12" max="12" width="11.453125" style="860" bestFit="1" customWidth="1"/>
    <col min="13" max="15" width="11.81640625" style="860" bestFit="1" customWidth="1"/>
    <col min="16" max="17" width="12.81640625" style="860" customWidth="1"/>
    <col min="18" max="256" width="9.1796875" style="860"/>
    <col min="257" max="257" width="12.453125" style="860" bestFit="1" customWidth="1"/>
    <col min="258" max="265" width="9.1796875" style="860"/>
    <col min="266" max="266" width="42" style="860" customWidth="1"/>
    <col min="267" max="267" width="8" style="860" customWidth="1"/>
    <col min="268" max="268" width="11.453125" style="860" bestFit="1" customWidth="1"/>
    <col min="269" max="271" width="11.81640625" style="860" bestFit="1" customWidth="1"/>
    <col min="272" max="273" width="12.81640625" style="860" customWidth="1"/>
    <col min="274" max="512" width="9.1796875" style="860"/>
    <col min="513" max="513" width="12.453125" style="860" bestFit="1" customWidth="1"/>
    <col min="514" max="521" width="9.1796875" style="860"/>
    <col min="522" max="522" width="42" style="860" customWidth="1"/>
    <col min="523" max="523" width="8" style="860" customWidth="1"/>
    <col min="524" max="524" width="11.453125" style="860" bestFit="1" customWidth="1"/>
    <col min="525" max="527" width="11.81640625" style="860" bestFit="1" customWidth="1"/>
    <col min="528" max="529" width="12.81640625" style="860" customWidth="1"/>
    <col min="530" max="768" width="9.1796875" style="860"/>
    <col min="769" max="769" width="12.453125" style="860" bestFit="1" customWidth="1"/>
    <col min="770" max="777" width="9.1796875" style="860"/>
    <col min="778" max="778" width="42" style="860" customWidth="1"/>
    <col min="779" max="779" width="8" style="860" customWidth="1"/>
    <col min="780" max="780" width="11.453125" style="860" bestFit="1" customWidth="1"/>
    <col min="781" max="783" width="11.81640625" style="860" bestFit="1" customWidth="1"/>
    <col min="784" max="785" width="12.81640625" style="860" customWidth="1"/>
    <col min="786" max="1024" width="9.1796875" style="860"/>
    <col min="1025" max="1025" width="12.453125" style="860" bestFit="1" customWidth="1"/>
    <col min="1026" max="1033" width="9.1796875" style="860"/>
    <col min="1034" max="1034" width="42" style="860" customWidth="1"/>
    <col min="1035" max="1035" width="8" style="860" customWidth="1"/>
    <col min="1036" max="1036" width="11.453125" style="860" bestFit="1" customWidth="1"/>
    <col min="1037" max="1039" width="11.81640625" style="860" bestFit="1" customWidth="1"/>
    <col min="1040" max="1041" width="12.81640625" style="860" customWidth="1"/>
    <col min="1042" max="1280" width="9.1796875" style="860"/>
    <col min="1281" max="1281" width="12.453125" style="860" bestFit="1" customWidth="1"/>
    <col min="1282" max="1289" width="9.1796875" style="860"/>
    <col min="1290" max="1290" width="42" style="860" customWidth="1"/>
    <col min="1291" max="1291" width="8" style="860" customWidth="1"/>
    <col min="1292" max="1292" width="11.453125" style="860" bestFit="1" customWidth="1"/>
    <col min="1293" max="1295" width="11.81640625" style="860" bestFit="1" customWidth="1"/>
    <col min="1296" max="1297" width="12.81640625" style="860" customWidth="1"/>
    <col min="1298" max="1536" width="9.1796875" style="860"/>
    <col min="1537" max="1537" width="12.453125" style="860" bestFit="1" customWidth="1"/>
    <col min="1538" max="1545" width="9.1796875" style="860"/>
    <col min="1546" max="1546" width="42" style="860" customWidth="1"/>
    <col min="1547" max="1547" width="8" style="860" customWidth="1"/>
    <col min="1548" max="1548" width="11.453125" style="860" bestFit="1" customWidth="1"/>
    <col min="1549" max="1551" width="11.81640625" style="860" bestFit="1" customWidth="1"/>
    <col min="1552" max="1553" width="12.81640625" style="860" customWidth="1"/>
    <col min="1554" max="1792" width="9.1796875" style="860"/>
    <col min="1793" max="1793" width="12.453125" style="860" bestFit="1" customWidth="1"/>
    <col min="1794" max="1801" width="9.1796875" style="860"/>
    <col min="1802" max="1802" width="42" style="860" customWidth="1"/>
    <col min="1803" max="1803" width="8" style="860" customWidth="1"/>
    <col min="1804" max="1804" width="11.453125" style="860" bestFit="1" customWidth="1"/>
    <col min="1805" max="1807" width="11.81640625" style="860" bestFit="1" customWidth="1"/>
    <col min="1808" max="1809" width="12.81640625" style="860" customWidth="1"/>
    <col min="1810" max="2048" width="9.1796875" style="860"/>
    <col min="2049" max="2049" width="12.453125" style="860" bestFit="1" customWidth="1"/>
    <col min="2050" max="2057" width="9.1796875" style="860"/>
    <col min="2058" max="2058" width="42" style="860" customWidth="1"/>
    <col min="2059" max="2059" width="8" style="860" customWidth="1"/>
    <col min="2060" max="2060" width="11.453125" style="860" bestFit="1" customWidth="1"/>
    <col min="2061" max="2063" width="11.81640625" style="860" bestFit="1" customWidth="1"/>
    <col min="2064" max="2065" width="12.81640625" style="860" customWidth="1"/>
    <col min="2066" max="2304" width="9.1796875" style="860"/>
    <col min="2305" max="2305" width="12.453125" style="860" bestFit="1" customWidth="1"/>
    <col min="2306" max="2313" width="9.1796875" style="860"/>
    <col min="2314" max="2314" width="42" style="860" customWidth="1"/>
    <col min="2315" max="2315" width="8" style="860" customWidth="1"/>
    <col min="2316" max="2316" width="11.453125" style="860" bestFit="1" customWidth="1"/>
    <col min="2317" max="2319" width="11.81640625" style="860" bestFit="1" customWidth="1"/>
    <col min="2320" max="2321" width="12.81640625" style="860" customWidth="1"/>
    <col min="2322" max="2560" width="9.1796875" style="860"/>
    <col min="2561" max="2561" width="12.453125" style="860" bestFit="1" customWidth="1"/>
    <col min="2562" max="2569" width="9.1796875" style="860"/>
    <col min="2570" max="2570" width="42" style="860" customWidth="1"/>
    <col min="2571" max="2571" width="8" style="860" customWidth="1"/>
    <col min="2572" max="2572" width="11.453125" style="860" bestFit="1" customWidth="1"/>
    <col min="2573" max="2575" width="11.81640625" style="860" bestFit="1" customWidth="1"/>
    <col min="2576" max="2577" width="12.81640625" style="860" customWidth="1"/>
    <col min="2578" max="2816" width="9.1796875" style="860"/>
    <col min="2817" max="2817" width="12.453125" style="860" bestFit="1" customWidth="1"/>
    <col min="2818" max="2825" width="9.1796875" style="860"/>
    <col min="2826" max="2826" width="42" style="860" customWidth="1"/>
    <col min="2827" max="2827" width="8" style="860" customWidth="1"/>
    <col min="2828" max="2828" width="11.453125" style="860" bestFit="1" customWidth="1"/>
    <col min="2829" max="2831" width="11.81640625" style="860" bestFit="1" customWidth="1"/>
    <col min="2832" max="2833" width="12.81640625" style="860" customWidth="1"/>
    <col min="2834" max="3072" width="9.1796875" style="860"/>
    <col min="3073" max="3073" width="12.453125" style="860" bestFit="1" customWidth="1"/>
    <col min="3074" max="3081" width="9.1796875" style="860"/>
    <col min="3082" max="3082" width="42" style="860" customWidth="1"/>
    <col min="3083" max="3083" width="8" style="860" customWidth="1"/>
    <col min="3084" max="3084" width="11.453125" style="860" bestFit="1" customWidth="1"/>
    <col min="3085" max="3087" width="11.81640625" style="860" bestFit="1" customWidth="1"/>
    <col min="3088" max="3089" width="12.81640625" style="860" customWidth="1"/>
    <col min="3090" max="3328" width="9.1796875" style="860"/>
    <col min="3329" max="3329" width="12.453125" style="860" bestFit="1" customWidth="1"/>
    <col min="3330" max="3337" width="9.1796875" style="860"/>
    <col min="3338" max="3338" width="42" style="860" customWidth="1"/>
    <col min="3339" max="3339" width="8" style="860" customWidth="1"/>
    <col min="3340" max="3340" width="11.453125" style="860" bestFit="1" customWidth="1"/>
    <col min="3341" max="3343" width="11.81640625" style="860" bestFit="1" customWidth="1"/>
    <col min="3344" max="3345" width="12.81640625" style="860" customWidth="1"/>
    <col min="3346" max="3584" width="9.1796875" style="860"/>
    <col min="3585" max="3585" width="12.453125" style="860" bestFit="1" customWidth="1"/>
    <col min="3586" max="3593" width="9.1796875" style="860"/>
    <col min="3594" max="3594" width="42" style="860" customWidth="1"/>
    <col min="3595" max="3595" width="8" style="860" customWidth="1"/>
    <col min="3596" max="3596" width="11.453125" style="860" bestFit="1" customWidth="1"/>
    <col min="3597" max="3599" width="11.81640625" style="860" bestFit="1" customWidth="1"/>
    <col min="3600" max="3601" width="12.81640625" style="860" customWidth="1"/>
    <col min="3602" max="3840" width="9.1796875" style="860"/>
    <col min="3841" max="3841" width="12.453125" style="860" bestFit="1" customWidth="1"/>
    <col min="3842" max="3849" width="9.1796875" style="860"/>
    <col min="3850" max="3850" width="42" style="860" customWidth="1"/>
    <col min="3851" max="3851" width="8" style="860" customWidth="1"/>
    <col min="3852" max="3852" width="11.453125" style="860" bestFit="1" customWidth="1"/>
    <col min="3853" max="3855" width="11.81640625" style="860" bestFit="1" customWidth="1"/>
    <col min="3856" max="3857" width="12.81640625" style="860" customWidth="1"/>
    <col min="3858" max="4096" width="9.1796875" style="860"/>
    <col min="4097" max="4097" width="12.453125" style="860" bestFit="1" customWidth="1"/>
    <col min="4098" max="4105" width="9.1796875" style="860"/>
    <col min="4106" max="4106" width="42" style="860" customWidth="1"/>
    <col min="4107" max="4107" width="8" style="860" customWidth="1"/>
    <col min="4108" max="4108" width="11.453125" style="860" bestFit="1" customWidth="1"/>
    <col min="4109" max="4111" width="11.81640625" style="860" bestFit="1" customWidth="1"/>
    <col min="4112" max="4113" width="12.81640625" style="860" customWidth="1"/>
    <col min="4114" max="4352" width="9.1796875" style="860"/>
    <col min="4353" max="4353" width="12.453125" style="860" bestFit="1" customWidth="1"/>
    <col min="4354" max="4361" width="9.1796875" style="860"/>
    <col min="4362" max="4362" width="42" style="860" customWidth="1"/>
    <col min="4363" max="4363" width="8" style="860" customWidth="1"/>
    <col min="4364" max="4364" width="11.453125" style="860" bestFit="1" customWidth="1"/>
    <col min="4365" max="4367" width="11.81640625" style="860" bestFit="1" customWidth="1"/>
    <col min="4368" max="4369" width="12.81640625" style="860" customWidth="1"/>
    <col min="4370" max="4608" width="9.1796875" style="860"/>
    <col min="4609" max="4609" width="12.453125" style="860" bestFit="1" customWidth="1"/>
    <col min="4610" max="4617" width="9.1796875" style="860"/>
    <col min="4618" max="4618" width="42" style="860" customWidth="1"/>
    <col min="4619" max="4619" width="8" style="860" customWidth="1"/>
    <col min="4620" max="4620" width="11.453125" style="860" bestFit="1" customWidth="1"/>
    <col min="4621" max="4623" width="11.81640625" style="860" bestFit="1" customWidth="1"/>
    <col min="4624" max="4625" width="12.81640625" style="860" customWidth="1"/>
    <col min="4626" max="4864" width="9.1796875" style="860"/>
    <col min="4865" max="4865" width="12.453125" style="860" bestFit="1" customWidth="1"/>
    <col min="4866" max="4873" width="9.1796875" style="860"/>
    <col min="4874" max="4874" width="42" style="860" customWidth="1"/>
    <col min="4875" max="4875" width="8" style="860" customWidth="1"/>
    <col min="4876" max="4876" width="11.453125" style="860" bestFit="1" customWidth="1"/>
    <col min="4877" max="4879" width="11.81640625" style="860" bestFit="1" customWidth="1"/>
    <col min="4880" max="4881" width="12.81640625" style="860" customWidth="1"/>
    <col min="4882" max="5120" width="9.1796875" style="860"/>
    <col min="5121" max="5121" width="12.453125" style="860" bestFit="1" customWidth="1"/>
    <col min="5122" max="5129" width="9.1796875" style="860"/>
    <col min="5130" max="5130" width="42" style="860" customWidth="1"/>
    <col min="5131" max="5131" width="8" style="860" customWidth="1"/>
    <col min="5132" max="5132" width="11.453125" style="860" bestFit="1" customWidth="1"/>
    <col min="5133" max="5135" width="11.81640625" style="860" bestFit="1" customWidth="1"/>
    <col min="5136" max="5137" width="12.81640625" style="860" customWidth="1"/>
    <col min="5138" max="5376" width="9.1796875" style="860"/>
    <col min="5377" max="5377" width="12.453125" style="860" bestFit="1" customWidth="1"/>
    <col min="5378" max="5385" width="9.1796875" style="860"/>
    <col min="5386" max="5386" width="42" style="860" customWidth="1"/>
    <col min="5387" max="5387" width="8" style="860" customWidth="1"/>
    <col min="5388" max="5388" width="11.453125" style="860" bestFit="1" customWidth="1"/>
    <col min="5389" max="5391" width="11.81640625" style="860" bestFit="1" customWidth="1"/>
    <col min="5392" max="5393" width="12.81640625" style="860" customWidth="1"/>
    <col min="5394" max="5632" width="9.1796875" style="860"/>
    <col min="5633" max="5633" width="12.453125" style="860" bestFit="1" customWidth="1"/>
    <col min="5634" max="5641" width="9.1796875" style="860"/>
    <col min="5642" max="5642" width="42" style="860" customWidth="1"/>
    <col min="5643" max="5643" width="8" style="860" customWidth="1"/>
    <col min="5644" max="5644" width="11.453125" style="860" bestFit="1" customWidth="1"/>
    <col min="5645" max="5647" width="11.81640625" style="860" bestFit="1" customWidth="1"/>
    <col min="5648" max="5649" width="12.81640625" style="860" customWidth="1"/>
    <col min="5650" max="5888" width="9.1796875" style="860"/>
    <col min="5889" max="5889" width="12.453125" style="860" bestFit="1" customWidth="1"/>
    <col min="5890" max="5897" width="9.1796875" style="860"/>
    <col min="5898" max="5898" width="42" style="860" customWidth="1"/>
    <col min="5899" max="5899" width="8" style="860" customWidth="1"/>
    <col min="5900" max="5900" width="11.453125" style="860" bestFit="1" customWidth="1"/>
    <col min="5901" max="5903" width="11.81640625" style="860" bestFit="1" customWidth="1"/>
    <col min="5904" max="5905" width="12.81640625" style="860" customWidth="1"/>
    <col min="5906" max="6144" width="9.1796875" style="860"/>
    <col min="6145" max="6145" width="12.453125" style="860" bestFit="1" customWidth="1"/>
    <col min="6146" max="6153" width="9.1796875" style="860"/>
    <col min="6154" max="6154" width="42" style="860" customWidth="1"/>
    <col min="6155" max="6155" width="8" style="860" customWidth="1"/>
    <col min="6156" max="6156" width="11.453125" style="860" bestFit="1" customWidth="1"/>
    <col min="6157" max="6159" width="11.81640625" style="860" bestFit="1" customWidth="1"/>
    <col min="6160" max="6161" width="12.81640625" style="860" customWidth="1"/>
    <col min="6162" max="6400" width="9.1796875" style="860"/>
    <col min="6401" max="6401" width="12.453125" style="860" bestFit="1" customWidth="1"/>
    <col min="6402" max="6409" width="9.1796875" style="860"/>
    <col min="6410" max="6410" width="42" style="860" customWidth="1"/>
    <col min="6411" max="6411" width="8" style="860" customWidth="1"/>
    <col min="6412" max="6412" width="11.453125" style="860" bestFit="1" customWidth="1"/>
    <col min="6413" max="6415" width="11.81640625" style="860" bestFit="1" customWidth="1"/>
    <col min="6416" max="6417" width="12.81640625" style="860" customWidth="1"/>
    <col min="6418" max="6656" width="9.1796875" style="860"/>
    <col min="6657" max="6657" width="12.453125" style="860" bestFit="1" customWidth="1"/>
    <col min="6658" max="6665" width="9.1796875" style="860"/>
    <col min="6666" max="6666" width="42" style="860" customWidth="1"/>
    <col min="6667" max="6667" width="8" style="860" customWidth="1"/>
    <col min="6668" max="6668" width="11.453125" style="860" bestFit="1" customWidth="1"/>
    <col min="6669" max="6671" width="11.81640625" style="860" bestFit="1" customWidth="1"/>
    <col min="6672" max="6673" width="12.81640625" style="860" customWidth="1"/>
    <col min="6674" max="6912" width="9.1796875" style="860"/>
    <col min="6913" max="6913" width="12.453125" style="860" bestFit="1" customWidth="1"/>
    <col min="6914" max="6921" width="9.1796875" style="860"/>
    <col min="6922" max="6922" width="42" style="860" customWidth="1"/>
    <col min="6923" max="6923" width="8" style="860" customWidth="1"/>
    <col min="6924" max="6924" width="11.453125" style="860" bestFit="1" customWidth="1"/>
    <col min="6925" max="6927" width="11.81640625" style="860" bestFit="1" customWidth="1"/>
    <col min="6928" max="6929" width="12.81640625" style="860" customWidth="1"/>
    <col min="6930" max="7168" width="9.1796875" style="860"/>
    <col min="7169" max="7169" width="12.453125" style="860" bestFit="1" customWidth="1"/>
    <col min="7170" max="7177" width="9.1796875" style="860"/>
    <col min="7178" max="7178" width="42" style="860" customWidth="1"/>
    <col min="7179" max="7179" width="8" style="860" customWidth="1"/>
    <col min="7180" max="7180" width="11.453125" style="860" bestFit="1" customWidth="1"/>
    <col min="7181" max="7183" width="11.81640625" style="860" bestFit="1" customWidth="1"/>
    <col min="7184" max="7185" width="12.81640625" style="860" customWidth="1"/>
    <col min="7186" max="7424" width="9.1796875" style="860"/>
    <col min="7425" max="7425" width="12.453125" style="860" bestFit="1" customWidth="1"/>
    <col min="7426" max="7433" width="9.1796875" style="860"/>
    <col min="7434" max="7434" width="42" style="860" customWidth="1"/>
    <col min="7435" max="7435" width="8" style="860" customWidth="1"/>
    <col min="7436" max="7436" width="11.453125" style="860" bestFit="1" customWidth="1"/>
    <col min="7437" max="7439" width="11.81640625" style="860" bestFit="1" customWidth="1"/>
    <col min="7440" max="7441" width="12.81640625" style="860" customWidth="1"/>
    <col min="7442" max="7680" width="9.1796875" style="860"/>
    <col min="7681" max="7681" width="12.453125" style="860" bestFit="1" customWidth="1"/>
    <col min="7682" max="7689" width="9.1796875" style="860"/>
    <col min="7690" max="7690" width="42" style="860" customWidth="1"/>
    <col min="7691" max="7691" width="8" style="860" customWidth="1"/>
    <col min="7692" max="7692" width="11.453125" style="860" bestFit="1" customWidth="1"/>
    <col min="7693" max="7695" width="11.81640625" style="860" bestFit="1" customWidth="1"/>
    <col min="7696" max="7697" width="12.81640625" style="860" customWidth="1"/>
    <col min="7698" max="7936" width="9.1796875" style="860"/>
    <col min="7937" max="7937" width="12.453125" style="860" bestFit="1" customWidth="1"/>
    <col min="7938" max="7945" width="9.1796875" style="860"/>
    <col min="7946" max="7946" width="42" style="860" customWidth="1"/>
    <col min="7947" max="7947" width="8" style="860" customWidth="1"/>
    <col min="7948" max="7948" width="11.453125" style="860" bestFit="1" customWidth="1"/>
    <col min="7949" max="7951" width="11.81640625" style="860" bestFit="1" customWidth="1"/>
    <col min="7952" max="7953" width="12.81640625" style="860" customWidth="1"/>
    <col min="7954" max="8192" width="9.1796875" style="860"/>
    <col min="8193" max="8193" width="12.453125" style="860" bestFit="1" customWidth="1"/>
    <col min="8194" max="8201" width="9.1796875" style="860"/>
    <col min="8202" max="8202" width="42" style="860" customWidth="1"/>
    <col min="8203" max="8203" width="8" style="860" customWidth="1"/>
    <col min="8204" max="8204" width="11.453125" style="860" bestFit="1" customWidth="1"/>
    <col min="8205" max="8207" width="11.81640625" style="860" bestFit="1" customWidth="1"/>
    <col min="8208" max="8209" width="12.81640625" style="860" customWidth="1"/>
    <col min="8210" max="8448" width="9.1796875" style="860"/>
    <col min="8449" max="8449" width="12.453125" style="860" bestFit="1" customWidth="1"/>
    <col min="8450" max="8457" width="9.1796875" style="860"/>
    <col min="8458" max="8458" width="42" style="860" customWidth="1"/>
    <col min="8459" max="8459" width="8" style="860" customWidth="1"/>
    <col min="8460" max="8460" width="11.453125" style="860" bestFit="1" customWidth="1"/>
    <col min="8461" max="8463" width="11.81640625" style="860" bestFit="1" customWidth="1"/>
    <col min="8464" max="8465" width="12.81640625" style="860" customWidth="1"/>
    <col min="8466" max="8704" width="9.1796875" style="860"/>
    <col min="8705" max="8705" width="12.453125" style="860" bestFit="1" customWidth="1"/>
    <col min="8706" max="8713" width="9.1796875" style="860"/>
    <col min="8714" max="8714" width="42" style="860" customWidth="1"/>
    <col min="8715" max="8715" width="8" style="860" customWidth="1"/>
    <col min="8716" max="8716" width="11.453125" style="860" bestFit="1" customWidth="1"/>
    <col min="8717" max="8719" width="11.81640625" style="860" bestFit="1" customWidth="1"/>
    <col min="8720" max="8721" width="12.81640625" style="860" customWidth="1"/>
    <col min="8722" max="8960" width="9.1796875" style="860"/>
    <col min="8961" max="8961" width="12.453125" style="860" bestFit="1" customWidth="1"/>
    <col min="8962" max="8969" width="9.1796875" style="860"/>
    <col min="8970" max="8970" width="42" style="860" customWidth="1"/>
    <col min="8971" max="8971" width="8" style="860" customWidth="1"/>
    <col min="8972" max="8972" width="11.453125" style="860" bestFit="1" customWidth="1"/>
    <col min="8973" max="8975" width="11.81640625" style="860" bestFit="1" customWidth="1"/>
    <col min="8976" max="8977" width="12.81640625" style="860" customWidth="1"/>
    <col min="8978" max="9216" width="9.1796875" style="860"/>
    <col min="9217" max="9217" width="12.453125" style="860" bestFit="1" customWidth="1"/>
    <col min="9218" max="9225" width="9.1796875" style="860"/>
    <col min="9226" max="9226" width="42" style="860" customWidth="1"/>
    <col min="9227" max="9227" width="8" style="860" customWidth="1"/>
    <col min="9228" max="9228" width="11.453125" style="860" bestFit="1" customWidth="1"/>
    <col min="9229" max="9231" width="11.81640625" style="860" bestFit="1" customWidth="1"/>
    <col min="9232" max="9233" width="12.81640625" style="860" customWidth="1"/>
    <col min="9234" max="9472" width="9.1796875" style="860"/>
    <col min="9473" max="9473" width="12.453125" style="860" bestFit="1" customWidth="1"/>
    <col min="9474" max="9481" width="9.1796875" style="860"/>
    <col min="9482" max="9482" width="42" style="860" customWidth="1"/>
    <col min="9483" max="9483" width="8" style="860" customWidth="1"/>
    <col min="9484" max="9484" width="11.453125" style="860" bestFit="1" customWidth="1"/>
    <col min="9485" max="9487" width="11.81640625" style="860" bestFit="1" customWidth="1"/>
    <col min="9488" max="9489" width="12.81640625" style="860" customWidth="1"/>
    <col min="9490" max="9728" width="9.1796875" style="860"/>
    <col min="9729" max="9729" width="12.453125" style="860" bestFit="1" customWidth="1"/>
    <col min="9730" max="9737" width="9.1796875" style="860"/>
    <col min="9738" max="9738" width="42" style="860" customWidth="1"/>
    <col min="9739" max="9739" width="8" style="860" customWidth="1"/>
    <col min="9740" max="9740" width="11.453125" style="860" bestFit="1" customWidth="1"/>
    <col min="9741" max="9743" width="11.81640625" style="860" bestFit="1" customWidth="1"/>
    <col min="9744" max="9745" width="12.81640625" style="860" customWidth="1"/>
    <col min="9746" max="9984" width="9.1796875" style="860"/>
    <col min="9985" max="9985" width="12.453125" style="860" bestFit="1" customWidth="1"/>
    <col min="9986" max="9993" width="9.1796875" style="860"/>
    <col min="9994" max="9994" width="42" style="860" customWidth="1"/>
    <col min="9995" max="9995" width="8" style="860" customWidth="1"/>
    <col min="9996" max="9996" width="11.453125" style="860" bestFit="1" customWidth="1"/>
    <col min="9997" max="9999" width="11.81640625" style="860" bestFit="1" customWidth="1"/>
    <col min="10000" max="10001" width="12.81640625" style="860" customWidth="1"/>
    <col min="10002" max="10240" width="9.1796875" style="860"/>
    <col min="10241" max="10241" width="12.453125" style="860" bestFit="1" customWidth="1"/>
    <col min="10242" max="10249" width="9.1796875" style="860"/>
    <col min="10250" max="10250" width="42" style="860" customWidth="1"/>
    <col min="10251" max="10251" width="8" style="860" customWidth="1"/>
    <col min="10252" max="10252" width="11.453125" style="860" bestFit="1" customWidth="1"/>
    <col min="10253" max="10255" width="11.81640625" style="860" bestFit="1" customWidth="1"/>
    <col min="10256" max="10257" width="12.81640625" style="860" customWidth="1"/>
    <col min="10258" max="10496" width="9.1796875" style="860"/>
    <col min="10497" max="10497" width="12.453125" style="860" bestFit="1" customWidth="1"/>
    <col min="10498" max="10505" width="9.1796875" style="860"/>
    <col min="10506" max="10506" width="42" style="860" customWidth="1"/>
    <col min="10507" max="10507" width="8" style="860" customWidth="1"/>
    <col min="10508" max="10508" width="11.453125" style="860" bestFit="1" customWidth="1"/>
    <col min="10509" max="10511" width="11.81640625" style="860" bestFit="1" customWidth="1"/>
    <col min="10512" max="10513" width="12.81640625" style="860" customWidth="1"/>
    <col min="10514" max="10752" width="9.1796875" style="860"/>
    <col min="10753" max="10753" width="12.453125" style="860" bestFit="1" customWidth="1"/>
    <col min="10754" max="10761" width="9.1796875" style="860"/>
    <col min="10762" max="10762" width="42" style="860" customWidth="1"/>
    <col min="10763" max="10763" width="8" style="860" customWidth="1"/>
    <col min="10764" max="10764" width="11.453125" style="860" bestFit="1" customWidth="1"/>
    <col min="10765" max="10767" width="11.81640625" style="860" bestFit="1" customWidth="1"/>
    <col min="10768" max="10769" width="12.81640625" style="860" customWidth="1"/>
    <col min="10770" max="11008" width="9.1796875" style="860"/>
    <col min="11009" max="11009" width="12.453125" style="860" bestFit="1" customWidth="1"/>
    <col min="11010" max="11017" width="9.1796875" style="860"/>
    <col min="11018" max="11018" width="42" style="860" customWidth="1"/>
    <col min="11019" max="11019" width="8" style="860" customWidth="1"/>
    <col min="11020" max="11020" width="11.453125" style="860" bestFit="1" customWidth="1"/>
    <col min="11021" max="11023" width="11.81640625" style="860" bestFit="1" customWidth="1"/>
    <col min="11024" max="11025" width="12.81640625" style="860" customWidth="1"/>
    <col min="11026" max="11264" width="9.1796875" style="860"/>
    <col min="11265" max="11265" width="12.453125" style="860" bestFit="1" customWidth="1"/>
    <col min="11266" max="11273" width="9.1796875" style="860"/>
    <col min="11274" max="11274" width="42" style="860" customWidth="1"/>
    <col min="11275" max="11275" width="8" style="860" customWidth="1"/>
    <col min="11276" max="11276" width="11.453125" style="860" bestFit="1" customWidth="1"/>
    <col min="11277" max="11279" width="11.81640625" style="860" bestFit="1" customWidth="1"/>
    <col min="11280" max="11281" width="12.81640625" style="860" customWidth="1"/>
    <col min="11282" max="11520" width="9.1796875" style="860"/>
    <col min="11521" max="11521" width="12.453125" style="860" bestFit="1" customWidth="1"/>
    <col min="11522" max="11529" width="9.1796875" style="860"/>
    <col min="11530" max="11530" width="42" style="860" customWidth="1"/>
    <col min="11531" max="11531" width="8" style="860" customWidth="1"/>
    <col min="11532" max="11532" width="11.453125" style="860" bestFit="1" customWidth="1"/>
    <col min="11533" max="11535" width="11.81640625" style="860" bestFit="1" customWidth="1"/>
    <col min="11536" max="11537" width="12.81640625" style="860" customWidth="1"/>
    <col min="11538" max="11776" width="9.1796875" style="860"/>
    <col min="11777" max="11777" width="12.453125" style="860" bestFit="1" customWidth="1"/>
    <col min="11778" max="11785" width="9.1796875" style="860"/>
    <col min="11786" max="11786" width="42" style="860" customWidth="1"/>
    <col min="11787" max="11787" width="8" style="860" customWidth="1"/>
    <col min="11788" max="11788" width="11.453125" style="860" bestFit="1" customWidth="1"/>
    <col min="11789" max="11791" width="11.81640625" style="860" bestFit="1" customWidth="1"/>
    <col min="11792" max="11793" width="12.81640625" style="860" customWidth="1"/>
    <col min="11794" max="12032" width="9.1796875" style="860"/>
    <col min="12033" max="12033" width="12.453125" style="860" bestFit="1" customWidth="1"/>
    <col min="12034" max="12041" width="9.1796875" style="860"/>
    <col min="12042" max="12042" width="42" style="860" customWidth="1"/>
    <col min="12043" max="12043" width="8" style="860" customWidth="1"/>
    <col min="12044" max="12044" width="11.453125" style="860" bestFit="1" customWidth="1"/>
    <col min="12045" max="12047" width="11.81640625" style="860" bestFit="1" customWidth="1"/>
    <col min="12048" max="12049" width="12.81640625" style="860" customWidth="1"/>
    <col min="12050" max="12288" width="9.1796875" style="860"/>
    <col min="12289" max="12289" width="12.453125" style="860" bestFit="1" customWidth="1"/>
    <col min="12290" max="12297" width="9.1796875" style="860"/>
    <col min="12298" max="12298" width="42" style="860" customWidth="1"/>
    <col min="12299" max="12299" width="8" style="860" customWidth="1"/>
    <col min="12300" max="12300" width="11.453125" style="860" bestFit="1" customWidth="1"/>
    <col min="12301" max="12303" width="11.81640625" style="860" bestFit="1" customWidth="1"/>
    <col min="12304" max="12305" width="12.81640625" style="860" customWidth="1"/>
    <col min="12306" max="12544" width="9.1796875" style="860"/>
    <col min="12545" max="12545" width="12.453125" style="860" bestFit="1" customWidth="1"/>
    <col min="12546" max="12553" width="9.1796875" style="860"/>
    <col min="12554" max="12554" width="42" style="860" customWidth="1"/>
    <col min="12555" max="12555" width="8" style="860" customWidth="1"/>
    <col min="12556" max="12556" width="11.453125" style="860" bestFit="1" customWidth="1"/>
    <col min="12557" max="12559" width="11.81640625" style="860" bestFit="1" customWidth="1"/>
    <col min="12560" max="12561" width="12.81640625" style="860" customWidth="1"/>
    <col min="12562" max="12800" width="9.1796875" style="860"/>
    <col min="12801" max="12801" width="12.453125" style="860" bestFit="1" customWidth="1"/>
    <col min="12802" max="12809" width="9.1796875" style="860"/>
    <col min="12810" max="12810" width="42" style="860" customWidth="1"/>
    <col min="12811" max="12811" width="8" style="860" customWidth="1"/>
    <col min="12812" max="12812" width="11.453125" style="860" bestFit="1" customWidth="1"/>
    <col min="12813" max="12815" width="11.81640625" style="860" bestFit="1" customWidth="1"/>
    <col min="12816" max="12817" width="12.81640625" style="860" customWidth="1"/>
    <col min="12818" max="13056" width="9.1796875" style="860"/>
    <col min="13057" max="13057" width="12.453125" style="860" bestFit="1" customWidth="1"/>
    <col min="13058" max="13065" width="9.1796875" style="860"/>
    <col min="13066" max="13066" width="42" style="860" customWidth="1"/>
    <col min="13067" max="13067" width="8" style="860" customWidth="1"/>
    <col min="13068" max="13068" width="11.453125" style="860" bestFit="1" customWidth="1"/>
    <col min="13069" max="13071" width="11.81640625" style="860" bestFit="1" customWidth="1"/>
    <col min="13072" max="13073" width="12.81640625" style="860" customWidth="1"/>
    <col min="13074" max="13312" width="9.1796875" style="860"/>
    <col min="13313" max="13313" width="12.453125" style="860" bestFit="1" customWidth="1"/>
    <col min="13314" max="13321" width="9.1796875" style="860"/>
    <col min="13322" max="13322" width="42" style="860" customWidth="1"/>
    <col min="13323" max="13323" width="8" style="860" customWidth="1"/>
    <col min="13324" max="13324" width="11.453125" style="860" bestFit="1" customWidth="1"/>
    <col min="13325" max="13327" width="11.81640625" style="860" bestFit="1" customWidth="1"/>
    <col min="13328" max="13329" width="12.81640625" style="860" customWidth="1"/>
    <col min="13330" max="13568" width="9.1796875" style="860"/>
    <col min="13569" max="13569" width="12.453125" style="860" bestFit="1" customWidth="1"/>
    <col min="13570" max="13577" width="9.1796875" style="860"/>
    <col min="13578" max="13578" width="42" style="860" customWidth="1"/>
    <col min="13579" max="13579" width="8" style="860" customWidth="1"/>
    <col min="13580" max="13580" width="11.453125" style="860" bestFit="1" customWidth="1"/>
    <col min="13581" max="13583" width="11.81640625" style="860" bestFit="1" customWidth="1"/>
    <col min="13584" max="13585" width="12.81640625" style="860" customWidth="1"/>
    <col min="13586" max="13824" width="9.1796875" style="860"/>
    <col min="13825" max="13825" width="12.453125" style="860" bestFit="1" customWidth="1"/>
    <col min="13826" max="13833" width="9.1796875" style="860"/>
    <col min="13834" max="13834" width="42" style="860" customWidth="1"/>
    <col min="13835" max="13835" width="8" style="860" customWidth="1"/>
    <col min="13836" max="13836" width="11.453125" style="860" bestFit="1" customWidth="1"/>
    <col min="13837" max="13839" width="11.81640625" style="860" bestFit="1" customWidth="1"/>
    <col min="13840" max="13841" width="12.81640625" style="860" customWidth="1"/>
    <col min="13842" max="14080" width="9.1796875" style="860"/>
    <col min="14081" max="14081" width="12.453125" style="860" bestFit="1" customWidth="1"/>
    <col min="14082" max="14089" width="9.1796875" style="860"/>
    <col min="14090" max="14090" width="42" style="860" customWidth="1"/>
    <col min="14091" max="14091" width="8" style="860" customWidth="1"/>
    <col min="14092" max="14092" width="11.453125" style="860" bestFit="1" customWidth="1"/>
    <col min="14093" max="14095" width="11.81640625" style="860" bestFit="1" customWidth="1"/>
    <col min="14096" max="14097" width="12.81640625" style="860" customWidth="1"/>
    <col min="14098" max="14336" width="9.1796875" style="860"/>
    <col min="14337" max="14337" width="12.453125" style="860" bestFit="1" customWidth="1"/>
    <col min="14338" max="14345" width="9.1796875" style="860"/>
    <col min="14346" max="14346" width="42" style="860" customWidth="1"/>
    <col min="14347" max="14347" width="8" style="860" customWidth="1"/>
    <col min="14348" max="14348" width="11.453125" style="860" bestFit="1" customWidth="1"/>
    <col min="14349" max="14351" width="11.81640625" style="860" bestFit="1" customWidth="1"/>
    <col min="14352" max="14353" width="12.81640625" style="860" customWidth="1"/>
    <col min="14354" max="14592" width="9.1796875" style="860"/>
    <col min="14593" max="14593" width="12.453125" style="860" bestFit="1" customWidth="1"/>
    <col min="14594" max="14601" width="9.1796875" style="860"/>
    <col min="14602" max="14602" width="42" style="860" customWidth="1"/>
    <col min="14603" max="14603" width="8" style="860" customWidth="1"/>
    <col min="14604" max="14604" width="11.453125" style="860" bestFit="1" customWidth="1"/>
    <col min="14605" max="14607" width="11.81640625" style="860" bestFit="1" customWidth="1"/>
    <col min="14608" max="14609" width="12.81640625" style="860" customWidth="1"/>
    <col min="14610" max="14848" width="9.1796875" style="860"/>
    <col min="14849" max="14849" width="12.453125" style="860" bestFit="1" customWidth="1"/>
    <col min="14850" max="14857" width="9.1796875" style="860"/>
    <col min="14858" max="14858" width="42" style="860" customWidth="1"/>
    <col min="14859" max="14859" width="8" style="860" customWidth="1"/>
    <col min="14860" max="14860" width="11.453125" style="860" bestFit="1" customWidth="1"/>
    <col min="14861" max="14863" width="11.81640625" style="860" bestFit="1" customWidth="1"/>
    <col min="14864" max="14865" width="12.81640625" style="860" customWidth="1"/>
    <col min="14866" max="15104" width="9.1796875" style="860"/>
    <col min="15105" max="15105" width="12.453125" style="860" bestFit="1" customWidth="1"/>
    <col min="15106" max="15113" width="9.1796875" style="860"/>
    <col min="15114" max="15114" width="42" style="860" customWidth="1"/>
    <col min="15115" max="15115" width="8" style="860" customWidth="1"/>
    <col min="15116" max="15116" width="11.453125" style="860" bestFit="1" customWidth="1"/>
    <col min="15117" max="15119" width="11.81640625" style="860" bestFit="1" customWidth="1"/>
    <col min="15120" max="15121" width="12.81640625" style="860" customWidth="1"/>
    <col min="15122" max="15360" width="9.1796875" style="860"/>
    <col min="15361" max="15361" width="12.453125" style="860" bestFit="1" customWidth="1"/>
    <col min="15362" max="15369" width="9.1796875" style="860"/>
    <col min="15370" max="15370" width="42" style="860" customWidth="1"/>
    <col min="15371" max="15371" width="8" style="860" customWidth="1"/>
    <col min="15372" max="15372" width="11.453125" style="860" bestFit="1" customWidth="1"/>
    <col min="15373" max="15375" width="11.81640625" style="860" bestFit="1" customWidth="1"/>
    <col min="15376" max="15377" width="12.81640625" style="860" customWidth="1"/>
    <col min="15378" max="15616" width="9.1796875" style="860"/>
    <col min="15617" max="15617" width="12.453125" style="860" bestFit="1" customWidth="1"/>
    <col min="15618" max="15625" width="9.1796875" style="860"/>
    <col min="15626" max="15626" width="42" style="860" customWidth="1"/>
    <col min="15627" max="15627" width="8" style="860" customWidth="1"/>
    <col min="15628" max="15628" width="11.453125" style="860" bestFit="1" customWidth="1"/>
    <col min="15629" max="15631" width="11.81640625" style="860" bestFit="1" customWidth="1"/>
    <col min="15632" max="15633" width="12.81640625" style="860" customWidth="1"/>
    <col min="15634" max="15872" width="9.1796875" style="860"/>
    <col min="15873" max="15873" width="12.453125" style="860" bestFit="1" customWidth="1"/>
    <col min="15874" max="15881" width="9.1796875" style="860"/>
    <col min="15882" max="15882" width="42" style="860" customWidth="1"/>
    <col min="15883" max="15883" width="8" style="860" customWidth="1"/>
    <col min="15884" max="15884" width="11.453125" style="860" bestFit="1" customWidth="1"/>
    <col min="15885" max="15887" width="11.81640625" style="860" bestFit="1" customWidth="1"/>
    <col min="15888" max="15889" width="12.81640625" style="860" customWidth="1"/>
    <col min="15890" max="16128" width="9.1796875" style="860"/>
    <col min="16129" max="16129" width="12.453125" style="860" bestFit="1" customWidth="1"/>
    <col min="16130" max="16137" width="9.1796875" style="860"/>
    <col min="16138" max="16138" width="42" style="860" customWidth="1"/>
    <col min="16139" max="16139" width="8" style="860" customWidth="1"/>
    <col min="16140" max="16140" width="11.453125" style="860" bestFit="1" customWidth="1"/>
    <col min="16141" max="16143" width="11.81640625" style="860" bestFit="1" customWidth="1"/>
    <col min="16144" max="16145" width="12.81640625" style="860" customWidth="1"/>
    <col min="16146" max="16384" width="9.1796875" style="860"/>
  </cols>
  <sheetData>
    <row r="1" spans="1:15" ht="15" customHeight="1" x14ac:dyDescent="0.35">
      <c r="A1" s="1446" t="s">
        <v>1309</v>
      </c>
      <c r="B1" s="1447"/>
      <c r="C1" s="1447"/>
      <c r="D1" s="1447"/>
      <c r="E1" s="1447"/>
      <c r="F1" s="1447"/>
      <c r="G1" s="1447"/>
      <c r="H1" s="1448"/>
      <c r="J1" s="1449" t="s">
        <v>35</v>
      </c>
      <c r="K1" s="1449" t="s">
        <v>136</v>
      </c>
      <c r="L1" s="1450"/>
      <c r="M1" s="1451"/>
      <c r="N1" s="1451"/>
      <c r="O1" s="1451"/>
    </row>
    <row r="2" spans="1:15" ht="15" x14ac:dyDescent="0.35">
      <c r="A2" s="861"/>
      <c r="B2" s="862" t="s">
        <v>1310</v>
      </c>
      <c r="C2" s="862" t="s">
        <v>1311</v>
      </c>
      <c r="D2" s="862" t="s">
        <v>1312</v>
      </c>
      <c r="E2" s="862" t="s">
        <v>1313</v>
      </c>
      <c r="F2" s="862" t="s">
        <v>1314</v>
      </c>
      <c r="G2" s="862" t="s">
        <v>1315</v>
      </c>
      <c r="H2" s="862" t="s">
        <v>1316</v>
      </c>
      <c r="J2" s="1449"/>
      <c r="K2" s="1449"/>
      <c r="L2" s="863" t="s">
        <v>475</v>
      </c>
      <c r="M2" s="863" t="s">
        <v>476</v>
      </c>
      <c r="N2" s="863" t="s">
        <v>477</v>
      </c>
    </row>
    <row r="3" spans="1:15" ht="15" x14ac:dyDescent="0.35">
      <c r="A3" s="862" t="s">
        <v>1408</v>
      </c>
      <c r="B3" s="861"/>
      <c r="C3" s="861"/>
      <c r="D3" s="861"/>
      <c r="E3" s="861"/>
      <c r="F3" s="861"/>
      <c r="G3" s="861"/>
      <c r="H3" s="861"/>
      <c r="J3" s="863"/>
      <c r="K3" s="865"/>
      <c r="L3" s="863"/>
      <c r="M3" s="863"/>
      <c r="N3" s="863"/>
    </row>
    <row r="4" spans="1:15" ht="15" x14ac:dyDescent="0.35">
      <c r="A4" s="862" t="s">
        <v>1407</v>
      </c>
      <c r="B4" s="861"/>
      <c r="C4" s="861"/>
      <c r="D4" s="861"/>
      <c r="E4" s="861"/>
      <c r="F4" s="864">
        <v>9</v>
      </c>
      <c r="G4" s="861"/>
      <c r="H4" s="861"/>
      <c r="J4" s="863"/>
      <c r="K4" s="865"/>
      <c r="L4" s="863"/>
      <c r="M4" s="863"/>
      <c r="N4" s="863"/>
    </row>
    <row r="5" spans="1:15" ht="15" x14ac:dyDescent="0.35">
      <c r="A5" s="862" t="s">
        <v>1406</v>
      </c>
      <c r="B5" s="861"/>
      <c r="C5" s="861"/>
      <c r="D5" s="861"/>
      <c r="E5" s="861"/>
      <c r="F5" s="864">
        <v>9</v>
      </c>
      <c r="G5" s="861"/>
      <c r="H5" s="861"/>
      <c r="J5" s="863"/>
      <c r="K5" s="865"/>
      <c r="L5" s="863"/>
      <c r="M5" s="863"/>
      <c r="N5" s="863"/>
    </row>
    <row r="6" spans="1:15" ht="15" x14ac:dyDescent="0.35">
      <c r="A6" s="862" t="s">
        <v>1317</v>
      </c>
      <c r="B6" s="861"/>
      <c r="C6" s="861"/>
      <c r="D6" s="861"/>
      <c r="E6" s="861"/>
      <c r="F6" s="864">
        <v>9</v>
      </c>
      <c r="G6" s="861"/>
      <c r="H6" s="861"/>
      <c r="J6" s="863"/>
      <c r="K6" s="865"/>
      <c r="L6" s="863"/>
      <c r="M6" s="863"/>
      <c r="N6" s="863"/>
    </row>
    <row r="7" spans="1:15" ht="15" x14ac:dyDescent="0.35">
      <c r="A7" s="862" t="s">
        <v>1318</v>
      </c>
      <c r="B7" s="861"/>
      <c r="C7" s="861"/>
      <c r="D7" s="861"/>
      <c r="E7" s="861"/>
      <c r="F7" s="864">
        <v>9</v>
      </c>
      <c r="G7" s="861"/>
      <c r="H7" s="861"/>
      <c r="J7" s="863"/>
      <c r="K7" s="865"/>
      <c r="L7" s="863"/>
      <c r="M7" s="863"/>
      <c r="N7" s="863"/>
    </row>
    <row r="8" spans="1:15" ht="15" x14ac:dyDescent="0.35">
      <c r="A8" s="862" t="s">
        <v>1319</v>
      </c>
      <c r="B8" s="861"/>
      <c r="C8" s="861"/>
      <c r="D8" s="861"/>
      <c r="E8" s="861"/>
      <c r="F8" s="861">
        <v>8.9499999999999993</v>
      </c>
      <c r="G8" s="861"/>
      <c r="H8" s="861"/>
      <c r="J8" s="863"/>
      <c r="K8" s="865"/>
      <c r="L8" s="863"/>
      <c r="M8" s="863"/>
      <c r="N8" s="863"/>
    </row>
    <row r="9" spans="1:15" ht="15.5" x14ac:dyDescent="0.35">
      <c r="A9" s="862" t="s">
        <v>1320</v>
      </c>
      <c r="B9" s="861"/>
      <c r="C9" s="861"/>
      <c r="D9" s="861"/>
      <c r="E9" s="861"/>
      <c r="F9" s="861">
        <v>8.9499999999999993</v>
      </c>
      <c r="G9" s="861"/>
      <c r="H9" s="861"/>
      <c r="J9" s="866" t="s">
        <v>1321</v>
      </c>
      <c r="K9" s="867"/>
      <c r="L9" s="868"/>
      <c r="M9" s="869"/>
      <c r="N9" s="869"/>
    </row>
    <row r="10" spans="1:15" ht="15.5" x14ac:dyDescent="0.35">
      <c r="A10" s="862" t="s">
        <v>1322</v>
      </c>
      <c r="B10" s="861"/>
      <c r="C10" s="861"/>
      <c r="D10" s="861"/>
      <c r="E10" s="861"/>
      <c r="F10" s="861">
        <v>8.9499999999999993</v>
      </c>
      <c r="G10" s="861"/>
      <c r="H10" s="861"/>
      <c r="J10" s="870"/>
      <c r="K10" s="867"/>
      <c r="L10" s="871"/>
      <c r="M10" s="871"/>
      <c r="N10" s="871"/>
    </row>
    <row r="11" spans="1:15" ht="15.5" x14ac:dyDescent="0.35">
      <c r="A11" s="862" t="s">
        <v>1323</v>
      </c>
      <c r="B11" s="861"/>
      <c r="C11" s="861"/>
      <c r="D11" s="861"/>
      <c r="E11" s="861"/>
      <c r="F11" s="861">
        <v>8.85</v>
      </c>
      <c r="G11" s="861"/>
      <c r="H11" s="861"/>
      <c r="J11" s="870" t="s">
        <v>1324</v>
      </c>
      <c r="K11" s="872" t="s">
        <v>96</v>
      </c>
      <c r="L11" s="873">
        <f>+M92%+1.5%</f>
        <v>9.2987671232876712E-2</v>
      </c>
      <c r="M11" s="873">
        <f>O92%+1.5%</f>
        <v>0.10065163934426229</v>
      </c>
      <c r="N11" s="1005">
        <v>0.1045</v>
      </c>
    </row>
    <row r="12" spans="1:15" ht="15.5" x14ac:dyDescent="0.35">
      <c r="A12" s="862" t="s">
        <v>1325</v>
      </c>
      <c r="B12" s="861"/>
      <c r="C12" s="861"/>
      <c r="D12" s="861"/>
      <c r="E12" s="861"/>
      <c r="F12" s="861">
        <v>8.75</v>
      </c>
      <c r="G12" s="861"/>
      <c r="H12" s="861"/>
      <c r="J12" s="870" t="s">
        <v>1326</v>
      </c>
      <c r="K12" s="872" t="s">
        <v>96</v>
      </c>
      <c r="L12" s="874">
        <f>+L11</f>
        <v>9.2987671232876712E-2</v>
      </c>
      <c r="M12" s="874">
        <f>+M11</f>
        <v>0.10065163934426229</v>
      </c>
      <c r="N12" s="1005">
        <f>+N11</f>
        <v>0.1045</v>
      </c>
    </row>
    <row r="13" spans="1:15" x14ac:dyDescent="0.35">
      <c r="A13" s="862" t="s">
        <v>1327</v>
      </c>
      <c r="B13" s="861"/>
      <c r="C13" s="861"/>
      <c r="D13" s="861"/>
      <c r="E13" s="861"/>
      <c r="F13" s="864">
        <v>8.65</v>
      </c>
      <c r="G13" s="861"/>
      <c r="H13" s="861"/>
    </row>
    <row r="14" spans="1:15" x14ac:dyDescent="0.35">
      <c r="A14" s="862" t="s">
        <v>1328</v>
      </c>
      <c r="B14" s="861"/>
      <c r="C14" s="861"/>
      <c r="D14" s="861"/>
      <c r="E14" s="861"/>
      <c r="F14" s="864">
        <v>8.65</v>
      </c>
      <c r="G14" s="861"/>
      <c r="H14" s="861"/>
    </row>
    <row r="15" spans="1:15" x14ac:dyDescent="0.35">
      <c r="A15" s="862" t="s">
        <v>1329</v>
      </c>
      <c r="B15" s="861"/>
      <c r="C15" s="861"/>
      <c r="D15" s="861"/>
      <c r="E15" s="861"/>
      <c r="F15" s="864">
        <v>8.65</v>
      </c>
      <c r="G15" s="861"/>
      <c r="H15" s="861"/>
    </row>
    <row r="16" spans="1:15" x14ac:dyDescent="0.35">
      <c r="A16" s="862" t="s">
        <v>1330</v>
      </c>
      <c r="B16" s="861"/>
      <c r="C16" s="861"/>
      <c r="D16" s="861"/>
      <c r="E16" s="861"/>
      <c r="F16" s="864">
        <v>8.65</v>
      </c>
      <c r="G16" s="861"/>
      <c r="H16" s="861"/>
    </row>
    <row r="17" spans="1:8" x14ac:dyDescent="0.35">
      <c r="A17" s="862" t="s">
        <v>1331</v>
      </c>
      <c r="B17" s="861"/>
      <c r="C17" s="861"/>
      <c r="D17" s="861"/>
      <c r="E17" s="861"/>
      <c r="F17" s="864">
        <v>8.65</v>
      </c>
      <c r="G17" s="861"/>
      <c r="H17" s="861"/>
    </row>
    <row r="18" spans="1:8" x14ac:dyDescent="0.35">
      <c r="A18" s="862" t="s">
        <v>1332</v>
      </c>
      <c r="B18" s="861"/>
      <c r="C18" s="861"/>
      <c r="D18" s="861"/>
      <c r="E18" s="861"/>
      <c r="F18" s="864">
        <v>8.65</v>
      </c>
      <c r="G18" s="861"/>
      <c r="H18" s="861"/>
    </row>
    <row r="19" spans="1:8" x14ac:dyDescent="0.35">
      <c r="A19" s="862" t="s">
        <v>1333</v>
      </c>
      <c r="B19" s="861"/>
      <c r="C19" s="861"/>
      <c r="D19" s="861"/>
      <c r="E19" s="861"/>
      <c r="F19" s="864">
        <v>8.5500000000000007</v>
      </c>
      <c r="G19" s="861"/>
      <c r="H19" s="861"/>
    </row>
    <row r="20" spans="1:8" x14ac:dyDescent="0.35">
      <c r="A20" s="862" t="s">
        <v>1334</v>
      </c>
      <c r="B20" s="861"/>
      <c r="C20" s="861"/>
      <c r="D20" s="861"/>
      <c r="E20" s="861"/>
      <c r="F20" s="864">
        <v>8.5500000000000007</v>
      </c>
      <c r="G20" s="861"/>
      <c r="H20" s="861"/>
    </row>
    <row r="21" spans="1:8" x14ac:dyDescent="0.35">
      <c r="A21" s="862" t="s">
        <v>1335</v>
      </c>
      <c r="B21" s="861"/>
      <c r="C21" s="861"/>
      <c r="D21" s="861"/>
      <c r="E21" s="861"/>
      <c r="F21" s="864">
        <v>8.5500000000000007</v>
      </c>
      <c r="G21" s="861"/>
      <c r="H21" s="861"/>
    </row>
    <row r="22" spans="1:8" x14ac:dyDescent="0.35">
      <c r="A22" s="862" t="s">
        <v>1336</v>
      </c>
      <c r="B22" s="861"/>
      <c r="C22" s="861"/>
      <c r="D22" s="861"/>
      <c r="E22" s="861"/>
      <c r="F22" s="864">
        <v>8.5500000000000007</v>
      </c>
      <c r="G22" s="861"/>
      <c r="H22" s="861"/>
    </row>
    <row r="23" spans="1:8" x14ac:dyDescent="0.35">
      <c r="A23" s="862" t="s">
        <v>1337</v>
      </c>
      <c r="B23" s="861"/>
      <c r="C23" s="861"/>
      <c r="D23" s="861"/>
      <c r="E23" s="861"/>
      <c r="F23" s="864">
        <v>8.5500000000000007</v>
      </c>
      <c r="G23" s="861"/>
      <c r="H23" s="861"/>
    </row>
    <row r="24" spans="1:8" x14ac:dyDescent="0.35">
      <c r="A24" s="862" t="s">
        <v>1338</v>
      </c>
      <c r="B24" s="861"/>
      <c r="C24" s="861"/>
      <c r="D24" s="861"/>
      <c r="E24" s="861"/>
      <c r="F24" s="864">
        <v>8.5</v>
      </c>
      <c r="G24" s="861"/>
      <c r="H24" s="861"/>
    </row>
    <row r="25" spans="1:8" x14ac:dyDescent="0.35">
      <c r="A25" s="862" t="s">
        <v>1339</v>
      </c>
      <c r="B25" s="861"/>
      <c r="C25" s="861"/>
      <c r="D25" s="861"/>
      <c r="E25" s="861"/>
      <c r="F25" s="864">
        <v>8.5</v>
      </c>
      <c r="G25" s="861"/>
      <c r="H25" s="861"/>
    </row>
    <row r="26" spans="1:8" x14ac:dyDescent="0.35">
      <c r="A26" s="862" t="s">
        <v>1340</v>
      </c>
      <c r="B26" s="861"/>
      <c r="C26" s="861"/>
      <c r="D26" s="861"/>
      <c r="E26" s="861"/>
      <c r="F26" s="864">
        <v>8.5</v>
      </c>
      <c r="G26" s="861"/>
      <c r="H26" s="861"/>
    </row>
    <row r="27" spans="1:8" x14ac:dyDescent="0.35">
      <c r="A27" s="862" t="s">
        <v>1341</v>
      </c>
      <c r="B27" s="861"/>
      <c r="C27" s="861"/>
      <c r="D27" s="861"/>
      <c r="E27" s="861"/>
      <c r="F27" s="864">
        <v>8.5</v>
      </c>
      <c r="G27" s="861"/>
      <c r="H27" s="861"/>
    </row>
    <row r="28" spans="1:8" x14ac:dyDescent="0.35">
      <c r="A28" s="862" t="s">
        <v>1342</v>
      </c>
      <c r="B28" s="861"/>
      <c r="C28" s="861"/>
      <c r="D28" s="861"/>
      <c r="E28" s="861"/>
      <c r="F28" s="864">
        <v>8.5</v>
      </c>
      <c r="G28" s="861"/>
      <c r="H28" s="861"/>
    </row>
    <row r="29" spans="1:8" x14ac:dyDescent="0.35">
      <c r="A29" s="862" t="s">
        <v>1343</v>
      </c>
      <c r="B29" s="861"/>
      <c r="C29" s="861"/>
      <c r="D29" s="861"/>
      <c r="E29" s="861"/>
      <c r="F29" s="864">
        <v>8.4</v>
      </c>
      <c r="G29" s="861"/>
      <c r="H29" s="861"/>
    </row>
    <row r="30" spans="1:8" x14ac:dyDescent="0.35">
      <c r="A30" s="862" t="s">
        <v>1344</v>
      </c>
      <c r="B30" s="861"/>
      <c r="C30" s="861"/>
      <c r="D30" s="861"/>
      <c r="E30" s="861"/>
      <c r="F30" s="864">
        <v>8.3000000000000007</v>
      </c>
      <c r="G30" s="861"/>
      <c r="H30" s="861"/>
    </row>
    <row r="31" spans="1:8" x14ac:dyDescent="0.35">
      <c r="A31" s="862" t="s">
        <v>1345</v>
      </c>
      <c r="B31" s="861"/>
      <c r="C31" s="861"/>
      <c r="D31" s="861"/>
      <c r="E31" s="861"/>
      <c r="F31" s="864">
        <v>8.0500000000000007</v>
      </c>
      <c r="G31" s="861"/>
      <c r="H31" s="861"/>
    </row>
    <row r="32" spans="1:8" x14ac:dyDescent="0.35">
      <c r="A32" s="862" t="s">
        <v>1346</v>
      </c>
      <c r="B32" s="861"/>
      <c r="C32" s="861"/>
      <c r="D32" s="861"/>
      <c r="E32" s="861"/>
      <c r="F32" s="864">
        <v>7.95</v>
      </c>
      <c r="G32" s="861"/>
      <c r="H32" s="861"/>
    </row>
    <row r="33" spans="1:9" x14ac:dyDescent="0.35">
      <c r="A33" s="862" t="s">
        <v>1347</v>
      </c>
      <c r="B33" s="861">
        <v>7.35</v>
      </c>
      <c r="C33" s="861">
        <v>7.35</v>
      </c>
      <c r="D33" s="861">
        <v>7.35</v>
      </c>
      <c r="E33" s="861">
        <v>7.65</v>
      </c>
      <c r="F33" s="864">
        <v>7.7</v>
      </c>
      <c r="G33" s="864">
        <v>7.9</v>
      </c>
      <c r="H33" s="864">
        <v>8</v>
      </c>
    </row>
    <row r="34" spans="1:9" x14ac:dyDescent="0.35">
      <c r="A34" s="862" t="s">
        <v>1348</v>
      </c>
      <c r="B34" s="861">
        <v>7.35</v>
      </c>
      <c r="C34" s="861">
        <v>7.35</v>
      </c>
      <c r="D34" s="861">
        <v>7.35</v>
      </c>
      <c r="E34" s="861">
        <v>7.65</v>
      </c>
      <c r="F34" s="864">
        <v>7.7</v>
      </c>
      <c r="G34" s="864">
        <v>7.9</v>
      </c>
      <c r="H34" s="864">
        <v>8</v>
      </c>
    </row>
    <row r="35" spans="1:9" x14ac:dyDescent="0.35">
      <c r="A35" s="862" t="s">
        <v>1349</v>
      </c>
      <c r="B35" s="861">
        <v>7.15</v>
      </c>
      <c r="C35" s="861">
        <v>7.15</v>
      </c>
      <c r="D35" s="861">
        <v>7.15</v>
      </c>
      <c r="E35" s="861">
        <v>7.45</v>
      </c>
      <c r="F35" s="864">
        <v>7.5</v>
      </c>
      <c r="G35" s="864">
        <v>7.7</v>
      </c>
      <c r="H35" s="864">
        <v>7.8</v>
      </c>
    </row>
    <row r="36" spans="1:9" x14ac:dyDescent="0.35">
      <c r="A36" s="862" t="s">
        <v>1350</v>
      </c>
      <c r="B36" s="861">
        <v>7.05</v>
      </c>
      <c r="C36" s="861">
        <v>7.05</v>
      </c>
      <c r="D36" s="861">
        <v>7.05</v>
      </c>
      <c r="E36" s="861">
        <v>7.35</v>
      </c>
      <c r="F36" s="864">
        <v>7.4</v>
      </c>
      <c r="G36" s="864">
        <v>7.6</v>
      </c>
      <c r="H36" s="864">
        <v>7.7</v>
      </c>
    </row>
    <row r="37" spans="1:9" x14ac:dyDescent="0.35">
      <c r="A37" s="862" t="s">
        <v>1351</v>
      </c>
      <c r="B37" s="861">
        <v>6.85</v>
      </c>
      <c r="C37" s="861">
        <v>6.85</v>
      </c>
      <c r="D37" s="861">
        <v>6.85</v>
      </c>
      <c r="E37" s="861">
        <v>7.15</v>
      </c>
      <c r="F37" s="864">
        <v>7.2</v>
      </c>
      <c r="G37" s="864">
        <v>7.4</v>
      </c>
      <c r="H37" s="864">
        <v>7.5</v>
      </c>
    </row>
    <row r="38" spans="1:9" x14ac:dyDescent="0.35">
      <c r="A38" s="862" t="s">
        <v>1352</v>
      </c>
      <c r="B38" s="861">
        <v>6.75</v>
      </c>
      <c r="C38" s="861">
        <v>6.75</v>
      </c>
      <c r="D38" s="861">
        <v>6.75</v>
      </c>
      <c r="E38" s="861">
        <v>7.05</v>
      </c>
      <c r="F38" s="864">
        <v>7.1</v>
      </c>
      <c r="G38" s="864">
        <v>7.3</v>
      </c>
      <c r="H38" s="864">
        <v>7.4</v>
      </c>
      <c r="I38" s="860">
        <f>AVERAGE(F33:F38)</f>
        <v>7.4333333333333336</v>
      </c>
    </row>
    <row r="39" spans="1:9" x14ac:dyDescent="0.35">
      <c r="A39" s="862" t="s">
        <v>1353</v>
      </c>
      <c r="B39" s="861">
        <v>6.65</v>
      </c>
      <c r="C39" s="861">
        <v>6.65</v>
      </c>
      <c r="D39" s="861">
        <v>6.65</v>
      </c>
      <c r="E39" s="861">
        <v>6.95</v>
      </c>
      <c r="F39" s="864">
        <v>7</v>
      </c>
      <c r="G39" s="864">
        <v>7.2</v>
      </c>
      <c r="H39" s="864">
        <v>7.3</v>
      </c>
    </row>
    <row r="40" spans="1:9" x14ac:dyDescent="0.35">
      <c r="A40" s="862" t="s">
        <v>1354</v>
      </c>
      <c r="B40" s="861">
        <v>6.65</v>
      </c>
      <c r="C40" s="861">
        <v>6.65</v>
      </c>
      <c r="D40" s="861">
        <v>6.65</v>
      </c>
      <c r="E40" s="861">
        <v>6.95</v>
      </c>
      <c r="F40" s="864">
        <v>7</v>
      </c>
      <c r="G40" s="864">
        <v>7.2</v>
      </c>
      <c r="H40" s="864">
        <v>7.3</v>
      </c>
    </row>
    <row r="41" spans="1:9" x14ac:dyDescent="0.35">
      <c r="A41" s="862" t="s">
        <v>1355</v>
      </c>
      <c r="B41" s="861">
        <v>6.65</v>
      </c>
      <c r="C41" s="861">
        <v>6.65</v>
      </c>
      <c r="D41" s="861">
        <v>6.65</v>
      </c>
      <c r="E41" s="861">
        <v>6.95</v>
      </c>
      <c r="F41" s="864">
        <v>7</v>
      </c>
      <c r="G41" s="864">
        <v>7.2</v>
      </c>
      <c r="H41" s="864">
        <v>7.3</v>
      </c>
    </row>
    <row r="42" spans="1:9" x14ac:dyDescent="0.35">
      <c r="A42" s="862" t="s">
        <v>1356</v>
      </c>
      <c r="B42" s="861">
        <v>6.65</v>
      </c>
      <c r="C42" s="861">
        <v>6.65</v>
      </c>
      <c r="D42" s="861">
        <v>6.65</v>
      </c>
      <c r="E42" s="861">
        <v>6.95</v>
      </c>
      <c r="F42" s="864">
        <v>7</v>
      </c>
      <c r="G42" s="864">
        <v>7.2</v>
      </c>
      <c r="H42" s="864">
        <v>7.3</v>
      </c>
    </row>
    <row r="43" spans="1:9" x14ac:dyDescent="0.35">
      <c r="A43" s="862" t="s">
        <v>1357</v>
      </c>
      <c r="B43" s="861">
        <v>6.65</v>
      </c>
      <c r="C43" s="861">
        <v>6.65</v>
      </c>
      <c r="D43" s="861">
        <v>6.65</v>
      </c>
      <c r="E43" s="861">
        <v>6.95</v>
      </c>
      <c r="F43" s="864">
        <v>7</v>
      </c>
      <c r="G43" s="864">
        <v>7.2</v>
      </c>
      <c r="H43" s="864">
        <v>7.3</v>
      </c>
    </row>
    <row r="44" spans="1:9" x14ac:dyDescent="0.35">
      <c r="A44" s="862" t="s">
        <v>1358</v>
      </c>
      <c r="B44" s="861">
        <v>6.65</v>
      </c>
      <c r="C44" s="861">
        <v>6.65</v>
      </c>
      <c r="D44" s="861">
        <v>6.65</v>
      </c>
      <c r="E44" s="861">
        <v>6.95</v>
      </c>
      <c r="F44" s="864">
        <v>7</v>
      </c>
      <c r="G44" s="864">
        <v>7.2</v>
      </c>
      <c r="H44" s="864">
        <v>7.3</v>
      </c>
    </row>
    <row r="45" spans="1:9" x14ac:dyDescent="0.35">
      <c r="A45" s="862" t="s">
        <v>1359</v>
      </c>
      <c r="B45" s="861">
        <v>6.65</v>
      </c>
      <c r="C45" s="861">
        <v>6.65</v>
      </c>
      <c r="D45" s="861">
        <v>6.65</v>
      </c>
      <c r="E45" s="861">
        <v>6.95</v>
      </c>
      <c r="F45" s="864">
        <v>7</v>
      </c>
      <c r="G45" s="864">
        <v>7.2</v>
      </c>
      <c r="H45" s="864">
        <v>7.3</v>
      </c>
    </row>
    <row r="46" spans="1:9" x14ac:dyDescent="0.35">
      <c r="A46" s="862" t="s">
        <v>1360</v>
      </c>
      <c r="B46" s="861">
        <v>6.65</v>
      </c>
      <c r="C46" s="861">
        <v>6.65</v>
      </c>
      <c r="D46" s="861">
        <v>6.65</v>
      </c>
      <c r="E46" s="861">
        <v>6.95</v>
      </c>
      <c r="F46" s="864">
        <v>7</v>
      </c>
      <c r="G46" s="864">
        <v>7.2</v>
      </c>
      <c r="H46" s="864">
        <v>7.3</v>
      </c>
    </row>
    <row r="47" spans="1:9" x14ac:dyDescent="0.35">
      <c r="A47" s="862" t="s">
        <v>1361</v>
      </c>
      <c r="B47" s="861">
        <v>6.65</v>
      </c>
      <c r="C47" s="861">
        <v>6.65</v>
      </c>
      <c r="D47" s="861">
        <v>6.65</v>
      </c>
      <c r="E47" s="861">
        <v>6.95</v>
      </c>
      <c r="F47" s="864">
        <v>7</v>
      </c>
      <c r="G47" s="864">
        <v>7.2</v>
      </c>
      <c r="H47" s="864">
        <v>7.3</v>
      </c>
    </row>
    <row r="48" spans="1:9" x14ac:dyDescent="0.35">
      <c r="A48" s="862" t="s">
        <v>1362</v>
      </c>
      <c r="B48" s="861">
        <v>6.65</v>
      </c>
      <c r="C48" s="861">
        <v>6.65</v>
      </c>
      <c r="D48" s="861">
        <v>6.65</v>
      </c>
      <c r="E48" s="861">
        <v>6.95</v>
      </c>
      <c r="F48" s="864">
        <v>7</v>
      </c>
      <c r="G48" s="864">
        <v>7.2</v>
      </c>
      <c r="H48" s="864">
        <v>7.3</v>
      </c>
    </row>
    <row r="49" spans="1:9" x14ac:dyDescent="0.35">
      <c r="A49" s="862" t="s">
        <v>1363</v>
      </c>
      <c r="B49" s="861">
        <v>6.65</v>
      </c>
      <c r="C49" s="861">
        <v>6.65</v>
      </c>
      <c r="D49" s="861">
        <v>6.65</v>
      </c>
      <c r="E49" s="861">
        <v>6.95</v>
      </c>
      <c r="F49" s="864">
        <v>7</v>
      </c>
      <c r="G49" s="864">
        <v>7.2</v>
      </c>
      <c r="H49" s="864">
        <v>7.3</v>
      </c>
    </row>
    <row r="50" spans="1:9" x14ac:dyDescent="0.35">
      <c r="A50" s="862" t="s">
        <v>1364</v>
      </c>
      <c r="B50" s="861">
        <v>6.65</v>
      </c>
      <c r="C50" s="861">
        <v>6.65</v>
      </c>
      <c r="D50" s="861">
        <v>6.65</v>
      </c>
      <c r="E50" s="861">
        <v>6.95</v>
      </c>
      <c r="F50" s="864">
        <v>7</v>
      </c>
      <c r="G50" s="864">
        <v>7.2</v>
      </c>
      <c r="H50" s="864">
        <v>7.3</v>
      </c>
    </row>
    <row r="51" spans="1:9" x14ac:dyDescent="0.35">
      <c r="A51" s="862" t="s">
        <v>1365</v>
      </c>
      <c r="B51" s="861">
        <v>6.65</v>
      </c>
      <c r="C51" s="861">
        <v>6.65</v>
      </c>
      <c r="D51" s="861">
        <v>6.65</v>
      </c>
      <c r="E51" s="861">
        <v>6.95</v>
      </c>
      <c r="F51" s="864">
        <v>7</v>
      </c>
      <c r="G51" s="864">
        <v>7.2</v>
      </c>
      <c r="H51" s="864">
        <v>7.3</v>
      </c>
    </row>
    <row r="52" spans="1:9" x14ac:dyDescent="0.35">
      <c r="A52" s="862" t="s">
        <v>1366</v>
      </c>
      <c r="B52" s="861">
        <v>6.65</v>
      </c>
      <c r="C52" s="861">
        <v>6.65</v>
      </c>
      <c r="D52" s="861">
        <v>6.65</v>
      </c>
      <c r="E52" s="861">
        <v>6.95</v>
      </c>
      <c r="F52" s="864">
        <v>7</v>
      </c>
      <c r="G52" s="864">
        <v>7.2</v>
      </c>
      <c r="H52" s="864">
        <v>7.3</v>
      </c>
    </row>
    <row r="53" spans="1:9" x14ac:dyDescent="0.35">
      <c r="A53" s="862" t="s">
        <v>1367</v>
      </c>
      <c r="B53" s="861">
        <v>6.65</v>
      </c>
      <c r="C53" s="861">
        <v>6.65</v>
      </c>
      <c r="D53" s="861">
        <v>6.65</v>
      </c>
      <c r="E53" s="861">
        <v>6.95</v>
      </c>
      <c r="F53" s="864">
        <v>7</v>
      </c>
      <c r="G53" s="864">
        <v>7.2</v>
      </c>
      <c r="H53" s="864">
        <v>7.3</v>
      </c>
    </row>
    <row r="54" spans="1:9" x14ac:dyDescent="0.35">
      <c r="A54" s="862" t="s">
        <v>1368</v>
      </c>
      <c r="B54" s="861">
        <v>6.65</v>
      </c>
      <c r="C54" s="861">
        <v>6.65</v>
      </c>
      <c r="D54" s="861">
        <v>6.65</v>
      </c>
      <c r="E54" s="861">
        <v>6.95</v>
      </c>
      <c r="F54" s="864">
        <v>7</v>
      </c>
      <c r="G54" s="864">
        <v>7.2</v>
      </c>
      <c r="H54" s="864">
        <v>7.3</v>
      </c>
    </row>
    <row r="55" spans="1:9" x14ac:dyDescent="0.35">
      <c r="A55" s="862" t="s">
        <v>1369</v>
      </c>
      <c r="B55" s="861">
        <v>6.65</v>
      </c>
      <c r="C55" s="861">
        <v>6.65</v>
      </c>
      <c r="D55" s="861">
        <v>6.65</v>
      </c>
      <c r="E55" s="861">
        <v>6.95</v>
      </c>
      <c r="F55" s="864">
        <v>7</v>
      </c>
      <c r="G55" s="864">
        <v>7.2</v>
      </c>
      <c r="H55" s="864">
        <v>7.3</v>
      </c>
    </row>
    <row r="56" spans="1:9" x14ac:dyDescent="0.35">
      <c r="A56" s="862" t="s">
        <v>1370</v>
      </c>
      <c r="B56" s="861">
        <v>6.65</v>
      </c>
      <c r="C56" s="861">
        <v>6.65</v>
      </c>
      <c r="D56" s="861">
        <v>6.65</v>
      </c>
      <c r="E56" s="861">
        <v>6.95</v>
      </c>
      <c r="F56" s="864">
        <v>7</v>
      </c>
      <c r="G56" s="864">
        <v>7.2</v>
      </c>
      <c r="H56" s="864">
        <v>7.3</v>
      </c>
    </row>
    <row r="57" spans="1:9" x14ac:dyDescent="0.35">
      <c r="A57" s="862" t="s">
        <v>1371</v>
      </c>
      <c r="B57" s="861">
        <v>6.65</v>
      </c>
      <c r="C57" s="861">
        <v>6.65</v>
      </c>
      <c r="D57" s="861">
        <v>6.65</v>
      </c>
      <c r="E57" s="861">
        <v>6.95</v>
      </c>
      <c r="F57" s="864">
        <v>7</v>
      </c>
      <c r="G57" s="864">
        <v>7.2</v>
      </c>
      <c r="H57" s="864">
        <v>7.3</v>
      </c>
    </row>
    <row r="58" spans="1:9" x14ac:dyDescent="0.35">
      <c r="A58" s="862" t="s">
        <v>1372</v>
      </c>
      <c r="B58" s="861">
        <v>6.65</v>
      </c>
      <c r="C58" s="861">
        <v>6.65</v>
      </c>
      <c r="D58" s="861">
        <v>6.65</v>
      </c>
      <c r="E58" s="861">
        <v>6.95</v>
      </c>
      <c r="F58" s="864">
        <v>7</v>
      </c>
      <c r="G58" s="864">
        <v>7.2</v>
      </c>
      <c r="H58" s="864">
        <v>7.3</v>
      </c>
    </row>
    <row r="59" spans="1:9" x14ac:dyDescent="0.35">
      <c r="A59" s="862" t="s">
        <v>1373</v>
      </c>
      <c r="B59" s="861">
        <v>6.65</v>
      </c>
      <c r="C59" s="861">
        <v>6.65</v>
      </c>
      <c r="D59" s="861">
        <v>6.65</v>
      </c>
      <c r="E59" s="861">
        <v>6.95</v>
      </c>
      <c r="F59" s="864">
        <v>7</v>
      </c>
      <c r="G59" s="864">
        <v>7.2</v>
      </c>
      <c r="H59" s="864">
        <v>7.3</v>
      </c>
    </row>
    <row r="60" spans="1:9" x14ac:dyDescent="0.35">
      <c r="A60" s="862" t="s">
        <v>1374</v>
      </c>
      <c r="B60" s="861">
        <v>6.65</v>
      </c>
      <c r="C60" s="861">
        <v>6.65</v>
      </c>
      <c r="D60" s="861">
        <v>6.65</v>
      </c>
      <c r="E60" s="861">
        <v>6.95</v>
      </c>
      <c r="F60" s="864">
        <v>7</v>
      </c>
      <c r="G60" s="864">
        <v>7.2</v>
      </c>
      <c r="H60" s="864">
        <v>7.3</v>
      </c>
    </row>
    <row r="61" spans="1:9" x14ac:dyDescent="0.35">
      <c r="A61" s="862" t="s">
        <v>1375</v>
      </c>
      <c r="B61" s="864">
        <v>6.7</v>
      </c>
      <c r="C61" s="864">
        <v>6.7</v>
      </c>
      <c r="D61" s="861">
        <v>6.75</v>
      </c>
      <c r="E61" s="861">
        <v>6.95</v>
      </c>
      <c r="F61" s="864">
        <v>7</v>
      </c>
      <c r="G61" s="864">
        <v>7.2</v>
      </c>
      <c r="H61" s="864">
        <v>7.3</v>
      </c>
    </row>
    <row r="62" spans="1:9" x14ac:dyDescent="0.35">
      <c r="A62" s="862" t="s">
        <v>1376</v>
      </c>
      <c r="B62" s="864">
        <v>6.95</v>
      </c>
      <c r="C62" s="864">
        <v>6.95</v>
      </c>
      <c r="D62" s="864">
        <v>7</v>
      </c>
      <c r="E62" s="864">
        <v>7.2</v>
      </c>
      <c r="F62" s="864">
        <v>7.25</v>
      </c>
      <c r="G62" s="864">
        <v>7.45</v>
      </c>
      <c r="H62" s="864">
        <v>7.55</v>
      </c>
      <c r="I62" s="875">
        <f>AVERAGE(F52:F63)</f>
        <v>7.0541666666666671</v>
      </c>
    </row>
    <row r="63" spans="1:9" x14ac:dyDescent="0.35">
      <c r="A63" s="862" t="s">
        <v>1377</v>
      </c>
      <c r="B63" s="864">
        <v>7.1</v>
      </c>
      <c r="C63" s="864">
        <v>7.1</v>
      </c>
      <c r="D63" s="864">
        <v>7.15</v>
      </c>
      <c r="E63" s="864">
        <v>7.35</v>
      </c>
      <c r="F63" s="864">
        <v>7.4</v>
      </c>
      <c r="G63" s="864">
        <v>7.6</v>
      </c>
      <c r="H63" s="864">
        <v>7.7</v>
      </c>
      <c r="I63" s="875"/>
    </row>
    <row r="64" spans="1:9" x14ac:dyDescent="0.35">
      <c r="A64" s="862" t="s">
        <v>1378</v>
      </c>
      <c r="B64" s="864">
        <v>7.45</v>
      </c>
      <c r="C64" s="864">
        <v>7.45</v>
      </c>
      <c r="D64" s="864">
        <v>7.5</v>
      </c>
      <c r="E64" s="864">
        <v>7.7</v>
      </c>
      <c r="F64" s="864">
        <v>7.75</v>
      </c>
      <c r="G64" s="864">
        <v>7.95</v>
      </c>
      <c r="H64" s="864">
        <v>8.0500000000000007</v>
      </c>
    </row>
    <row r="65" spans="1:24" x14ac:dyDescent="0.35">
      <c r="A65" s="862" t="s">
        <v>1379</v>
      </c>
      <c r="B65" s="864">
        <v>7.6</v>
      </c>
      <c r="C65" s="864">
        <v>7.6</v>
      </c>
      <c r="D65" s="864">
        <v>7.65</v>
      </c>
      <c r="E65" s="864">
        <v>7.8</v>
      </c>
      <c r="F65" s="864">
        <v>7.85</v>
      </c>
      <c r="G65" s="864">
        <v>8.0500000000000007</v>
      </c>
      <c r="H65" s="864">
        <v>8.15</v>
      </c>
    </row>
    <row r="66" spans="1:24" x14ac:dyDescent="0.35">
      <c r="A66" s="862" t="s">
        <v>1380</v>
      </c>
      <c r="B66" s="864">
        <v>7.65</v>
      </c>
      <c r="C66" s="864">
        <v>7.65</v>
      </c>
      <c r="D66" s="864">
        <v>7.7</v>
      </c>
      <c r="E66" s="864">
        <v>7.85</v>
      </c>
      <c r="F66" s="864">
        <v>7.9</v>
      </c>
      <c r="G66" s="864">
        <v>8.1</v>
      </c>
      <c r="H66" s="864">
        <v>8.1999999999999993</v>
      </c>
    </row>
    <row r="67" spans="1:24" x14ac:dyDescent="0.35">
      <c r="A67" s="862" t="s">
        <v>1381</v>
      </c>
      <c r="B67" s="864">
        <v>7.65</v>
      </c>
      <c r="C67" s="864">
        <v>7.65</v>
      </c>
      <c r="D67" s="864">
        <v>7.7</v>
      </c>
      <c r="E67" s="864">
        <v>7.85</v>
      </c>
      <c r="F67" s="864">
        <v>7.9</v>
      </c>
      <c r="G67" s="864">
        <v>8.1</v>
      </c>
      <c r="H67" s="864">
        <v>8.1999999999999993</v>
      </c>
    </row>
    <row r="68" spans="1:24" x14ac:dyDescent="0.35">
      <c r="A68" s="862" t="s">
        <v>1382</v>
      </c>
      <c r="B68" s="864">
        <v>7.65</v>
      </c>
      <c r="C68" s="864">
        <v>7.65</v>
      </c>
      <c r="D68" s="864">
        <v>7.7</v>
      </c>
      <c r="E68" s="864">
        <v>7.85</v>
      </c>
      <c r="F68" s="864">
        <v>8</v>
      </c>
      <c r="G68" s="864">
        <v>8.1</v>
      </c>
      <c r="H68" s="864">
        <v>8.1999999999999993</v>
      </c>
    </row>
    <row r="69" spans="1:24" x14ac:dyDescent="0.35">
      <c r="A69" s="862" t="s">
        <v>1383</v>
      </c>
      <c r="B69" s="864">
        <v>7.7</v>
      </c>
      <c r="C69" s="864">
        <v>7.7</v>
      </c>
      <c r="D69" s="864">
        <v>7.75</v>
      </c>
      <c r="E69" s="864">
        <v>7.9</v>
      </c>
      <c r="F69" s="864">
        <v>8.0500000000000007</v>
      </c>
      <c r="G69" s="864">
        <v>8.15</v>
      </c>
      <c r="H69" s="864">
        <v>8.25</v>
      </c>
    </row>
    <row r="70" spans="1:24" x14ac:dyDescent="0.35">
      <c r="A70" s="862" t="s">
        <v>1384</v>
      </c>
      <c r="B70" s="864">
        <v>7.8</v>
      </c>
      <c r="C70" s="864">
        <v>7.8</v>
      </c>
      <c r="D70" s="864">
        <v>7.85</v>
      </c>
      <c r="E70" s="864">
        <v>8</v>
      </c>
      <c r="F70" s="864">
        <v>8.15</v>
      </c>
      <c r="G70" s="864">
        <v>8.25</v>
      </c>
      <c r="H70" s="864">
        <v>8.35</v>
      </c>
    </row>
    <row r="71" spans="1:24" x14ac:dyDescent="0.35">
      <c r="A71" s="862" t="s">
        <v>1385</v>
      </c>
      <c r="B71" s="864">
        <v>7.9</v>
      </c>
      <c r="C71" s="864">
        <v>7.9</v>
      </c>
      <c r="D71" s="864">
        <v>7.95</v>
      </c>
      <c r="E71" s="864">
        <v>8.1</v>
      </c>
      <c r="F71" s="864">
        <v>8.25</v>
      </c>
      <c r="G71" s="864">
        <v>8.35</v>
      </c>
      <c r="H71" s="864">
        <v>8.4499999999999993</v>
      </c>
    </row>
    <row r="72" spans="1:24" x14ac:dyDescent="0.35">
      <c r="A72" s="862" t="s">
        <v>1386</v>
      </c>
      <c r="B72" s="864">
        <v>8.0500000000000007</v>
      </c>
      <c r="C72" s="864">
        <v>8.0500000000000007</v>
      </c>
      <c r="D72" s="864">
        <v>8.1</v>
      </c>
      <c r="E72" s="864">
        <v>8.25</v>
      </c>
      <c r="F72" s="864">
        <v>8.4</v>
      </c>
      <c r="G72" s="864">
        <v>8.5</v>
      </c>
      <c r="H72" s="864">
        <v>8.6</v>
      </c>
    </row>
    <row r="73" spans="1:24" x14ac:dyDescent="0.35">
      <c r="A73" s="862" t="s">
        <v>1387</v>
      </c>
      <c r="B73" s="864">
        <v>8.1</v>
      </c>
      <c r="C73" s="864">
        <v>8.1</v>
      </c>
      <c r="D73" s="864">
        <v>8.15</v>
      </c>
      <c r="E73" s="864">
        <v>8.3000000000000007</v>
      </c>
      <c r="F73" s="864">
        <v>8.4499999999999993</v>
      </c>
      <c r="G73" s="864">
        <v>8.5500000000000007</v>
      </c>
      <c r="H73" s="864">
        <v>8.65</v>
      </c>
    </row>
    <row r="74" spans="1:24" x14ac:dyDescent="0.35">
      <c r="A74" s="862" t="s">
        <v>1388</v>
      </c>
      <c r="B74" s="864">
        <v>8.1</v>
      </c>
      <c r="C74" s="864">
        <v>8.1</v>
      </c>
      <c r="D74" s="864">
        <v>8.15</v>
      </c>
      <c r="E74" s="864">
        <v>8.3000000000000007</v>
      </c>
      <c r="F74" s="864">
        <v>8.4499999999999993</v>
      </c>
      <c r="G74" s="864">
        <v>8.5500000000000007</v>
      </c>
      <c r="H74" s="864">
        <v>8.65</v>
      </c>
      <c r="I74" s="875">
        <f>AVERAGE(F64:F75)</f>
        <v>8.1375000000000011</v>
      </c>
      <c r="J74" s="876">
        <f>I74/100+1.5%</f>
        <v>9.6375000000000016E-2</v>
      </c>
    </row>
    <row r="75" spans="1:24" x14ac:dyDescent="0.35">
      <c r="A75" s="862" t="s">
        <v>1389</v>
      </c>
      <c r="B75" s="864">
        <v>8.15</v>
      </c>
      <c r="C75" s="864">
        <v>8.15</v>
      </c>
      <c r="D75" s="864">
        <v>8.1999999999999993</v>
      </c>
      <c r="E75" s="864">
        <v>8.35</v>
      </c>
      <c r="F75" s="864">
        <v>8.5</v>
      </c>
      <c r="G75" s="864">
        <v>8.6</v>
      </c>
      <c r="H75" s="864">
        <v>8.6999999999999993</v>
      </c>
    </row>
    <row r="76" spans="1:24" x14ac:dyDescent="0.35">
      <c r="A76" s="860" t="s">
        <v>1390</v>
      </c>
      <c r="F76" s="860">
        <v>8.5500000000000007</v>
      </c>
    </row>
    <row r="77" spans="1:24" ht="15" x14ac:dyDescent="0.35">
      <c r="L77" s="1444" t="s">
        <v>475</v>
      </c>
      <c r="M77" s="1445"/>
      <c r="N77" s="1444" t="s">
        <v>476</v>
      </c>
      <c r="O77" s="1445"/>
      <c r="P77" s="1444" t="s">
        <v>477</v>
      </c>
      <c r="Q77" s="1445"/>
    </row>
    <row r="78" spans="1:24" x14ac:dyDescent="0.35">
      <c r="L78" s="877" t="s">
        <v>1391</v>
      </c>
      <c r="M78" s="877" t="s">
        <v>1392</v>
      </c>
      <c r="N78" s="877" t="s">
        <v>1391</v>
      </c>
      <c r="O78" s="877" t="s">
        <v>1392</v>
      </c>
      <c r="P78" s="877" t="s">
        <v>1391</v>
      </c>
      <c r="Q78" s="877" t="s">
        <v>1392</v>
      </c>
    </row>
    <row r="79" spans="1:24" x14ac:dyDescent="0.35">
      <c r="J79" s="860" t="s">
        <v>1393</v>
      </c>
      <c r="L79" s="860">
        <v>14</v>
      </c>
      <c r="M79" s="878">
        <f>+F39</f>
        <v>7</v>
      </c>
      <c r="N79" s="860">
        <v>14</v>
      </c>
      <c r="O79" s="878">
        <f>+F27</f>
        <v>8.5</v>
      </c>
      <c r="P79" s="860">
        <v>14</v>
      </c>
      <c r="Q79" s="878">
        <f>+F14</f>
        <v>8.65</v>
      </c>
      <c r="W79" s="879"/>
      <c r="X79" s="879"/>
    </row>
    <row r="80" spans="1:24" x14ac:dyDescent="0.35">
      <c r="J80" s="860" t="s">
        <v>1394</v>
      </c>
      <c r="L80" s="860">
        <v>30</v>
      </c>
      <c r="M80" s="878">
        <f>+F38</f>
        <v>7.1</v>
      </c>
      <c r="N80" s="860">
        <v>30</v>
      </c>
      <c r="O80" s="878">
        <f>+F26</f>
        <v>8.5</v>
      </c>
      <c r="P80" s="860">
        <v>30</v>
      </c>
      <c r="Q80" s="878">
        <f>+F13</f>
        <v>8.65</v>
      </c>
      <c r="W80" s="879"/>
      <c r="X80" s="879"/>
    </row>
    <row r="81" spans="10:24" x14ac:dyDescent="0.35">
      <c r="J81" s="860" t="s">
        <v>1395</v>
      </c>
      <c r="L81" s="860">
        <v>31</v>
      </c>
      <c r="M81" s="878">
        <f>+F37</f>
        <v>7.2</v>
      </c>
      <c r="N81" s="860">
        <v>31</v>
      </c>
      <c r="O81" s="878">
        <f>+F25</f>
        <v>8.5</v>
      </c>
      <c r="P81" s="860">
        <v>31</v>
      </c>
      <c r="Q81" s="878">
        <f>+F12</f>
        <v>8.75</v>
      </c>
      <c r="W81" s="879"/>
      <c r="X81" s="879"/>
    </row>
    <row r="82" spans="10:24" x14ac:dyDescent="0.35">
      <c r="J82" s="860" t="s">
        <v>1396</v>
      </c>
      <c r="L82" s="860">
        <v>30</v>
      </c>
      <c r="M82" s="878">
        <f>+F36</f>
        <v>7.4</v>
      </c>
      <c r="N82" s="860">
        <f t="shared" ref="N82:N89" si="0">+L82</f>
        <v>30</v>
      </c>
      <c r="O82" s="878">
        <f>+F24</f>
        <v>8.5</v>
      </c>
      <c r="P82" s="860">
        <f>+N82</f>
        <v>30</v>
      </c>
      <c r="Q82" s="878">
        <f>+F11</f>
        <v>8.85</v>
      </c>
      <c r="W82" s="879"/>
      <c r="X82" s="879"/>
    </row>
    <row r="83" spans="10:24" x14ac:dyDescent="0.35">
      <c r="J83" s="860" t="s">
        <v>1397</v>
      </c>
      <c r="L83" s="860">
        <v>31</v>
      </c>
      <c r="M83" s="878">
        <f>+F35</f>
        <v>7.5</v>
      </c>
      <c r="N83" s="860">
        <f t="shared" si="0"/>
        <v>31</v>
      </c>
      <c r="O83" s="878">
        <f>+F23</f>
        <v>8.5500000000000007</v>
      </c>
      <c r="P83" s="860">
        <f>+N83</f>
        <v>31</v>
      </c>
      <c r="Q83" s="878">
        <f>+F10</f>
        <v>8.9499999999999993</v>
      </c>
      <c r="W83" s="879"/>
      <c r="X83" s="879"/>
    </row>
    <row r="84" spans="10:24" x14ac:dyDescent="0.35">
      <c r="J84" s="860" t="s">
        <v>1398</v>
      </c>
      <c r="L84" s="860">
        <v>31</v>
      </c>
      <c r="M84" s="878">
        <f>+F34</f>
        <v>7.7</v>
      </c>
      <c r="N84" s="860">
        <f t="shared" si="0"/>
        <v>31</v>
      </c>
      <c r="O84" s="878">
        <f>+F22</f>
        <v>8.5500000000000007</v>
      </c>
      <c r="P84" s="860">
        <f>+N84</f>
        <v>31</v>
      </c>
      <c r="Q84" s="878">
        <f>+F9</f>
        <v>8.9499999999999993</v>
      </c>
      <c r="W84" s="879"/>
      <c r="X84" s="879"/>
    </row>
    <row r="85" spans="10:24" x14ac:dyDescent="0.35">
      <c r="J85" s="860" t="s">
        <v>1399</v>
      </c>
      <c r="L85" s="860">
        <v>30</v>
      </c>
      <c r="M85" s="878">
        <f>+F33</f>
        <v>7.7</v>
      </c>
      <c r="N85" s="860">
        <f t="shared" si="0"/>
        <v>30</v>
      </c>
      <c r="O85" s="878">
        <f>+F21</f>
        <v>8.5500000000000007</v>
      </c>
      <c r="P85" s="860">
        <f t="shared" ref="P85:P86" si="1">+N85</f>
        <v>30</v>
      </c>
      <c r="Q85" s="878">
        <f>+F8</f>
        <v>8.9499999999999993</v>
      </c>
      <c r="W85" s="879"/>
      <c r="X85" s="879"/>
    </row>
    <row r="86" spans="10:24" x14ac:dyDescent="0.35">
      <c r="J86" s="860" t="s">
        <v>1400</v>
      </c>
      <c r="L86" s="860">
        <v>31</v>
      </c>
      <c r="M86" s="878">
        <f>+F32</f>
        <v>7.95</v>
      </c>
      <c r="N86" s="860">
        <f t="shared" si="0"/>
        <v>31</v>
      </c>
      <c r="O86" s="878">
        <f>+F20</f>
        <v>8.5500000000000007</v>
      </c>
      <c r="P86" s="860">
        <f t="shared" si="1"/>
        <v>31</v>
      </c>
      <c r="Q86" s="878">
        <f>+F7</f>
        <v>9</v>
      </c>
      <c r="W86" s="879"/>
      <c r="X86" s="879"/>
    </row>
    <row r="87" spans="10:24" x14ac:dyDescent="0.35">
      <c r="J87" s="860" t="s">
        <v>1401</v>
      </c>
      <c r="L87" s="860">
        <v>30</v>
      </c>
      <c r="M87" s="878">
        <f>+F31</f>
        <v>8.0500000000000007</v>
      </c>
      <c r="N87" s="860">
        <f t="shared" si="0"/>
        <v>30</v>
      </c>
      <c r="O87" s="878">
        <f>+F19</f>
        <v>8.5500000000000007</v>
      </c>
      <c r="P87" s="860">
        <f>+N87</f>
        <v>30</v>
      </c>
      <c r="Q87" s="878">
        <f>+F6</f>
        <v>9</v>
      </c>
      <c r="W87" s="879"/>
      <c r="X87" s="879"/>
    </row>
    <row r="88" spans="10:24" x14ac:dyDescent="0.35">
      <c r="J88" s="860" t="s">
        <v>1402</v>
      </c>
      <c r="L88" s="860">
        <v>31</v>
      </c>
      <c r="M88" s="878">
        <f>+F30</f>
        <v>8.3000000000000007</v>
      </c>
      <c r="N88" s="860">
        <f t="shared" si="0"/>
        <v>31</v>
      </c>
      <c r="O88" s="878">
        <f>+F18</f>
        <v>8.65</v>
      </c>
      <c r="P88" s="860">
        <f t="shared" ref="P88:P89" si="2">+N88</f>
        <v>31</v>
      </c>
      <c r="Q88" s="878">
        <f>+F5</f>
        <v>9</v>
      </c>
      <c r="W88" s="879"/>
      <c r="X88" s="879"/>
    </row>
    <row r="89" spans="10:24" x14ac:dyDescent="0.35">
      <c r="J89" s="860" t="s">
        <v>1403</v>
      </c>
      <c r="L89" s="860">
        <v>31</v>
      </c>
      <c r="M89" s="878">
        <f>+F29</f>
        <v>8.4</v>
      </c>
      <c r="N89" s="860">
        <f t="shared" si="0"/>
        <v>31</v>
      </c>
      <c r="O89" s="878">
        <f>+F17</f>
        <v>8.65</v>
      </c>
      <c r="P89" s="860">
        <f t="shared" si="2"/>
        <v>31</v>
      </c>
      <c r="Q89" s="878">
        <f>+F4</f>
        <v>9</v>
      </c>
      <c r="W89" s="879"/>
      <c r="X89" s="879"/>
    </row>
    <row r="90" spans="10:24" x14ac:dyDescent="0.35">
      <c r="J90" s="860" t="s">
        <v>1404</v>
      </c>
      <c r="L90" s="860">
        <v>28</v>
      </c>
      <c r="M90" s="878">
        <f>+F28</f>
        <v>8.5</v>
      </c>
      <c r="N90" s="860">
        <f>+L90+1</f>
        <v>29</v>
      </c>
      <c r="O90" s="878">
        <f>+F16</f>
        <v>8.65</v>
      </c>
      <c r="W90" s="879"/>
      <c r="X90" s="879"/>
    </row>
    <row r="91" spans="10:24" x14ac:dyDescent="0.35">
      <c r="J91" s="860" t="s">
        <v>1405</v>
      </c>
      <c r="L91" s="860">
        <v>17</v>
      </c>
      <c r="M91" s="878">
        <f>+F27</f>
        <v>8.5</v>
      </c>
      <c r="N91" s="860">
        <v>17</v>
      </c>
      <c r="O91" s="878">
        <f>+F15</f>
        <v>8.65</v>
      </c>
      <c r="W91" s="879"/>
      <c r="X91" s="879"/>
    </row>
    <row r="92" spans="10:24" x14ac:dyDescent="0.35">
      <c r="J92" s="880" t="s">
        <v>267</v>
      </c>
      <c r="L92" s="880">
        <f>SUM(L79:L91)</f>
        <v>365</v>
      </c>
      <c r="M92" s="881">
        <f>+SUMPRODUCT(L79:L91,M79:M91)/L92</f>
        <v>7.7987671232876714</v>
      </c>
      <c r="N92" s="880">
        <f>SUM(N79:N91)</f>
        <v>366</v>
      </c>
      <c r="O92" s="881">
        <f>+SUMPRODUCT(N79:N91,O79:O91)/N92</f>
        <v>8.5651639344262289</v>
      </c>
      <c r="P92" s="882">
        <f>SUM(P79:P87)</f>
        <v>258</v>
      </c>
      <c r="Q92" s="883">
        <f>+SUMPRODUCT(P79:P91,Q79:Q91)/P92</f>
        <v>11.037790697674419</v>
      </c>
    </row>
  </sheetData>
  <mergeCells count="7">
    <mergeCell ref="P77:Q77"/>
    <mergeCell ref="A1:H1"/>
    <mergeCell ref="J1:J2"/>
    <mergeCell ref="K1:K2"/>
    <mergeCell ref="L1:O1"/>
    <mergeCell ref="L77:M77"/>
    <mergeCell ref="N77:O77"/>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V147"/>
  <sheetViews>
    <sheetView showGridLines="0" view="pageBreakPreview" zoomScale="60" zoomScaleNormal="75" workbookViewId="0">
      <pane xSplit="4" ySplit="9" topLeftCell="E17" activePane="bottomRight" state="frozen"/>
      <selection activeCell="B28" sqref="B28"/>
      <selection pane="topRight" activeCell="B28" sqref="B28"/>
      <selection pane="bottomLeft" activeCell="B28" sqref="B28"/>
      <selection pane="bottomRight" activeCell="H24" sqref="H24"/>
    </sheetView>
  </sheetViews>
  <sheetFormatPr defaultColWidth="9.453125" defaultRowHeight="14" x14ac:dyDescent="0.3"/>
  <cols>
    <col min="1" max="1" width="3.453125" style="1" customWidth="1"/>
    <col min="2" max="2" width="8" style="1" customWidth="1"/>
    <col min="3" max="3" width="28.54296875" style="1" customWidth="1"/>
    <col min="4" max="5" width="15.54296875" style="1" customWidth="1"/>
    <col min="6" max="6" width="30.453125" style="1" customWidth="1"/>
    <col min="7" max="7" width="26" style="1" bestFit="1" customWidth="1"/>
    <col min="8" max="8" width="20.08984375" style="1" customWidth="1"/>
    <col min="9" max="9" width="19.81640625" style="1" bestFit="1" customWidth="1"/>
    <col min="10" max="10" width="20.81640625" style="1" customWidth="1"/>
    <col min="11" max="11" width="15.54296875" style="1" customWidth="1"/>
    <col min="12" max="12" width="16.453125" style="1" customWidth="1"/>
    <col min="13" max="15" width="15.54296875" style="1" customWidth="1"/>
    <col min="16" max="16" width="25.1796875" style="1" bestFit="1" customWidth="1"/>
    <col min="17" max="22" width="15.54296875" style="1" customWidth="1"/>
    <col min="23" max="16384" width="9.453125" style="1"/>
  </cols>
  <sheetData>
    <row r="2" spans="2:22" x14ac:dyDescent="0.3">
      <c r="B2" s="1406" t="str">
        <f>Index!B2</f>
        <v xml:space="preserve">      Maharashtra State Power Generation Company Ltd.</v>
      </c>
      <c r="C2" s="1406"/>
      <c r="D2" s="1406"/>
      <c r="E2" s="1406"/>
      <c r="F2" s="1406"/>
      <c r="G2" s="1406"/>
      <c r="H2" s="1406"/>
      <c r="I2" s="1406"/>
      <c r="J2" s="1406"/>
      <c r="K2" s="1406"/>
      <c r="L2" s="1435"/>
      <c r="M2" s="1435"/>
      <c r="N2" s="1435"/>
      <c r="O2" s="1435"/>
      <c r="P2" s="1435"/>
      <c r="Q2" s="1435"/>
      <c r="R2" s="1435"/>
      <c r="S2" s="1435"/>
      <c r="T2" s="1435"/>
      <c r="U2" s="1435"/>
      <c r="V2" s="1435"/>
    </row>
    <row r="3" spans="2:22" x14ac:dyDescent="0.3">
      <c r="B3" s="1406" t="str">
        <f>Index!B3</f>
        <v>MYT Petition Formats for Bhusawal Unit 6</v>
      </c>
      <c r="C3" s="1406"/>
      <c r="D3" s="1406"/>
      <c r="E3" s="1406"/>
      <c r="F3" s="1406"/>
      <c r="G3" s="1406"/>
      <c r="H3" s="1406"/>
      <c r="I3" s="1406"/>
      <c r="J3" s="1406"/>
      <c r="K3" s="1406"/>
      <c r="L3" s="1435"/>
      <c r="M3" s="1435"/>
      <c r="N3" s="1435"/>
      <c r="O3" s="1435"/>
      <c r="P3" s="1435"/>
      <c r="Q3" s="1435"/>
      <c r="R3" s="1435"/>
      <c r="S3" s="1435"/>
      <c r="T3" s="1435"/>
      <c r="U3" s="1435"/>
      <c r="V3" s="1435"/>
    </row>
    <row r="4" spans="2:22" x14ac:dyDescent="0.3">
      <c r="B4" s="1406" t="s">
        <v>370</v>
      </c>
      <c r="C4" s="1406"/>
      <c r="D4" s="1406"/>
      <c r="E4" s="1406"/>
      <c r="F4" s="1406"/>
      <c r="G4" s="1406"/>
      <c r="H4" s="1406"/>
      <c r="I4" s="1406"/>
      <c r="J4" s="1406"/>
      <c r="K4" s="1406"/>
      <c r="L4" s="1435"/>
      <c r="M4" s="1435"/>
      <c r="N4" s="1435"/>
      <c r="O4" s="1435"/>
      <c r="P4" s="1435"/>
      <c r="Q4" s="1435"/>
      <c r="R4" s="1435"/>
      <c r="S4" s="1435"/>
      <c r="T4" s="1435"/>
      <c r="U4" s="1435"/>
      <c r="V4" s="1435"/>
    </row>
    <row r="5" spans="2:22" x14ac:dyDescent="0.3">
      <c r="B5" s="17"/>
      <c r="C5" s="88"/>
      <c r="D5" s="88"/>
      <c r="E5" s="88"/>
      <c r="F5" s="88"/>
      <c r="G5" s="88"/>
      <c r="H5" s="88"/>
      <c r="I5" s="88"/>
      <c r="J5" s="88"/>
      <c r="K5" s="88"/>
      <c r="L5" s="88"/>
      <c r="M5" s="88"/>
      <c r="N5" s="88"/>
      <c r="O5" s="88"/>
      <c r="P5" s="88"/>
      <c r="Q5" s="88"/>
      <c r="R5" s="88"/>
      <c r="S5" s="88"/>
      <c r="T5" s="88"/>
      <c r="U5" s="88"/>
      <c r="V5" s="88"/>
    </row>
    <row r="6" spans="2:22" ht="14.5" thickBot="1" x14ac:dyDescent="0.35">
      <c r="B6" s="42"/>
      <c r="C6" s="13"/>
      <c r="D6" s="14"/>
      <c r="E6" s="14"/>
      <c r="F6" s="14"/>
      <c r="G6" s="14"/>
      <c r="H6" s="14"/>
      <c r="I6" s="14"/>
      <c r="J6" s="14"/>
      <c r="K6" s="14"/>
      <c r="L6" s="14"/>
      <c r="M6" s="14"/>
      <c r="N6" s="14"/>
    </row>
    <row r="7" spans="2:22" ht="15" x14ac:dyDescent="0.3">
      <c r="B7" s="1458" t="s">
        <v>327</v>
      </c>
      <c r="C7" s="1461" t="s">
        <v>35</v>
      </c>
      <c r="D7" s="1461" t="s">
        <v>136</v>
      </c>
      <c r="E7" s="1463" t="s">
        <v>477</v>
      </c>
      <c r="F7" s="1464"/>
      <c r="G7" s="1465"/>
      <c r="H7" s="1416" t="s">
        <v>849</v>
      </c>
      <c r="I7" s="1418"/>
      <c r="J7" s="1469" t="s">
        <v>848</v>
      </c>
      <c r="K7" s="1470"/>
      <c r="L7" s="1470"/>
      <c r="M7" s="1471"/>
      <c r="N7" s="1466" t="s">
        <v>25</v>
      </c>
    </row>
    <row r="8" spans="2:22" s="29" customFormat="1" ht="44.25" customHeight="1" x14ac:dyDescent="0.25">
      <c r="B8" s="1459"/>
      <c r="C8" s="1462"/>
      <c r="D8" s="1462"/>
      <c r="E8" s="201" t="s">
        <v>827</v>
      </c>
      <c r="F8" s="97" t="s">
        <v>77</v>
      </c>
      <c r="G8" s="97" t="s">
        <v>427</v>
      </c>
      <c r="H8" s="1408" t="s">
        <v>827</v>
      </c>
      <c r="I8" s="1438" t="s">
        <v>3068</v>
      </c>
      <c r="J8" s="456" t="s">
        <v>850</v>
      </c>
      <c r="K8" s="456" t="s">
        <v>851</v>
      </c>
      <c r="L8" s="456" t="s">
        <v>852</v>
      </c>
      <c r="M8" s="456" t="s">
        <v>853</v>
      </c>
      <c r="N8" s="1467"/>
    </row>
    <row r="9" spans="2:22" s="29" customFormat="1" ht="15" x14ac:dyDescent="0.25">
      <c r="B9" s="1460"/>
      <c r="C9" s="1412"/>
      <c r="D9" s="1412"/>
      <c r="E9" s="97" t="s">
        <v>78</v>
      </c>
      <c r="F9" s="97" t="s">
        <v>79</v>
      </c>
      <c r="G9" s="97" t="s">
        <v>627</v>
      </c>
      <c r="H9" s="1437"/>
      <c r="I9" s="1439"/>
      <c r="J9" s="456" t="s">
        <v>20</v>
      </c>
      <c r="K9" s="456" t="s">
        <v>20</v>
      </c>
      <c r="L9" s="456" t="s">
        <v>20</v>
      </c>
      <c r="M9" s="456" t="s">
        <v>20</v>
      </c>
      <c r="N9" s="1468"/>
    </row>
    <row r="10" spans="2:22" s="29" customFormat="1" ht="15.5" x14ac:dyDescent="0.25">
      <c r="B10" s="1084" t="s">
        <v>167</v>
      </c>
      <c r="C10" s="233" t="s">
        <v>709</v>
      </c>
      <c r="D10" s="276"/>
      <c r="E10" s="276"/>
      <c r="F10" s="276"/>
      <c r="G10" s="276"/>
      <c r="H10" s="276"/>
      <c r="I10" s="267"/>
      <c r="J10" s="267"/>
      <c r="K10" s="267"/>
      <c r="L10" s="267"/>
      <c r="M10" s="267"/>
      <c r="N10" s="1085"/>
    </row>
    <row r="11" spans="2:22" s="4" customFormat="1" ht="15.5" x14ac:dyDescent="0.35">
      <c r="B11" s="1086">
        <v>1</v>
      </c>
      <c r="C11" s="277" t="s">
        <v>137</v>
      </c>
      <c r="D11" s="263" t="s">
        <v>114</v>
      </c>
      <c r="E11" s="476">
        <f>F11</f>
        <v>1859.4222900749801</v>
      </c>
      <c r="F11" s="416">
        <v>1859.4222900749801</v>
      </c>
      <c r="G11" s="416">
        <f>F11-E11</f>
        <v>0</v>
      </c>
      <c r="H11" s="1452">
        <f>I11</f>
        <v>4502.0397580995932</v>
      </c>
      <c r="I11" s="1455">
        <v>4502.0397580995932</v>
      </c>
      <c r="J11" s="397"/>
      <c r="K11" s="397"/>
      <c r="L11" s="397"/>
      <c r="M11" s="397"/>
      <c r="N11" s="1087"/>
    </row>
    <row r="12" spans="2:22" s="4" customFormat="1" ht="15.5" x14ac:dyDescent="0.35">
      <c r="B12" s="1086">
        <f>B11+1</f>
        <v>2</v>
      </c>
      <c r="C12" s="278" t="s">
        <v>710</v>
      </c>
      <c r="D12" s="263" t="s">
        <v>114</v>
      </c>
      <c r="E12" s="476">
        <f t="shared" ref="E12:E21" si="0">F12</f>
        <v>1653.6350188517813</v>
      </c>
      <c r="F12" s="416">
        <v>1653.6350188517813</v>
      </c>
      <c r="G12" s="416">
        <f t="shared" ref="G12:G25" si="1">F12-E12</f>
        <v>0</v>
      </c>
      <c r="H12" s="1453"/>
      <c r="I12" s="1456"/>
      <c r="J12" s="397"/>
      <c r="K12" s="397"/>
      <c r="L12" s="397"/>
      <c r="M12" s="397"/>
      <c r="N12" s="1087"/>
    </row>
    <row r="13" spans="2:22" s="4" customFormat="1" ht="15.5" x14ac:dyDescent="0.35">
      <c r="B13" s="1086">
        <f t="shared" ref="B13:B26" si="2">B12+1</f>
        <v>3</v>
      </c>
      <c r="C13" s="278" t="s">
        <v>223</v>
      </c>
      <c r="D13" s="263" t="s">
        <v>114</v>
      </c>
      <c r="E13" s="476">
        <f t="shared" si="0"/>
        <v>0</v>
      </c>
      <c r="F13" s="416">
        <v>0</v>
      </c>
      <c r="G13" s="416">
        <f t="shared" si="1"/>
        <v>0</v>
      </c>
      <c r="H13" s="1453"/>
      <c r="I13" s="1456"/>
      <c r="J13" s="397"/>
      <c r="K13" s="397"/>
      <c r="L13" s="397"/>
      <c r="M13" s="397"/>
      <c r="N13" s="1087"/>
    </row>
    <row r="14" spans="2:22" s="4" customFormat="1" ht="15.5" x14ac:dyDescent="0.35">
      <c r="B14" s="1086">
        <f t="shared" si="2"/>
        <v>4</v>
      </c>
      <c r="C14" s="278" t="s">
        <v>719</v>
      </c>
      <c r="D14" s="263" t="s">
        <v>114</v>
      </c>
      <c r="E14" s="476">
        <f t="shared" si="0"/>
        <v>0</v>
      </c>
      <c r="F14" s="416">
        <v>0</v>
      </c>
      <c r="G14" s="416">
        <f t="shared" si="1"/>
        <v>0</v>
      </c>
      <c r="H14" s="1453"/>
      <c r="I14" s="1456"/>
      <c r="J14" s="397"/>
      <c r="K14" s="397"/>
      <c r="L14" s="397"/>
      <c r="M14" s="397"/>
      <c r="N14" s="1088"/>
    </row>
    <row r="15" spans="2:22" s="4" customFormat="1" ht="15.5" x14ac:dyDescent="0.35">
      <c r="B15" s="1086">
        <f t="shared" si="2"/>
        <v>5</v>
      </c>
      <c r="C15" s="278" t="s">
        <v>738</v>
      </c>
      <c r="D15" s="263" t="s">
        <v>114</v>
      </c>
      <c r="E15" s="476">
        <f t="shared" si="0"/>
        <v>183.53418508726935</v>
      </c>
      <c r="F15" s="416">
        <v>183.53418508726935</v>
      </c>
      <c r="G15" s="416">
        <f t="shared" si="1"/>
        <v>0</v>
      </c>
      <c r="H15" s="1453"/>
      <c r="I15" s="1456"/>
      <c r="J15" s="397"/>
      <c r="K15" s="397"/>
      <c r="L15" s="397"/>
      <c r="M15" s="397"/>
      <c r="N15" s="1088"/>
    </row>
    <row r="16" spans="2:22" s="4" customFormat="1" ht="15.5" x14ac:dyDescent="0.35">
      <c r="B16" s="1086">
        <f t="shared" si="2"/>
        <v>6</v>
      </c>
      <c r="C16" s="278" t="s">
        <v>711</v>
      </c>
      <c r="D16" s="263" t="s">
        <v>114</v>
      </c>
      <c r="E16" s="476">
        <f t="shared" si="0"/>
        <v>0</v>
      </c>
      <c r="F16" s="416">
        <v>0</v>
      </c>
      <c r="G16" s="416">
        <f t="shared" si="1"/>
        <v>0</v>
      </c>
      <c r="H16" s="1453"/>
      <c r="I16" s="1456"/>
      <c r="J16" s="397"/>
      <c r="K16" s="397"/>
      <c r="L16" s="397"/>
      <c r="M16" s="397"/>
      <c r="N16" s="1088"/>
    </row>
    <row r="17" spans="2:14" s="4" customFormat="1" ht="15.5" x14ac:dyDescent="0.35">
      <c r="B17" s="1086">
        <f t="shared" si="2"/>
        <v>7</v>
      </c>
      <c r="C17" s="278" t="s">
        <v>712</v>
      </c>
      <c r="D17" s="263" t="s">
        <v>114</v>
      </c>
      <c r="E17" s="476">
        <f t="shared" si="0"/>
        <v>242.10725717778084</v>
      </c>
      <c r="F17" s="416">
        <v>242.10725717778084</v>
      </c>
      <c r="G17" s="416">
        <f t="shared" si="1"/>
        <v>0</v>
      </c>
      <c r="H17" s="1453"/>
      <c r="I17" s="1456"/>
      <c r="J17" s="397"/>
      <c r="K17" s="397"/>
      <c r="L17" s="397"/>
      <c r="M17" s="397"/>
      <c r="N17" s="1088"/>
    </row>
    <row r="18" spans="2:14" s="4" customFormat="1" ht="15.5" x14ac:dyDescent="0.35">
      <c r="B18" s="1086">
        <f t="shared" si="2"/>
        <v>8</v>
      </c>
      <c r="C18" s="278" t="s">
        <v>713</v>
      </c>
      <c r="D18" s="263" t="s">
        <v>114</v>
      </c>
      <c r="E18" s="476">
        <f t="shared" si="0"/>
        <v>190.87633672193255</v>
      </c>
      <c r="F18" s="416">
        <v>190.87633672193255</v>
      </c>
      <c r="G18" s="416">
        <f t="shared" si="1"/>
        <v>0</v>
      </c>
      <c r="H18" s="1453"/>
      <c r="I18" s="1456"/>
      <c r="J18" s="397"/>
      <c r="K18" s="397"/>
      <c r="L18" s="397"/>
      <c r="M18" s="397"/>
      <c r="N18" s="1088"/>
    </row>
    <row r="19" spans="2:14" s="4" customFormat="1" ht="15.5" x14ac:dyDescent="0.35">
      <c r="B19" s="1086">
        <f t="shared" si="2"/>
        <v>9</v>
      </c>
      <c r="C19" s="278" t="s">
        <v>714</v>
      </c>
      <c r="D19" s="263" t="s">
        <v>114</v>
      </c>
      <c r="E19" s="476">
        <f t="shared" si="0"/>
        <v>400</v>
      </c>
      <c r="F19" s="416">
        <v>400</v>
      </c>
      <c r="G19" s="416">
        <f t="shared" si="1"/>
        <v>0</v>
      </c>
      <c r="H19" s="1453"/>
      <c r="I19" s="1456"/>
      <c r="J19" s="397"/>
      <c r="K19" s="397"/>
      <c r="L19" s="397"/>
      <c r="M19" s="397"/>
      <c r="N19" s="1088"/>
    </row>
    <row r="20" spans="2:14" s="4" customFormat="1" ht="15.5" x14ac:dyDescent="0.35">
      <c r="B20" s="1086">
        <f t="shared" si="2"/>
        <v>10</v>
      </c>
      <c r="C20" s="278" t="s">
        <v>715</v>
      </c>
      <c r="D20" s="263" t="s">
        <v>114</v>
      </c>
      <c r="E20" s="476">
        <f t="shared" si="0"/>
        <v>0</v>
      </c>
      <c r="F20" s="416">
        <v>0</v>
      </c>
      <c r="G20" s="416">
        <f t="shared" si="1"/>
        <v>0</v>
      </c>
      <c r="H20" s="1453"/>
      <c r="I20" s="1456"/>
      <c r="J20" s="397"/>
      <c r="K20" s="397"/>
      <c r="L20" s="397"/>
      <c r="M20" s="397"/>
      <c r="N20" s="1088"/>
    </row>
    <row r="21" spans="2:14" s="4" customFormat="1" ht="15.5" x14ac:dyDescent="0.35">
      <c r="B21" s="1086">
        <f t="shared" si="2"/>
        <v>11</v>
      </c>
      <c r="C21" s="278" t="s">
        <v>737</v>
      </c>
      <c r="D21" s="263" t="s">
        <v>114</v>
      </c>
      <c r="E21" s="476">
        <f t="shared" si="0"/>
        <v>77.474322297301242</v>
      </c>
      <c r="F21" s="416">
        <v>77.474322297301242</v>
      </c>
      <c r="G21" s="416">
        <f t="shared" si="1"/>
        <v>0</v>
      </c>
      <c r="H21" s="1454"/>
      <c r="I21" s="1457"/>
      <c r="J21" s="397"/>
      <c r="K21" s="397"/>
      <c r="L21" s="397"/>
      <c r="M21" s="397"/>
      <c r="N21" s="1088"/>
    </row>
    <row r="22" spans="2:14" s="4" customFormat="1" ht="15.5" x14ac:dyDescent="0.35">
      <c r="B22" s="1086">
        <f t="shared" si="2"/>
        <v>12</v>
      </c>
      <c r="C22" s="278" t="s">
        <v>731</v>
      </c>
      <c r="D22" s="263" t="s">
        <v>114</v>
      </c>
      <c r="E22" s="476"/>
      <c r="F22" s="416">
        <v>112.22558831558381</v>
      </c>
      <c r="G22" s="416"/>
      <c r="H22" s="416">
        <f>I22</f>
        <v>34.804726215027884</v>
      </c>
      <c r="I22" s="397">
        <v>34.804726215027884</v>
      </c>
      <c r="J22" s="660">
        <f>I22*(1+Assumptions!I$81)</f>
        <v>35.848868001478721</v>
      </c>
      <c r="K22" s="660">
        <f>J22*(1+Assumptions!J$81)</f>
        <v>36.924334041523082</v>
      </c>
      <c r="L22" s="660">
        <f>K22*(1+Assumptions!K$81)</f>
        <v>38.032064062768775</v>
      </c>
      <c r="M22" s="660">
        <f>L22*(1+Assumptions!L$81)</f>
        <v>39.173025984651836</v>
      </c>
      <c r="N22" s="1088"/>
    </row>
    <row r="23" spans="2:14" s="4" customFormat="1" ht="45" x14ac:dyDescent="0.3">
      <c r="B23" s="1089">
        <f t="shared" si="2"/>
        <v>13</v>
      </c>
      <c r="C23" s="288" t="s">
        <v>650</v>
      </c>
      <c r="D23" s="263" t="s">
        <v>114</v>
      </c>
      <c r="E23" s="308">
        <f>SUM(E11:E22)</f>
        <v>4607.0494102110451</v>
      </c>
      <c r="F23" s="308">
        <f>SUM(F11:F22)</f>
        <v>4719.2749985266291</v>
      </c>
      <c r="G23" s="308">
        <f t="shared" si="1"/>
        <v>112.22558831558399</v>
      </c>
      <c r="H23" s="308">
        <f>H11</f>
        <v>4502.0397580995932</v>
      </c>
      <c r="I23" s="660">
        <v>4502.0397580995932</v>
      </c>
      <c r="J23" s="660">
        <f>I23*(1+Assumptions!I$81)</f>
        <v>4637.1009508425814</v>
      </c>
      <c r="K23" s="660">
        <f>J23*(1+Assumptions!J$81)</f>
        <v>4776.2139793678589</v>
      </c>
      <c r="L23" s="660">
        <f>K23*(1+Assumptions!K$81)</f>
        <v>4919.5003987488944</v>
      </c>
      <c r="M23" s="660">
        <f>L23*(1+Assumptions!L$81)</f>
        <v>5067.085410711361</v>
      </c>
      <c r="N23" s="1088"/>
    </row>
    <row r="24" spans="2:14" s="4" customFormat="1" ht="15.5" x14ac:dyDescent="0.3">
      <c r="B24" s="1086">
        <f t="shared" si="2"/>
        <v>14</v>
      </c>
      <c r="C24" s="289" t="s">
        <v>140</v>
      </c>
      <c r="D24" s="263" t="s">
        <v>96</v>
      </c>
      <c r="E24" s="307">
        <f>F2.2!$F$43</f>
        <v>8.0000000000000002E-3</v>
      </c>
      <c r="F24" s="1082">
        <f>F2.2!$G$44</f>
        <v>1.34E-2</v>
      </c>
      <c r="G24" s="307">
        <f t="shared" si="1"/>
        <v>5.4000000000000003E-3</v>
      </c>
      <c r="H24" s="307">
        <f>F2.2!$I$43</f>
        <v>8.0000000000000002E-3</v>
      </c>
      <c r="I24" s="1082">
        <v>2.29E-2</v>
      </c>
      <c r="J24" s="1082">
        <f>Assumptions!I80</f>
        <v>8.0000000000000002E-3</v>
      </c>
      <c r="K24" s="1082">
        <f>Assumptions!J80</f>
        <v>8.0000000000000002E-3</v>
      </c>
      <c r="L24" s="1082">
        <f>Assumptions!K80</f>
        <v>8.0000000000000002E-3</v>
      </c>
      <c r="M24" s="1082">
        <f>Assumptions!L80</f>
        <v>8.0000000000000002E-3</v>
      </c>
      <c r="N24" s="1090"/>
    </row>
    <row r="25" spans="2:14" s="4" customFormat="1" ht="15.5" x14ac:dyDescent="0.35">
      <c r="B25" s="1086">
        <f t="shared" si="2"/>
        <v>15</v>
      </c>
      <c r="C25" s="289" t="s">
        <v>631</v>
      </c>
      <c r="D25" s="263" t="s">
        <v>114</v>
      </c>
      <c r="E25" s="416"/>
      <c r="F25" s="477"/>
      <c r="G25" s="416">
        <f t="shared" si="1"/>
        <v>0</v>
      </c>
      <c r="H25" s="416"/>
      <c r="I25" s="397"/>
      <c r="J25" s="661"/>
      <c r="K25" s="397"/>
      <c r="L25" s="661"/>
      <c r="M25" s="661"/>
      <c r="N25" s="1090"/>
    </row>
    <row r="26" spans="2:14" s="4" customFormat="1" ht="45" x14ac:dyDescent="0.3">
      <c r="B26" s="1089">
        <f t="shared" si="2"/>
        <v>16</v>
      </c>
      <c r="C26" s="288" t="s">
        <v>651</v>
      </c>
      <c r="D26" s="290" t="s">
        <v>114</v>
      </c>
      <c r="E26" s="308">
        <f t="shared" ref="E26:G26" si="3">(E23-E22)/(1-E24)+E25+E22</f>
        <v>4644.2030344869409</v>
      </c>
      <c r="F26" s="308">
        <f>(F23-F22)/(1-F24)+F25+F22</f>
        <v>4781.8479380125682</v>
      </c>
      <c r="G26" s="308">
        <f t="shared" si="3"/>
        <v>112.8348967580776</v>
      </c>
      <c r="H26" s="660">
        <f>H23/(1-H24)+H22</f>
        <v>4573.1512565573594</v>
      </c>
      <c r="I26" s="660">
        <f>I23/(1-I24)+I22</f>
        <v>4642.3574414945215</v>
      </c>
      <c r="J26" s="660">
        <f>J23/(1-J24)+J22</f>
        <v>4710.3457942540808</v>
      </c>
      <c r="K26" s="660">
        <f t="shared" ref="K26:M26" si="4">K23/(1-K24)+K22</f>
        <v>4851.656168081704</v>
      </c>
      <c r="L26" s="660">
        <f t="shared" si="4"/>
        <v>4997.2058531241546</v>
      </c>
      <c r="M26" s="660">
        <f t="shared" si="4"/>
        <v>5147.1220287178785</v>
      </c>
      <c r="N26" s="1091"/>
    </row>
    <row r="27" spans="2:14" s="4" customFormat="1" ht="15.5" x14ac:dyDescent="0.3">
      <c r="B27" s="1092"/>
      <c r="C27" s="279"/>
      <c r="D27" s="281"/>
      <c r="E27" s="121"/>
      <c r="F27" s="121"/>
      <c r="G27" s="416"/>
      <c r="H27" s="416"/>
      <c r="I27" s="121"/>
      <c r="J27" s="121"/>
      <c r="K27" s="121"/>
      <c r="L27" s="121"/>
      <c r="M27" s="121"/>
      <c r="N27" s="1090"/>
    </row>
    <row r="28" spans="2:14" s="4" customFormat="1" ht="15" x14ac:dyDescent="0.3">
      <c r="B28" s="1093" t="s">
        <v>180</v>
      </c>
      <c r="C28" s="234" t="s">
        <v>716</v>
      </c>
      <c r="D28" s="281"/>
      <c r="E28" s="121"/>
      <c r="F28" s="121"/>
      <c r="G28" s="416"/>
      <c r="H28" s="416"/>
      <c r="I28" s="121"/>
      <c r="J28" s="121"/>
      <c r="K28" s="121"/>
      <c r="L28" s="121"/>
      <c r="M28" s="121"/>
      <c r="N28" s="1090"/>
    </row>
    <row r="29" spans="2:14" s="4" customFormat="1" ht="15.5" x14ac:dyDescent="0.35">
      <c r="B29" s="1094">
        <v>1</v>
      </c>
      <c r="C29" s="278" t="s">
        <v>717</v>
      </c>
      <c r="D29" s="281" t="s">
        <v>114</v>
      </c>
      <c r="E29" s="416">
        <f>F29</f>
        <v>7796.9210535681259</v>
      </c>
      <c r="F29" s="416">
        <v>7796.9210535681259</v>
      </c>
      <c r="G29" s="416">
        <f t="shared" ref="G29:G39" si="5">F29-E29</f>
        <v>0</v>
      </c>
      <c r="H29" s="416"/>
      <c r="I29" s="397"/>
      <c r="J29" s="397"/>
      <c r="K29" s="397"/>
      <c r="L29" s="397"/>
      <c r="M29" s="397"/>
      <c r="N29" s="1090"/>
    </row>
    <row r="30" spans="2:14" s="4" customFormat="1" ht="15.5" x14ac:dyDescent="0.35">
      <c r="B30" s="1094">
        <v>2</v>
      </c>
      <c r="C30" s="278" t="s">
        <v>718</v>
      </c>
      <c r="D30" s="281" t="s">
        <v>114</v>
      </c>
      <c r="E30" s="416">
        <f t="shared" ref="E30:E38" si="6">F30</f>
        <v>1020.634114207375</v>
      </c>
      <c r="F30" s="416">
        <v>1020.634114207375</v>
      </c>
      <c r="G30" s="416">
        <f t="shared" si="5"/>
        <v>0</v>
      </c>
      <c r="H30" s="416"/>
      <c r="I30" s="397"/>
      <c r="J30" s="397"/>
      <c r="K30" s="397"/>
      <c r="L30" s="397"/>
      <c r="M30" s="397"/>
      <c r="N30" s="1090"/>
    </row>
    <row r="31" spans="2:14" s="4" customFormat="1" ht="15.5" x14ac:dyDescent="0.35">
      <c r="B31" s="1094">
        <v>3</v>
      </c>
      <c r="C31" s="278" t="s">
        <v>223</v>
      </c>
      <c r="D31" s="281" t="s">
        <v>114</v>
      </c>
      <c r="E31" s="416">
        <f t="shared" si="6"/>
        <v>13.547812267851759</v>
      </c>
      <c r="F31" s="416">
        <v>13.547812267851759</v>
      </c>
      <c r="G31" s="416">
        <f t="shared" si="5"/>
        <v>0</v>
      </c>
      <c r="H31" s="416"/>
      <c r="I31" s="397"/>
      <c r="J31" s="397"/>
      <c r="K31" s="397"/>
      <c r="L31" s="397"/>
      <c r="M31" s="397"/>
      <c r="N31" s="1090"/>
    </row>
    <row r="32" spans="2:14" s="4" customFormat="1" ht="15.5" x14ac:dyDescent="0.35">
      <c r="B32" s="1094">
        <v>4</v>
      </c>
      <c r="C32" s="278" t="s">
        <v>719</v>
      </c>
      <c r="D32" s="281" t="s">
        <v>114</v>
      </c>
      <c r="E32" s="416">
        <f t="shared" si="6"/>
        <v>0</v>
      </c>
      <c r="F32" s="416">
        <v>0</v>
      </c>
      <c r="G32" s="416">
        <f t="shared" si="5"/>
        <v>0</v>
      </c>
      <c r="H32" s="416"/>
      <c r="I32" s="397"/>
      <c r="J32" s="397"/>
      <c r="K32" s="397"/>
      <c r="L32" s="397"/>
      <c r="M32" s="397"/>
      <c r="N32" s="1090"/>
    </row>
    <row r="33" spans="2:14" s="4" customFormat="1" ht="15.5" x14ac:dyDescent="0.35">
      <c r="B33" s="1094">
        <v>5</v>
      </c>
      <c r="C33" s="278" t="s">
        <v>720</v>
      </c>
      <c r="D33" s="281" t="s">
        <v>114</v>
      </c>
      <c r="E33" s="416">
        <f t="shared" si="6"/>
        <v>1064.470963902638</v>
      </c>
      <c r="F33" s="416">
        <v>1064.470963902638</v>
      </c>
      <c r="G33" s="416">
        <f t="shared" si="5"/>
        <v>0</v>
      </c>
      <c r="H33" s="416"/>
      <c r="I33" s="397"/>
      <c r="J33" s="397"/>
      <c r="K33" s="397"/>
      <c r="L33" s="397"/>
      <c r="M33" s="397"/>
      <c r="N33" s="1090"/>
    </row>
    <row r="34" spans="2:14" s="4" customFormat="1" ht="15.5" x14ac:dyDescent="0.35">
      <c r="B34" s="1094">
        <v>6</v>
      </c>
      <c r="C34" s="278" t="s">
        <v>711</v>
      </c>
      <c r="D34" s="281" t="s">
        <v>114</v>
      </c>
      <c r="E34" s="416">
        <f t="shared" si="6"/>
        <v>0</v>
      </c>
      <c r="F34" s="416">
        <v>0</v>
      </c>
      <c r="G34" s="416">
        <f t="shared" si="5"/>
        <v>0</v>
      </c>
      <c r="H34" s="416"/>
      <c r="I34" s="397"/>
      <c r="J34" s="397"/>
      <c r="K34" s="397"/>
      <c r="L34" s="397"/>
      <c r="M34" s="397"/>
      <c r="N34" s="1090"/>
    </row>
    <row r="35" spans="2:14" s="4" customFormat="1" ht="15.5" x14ac:dyDescent="0.35">
      <c r="B35" s="1094">
        <v>7</v>
      </c>
      <c r="C35" s="278" t="s">
        <v>712</v>
      </c>
      <c r="D35" s="281" t="s">
        <v>114</v>
      </c>
      <c r="E35" s="416">
        <f t="shared" si="6"/>
        <v>0</v>
      </c>
      <c r="F35" s="416">
        <v>0</v>
      </c>
      <c r="G35" s="416">
        <f t="shared" si="5"/>
        <v>0</v>
      </c>
      <c r="H35" s="416"/>
      <c r="I35" s="397"/>
      <c r="J35" s="397"/>
      <c r="K35" s="397"/>
      <c r="L35" s="397"/>
      <c r="M35" s="397"/>
      <c r="N35" s="1090"/>
    </row>
    <row r="36" spans="2:14" s="4" customFormat="1" ht="15.5" x14ac:dyDescent="0.35">
      <c r="B36" s="1094">
        <v>8</v>
      </c>
      <c r="C36" s="278" t="s">
        <v>713</v>
      </c>
      <c r="D36" s="281" t="s">
        <v>114</v>
      </c>
      <c r="E36" s="416">
        <f t="shared" si="6"/>
        <v>0</v>
      </c>
      <c r="F36" s="416">
        <v>0</v>
      </c>
      <c r="G36" s="416">
        <f t="shared" si="5"/>
        <v>0</v>
      </c>
      <c r="H36" s="416"/>
      <c r="I36" s="397"/>
      <c r="J36" s="397"/>
      <c r="K36" s="397"/>
      <c r="L36" s="397"/>
      <c r="M36" s="397"/>
      <c r="N36" s="1090"/>
    </row>
    <row r="37" spans="2:14" s="4" customFormat="1" ht="15.5" x14ac:dyDescent="0.35">
      <c r="B37" s="1094">
        <v>9</v>
      </c>
      <c r="C37" s="278" t="s">
        <v>205</v>
      </c>
      <c r="D37" s="281" t="s">
        <v>114</v>
      </c>
      <c r="E37" s="416">
        <f t="shared" si="6"/>
        <v>0</v>
      </c>
      <c r="F37" s="416">
        <v>0</v>
      </c>
      <c r="G37" s="416">
        <f t="shared" si="5"/>
        <v>0</v>
      </c>
      <c r="H37" s="416"/>
      <c r="I37" s="397"/>
      <c r="J37" s="397"/>
      <c r="K37" s="397"/>
      <c r="L37" s="397"/>
      <c r="M37" s="397"/>
      <c r="N37" s="1090"/>
    </row>
    <row r="38" spans="2:14" s="4" customFormat="1" ht="15.5" x14ac:dyDescent="0.35">
      <c r="B38" s="1094">
        <v>10</v>
      </c>
      <c r="C38" s="278" t="s">
        <v>205</v>
      </c>
      <c r="D38" s="281" t="s">
        <v>114</v>
      </c>
      <c r="E38" s="416">
        <f t="shared" si="6"/>
        <v>1016.0859200888818</v>
      </c>
      <c r="F38" s="416">
        <v>1016.0859200888818</v>
      </c>
      <c r="G38" s="416">
        <f t="shared" si="5"/>
        <v>0</v>
      </c>
      <c r="H38" s="416"/>
      <c r="I38" s="397"/>
      <c r="J38" s="397"/>
      <c r="K38" s="397"/>
      <c r="L38" s="397"/>
      <c r="M38" s="397"/>
      <c r="N38" s="1090"/>
    </row>
    <row r="39" spans="2:14" s="4" customFormat="1" ht="15.5" x14ac:dyDescent="0.35">
      <c r="B39" s="1086">
        <v>11</v>
      </c>
      <c r="C39" s="278" t="s">
        <v>731</v>
      </c>
      <c r="D39" s="290" t="s">
        <v>114</v>
      </c>
      <c r="E39" s="416">
        <f>F39</f>
        <v>112.22558831558381</v>
      </c>
      <c r="F39" s="416">
        <v>112.22558831558381</v>
      </c>
      <c r="G39" s="416">
        <f t="shared" si="5"/>
        <v>0</v>
      </c>
      <c r="H39" s="416"/>
      <c r="I39" s="397"/>
      <c r="J39" s="397"/>
      <c r="K39" s="397"/>
      <c r="L39" s="397"/>
      <c r="M39" s="397"/>
      <c r="N39" s="1090"/>
    </row>
    <row r="40" spans="2:14" s="4" customFormat="1" ht="15.5" x14ac:dyDescent="0.3">
      <c r="B40" s="1093"/>
      <c r="C40" s="234" t="s">
        <v>721</v>
      </c>
      <c r="D40" s="281" t="s">
        <v>114</v>
      </c>
      <c r="E40" s="308">
        <f t="shared" ref="E40:G40" si="7">SUM(E29:E39)</f>
        <v>11023.885452350458</v>
      </c>
      <c r="F40" s="308">
        <f t="shared" si="7"/>
        <v>11023.885452350458</v>
      </c>
      <c r="G40" s="308">
        <f t="shared" si="7"/>
        <v>0</v>
      </c>
      <c r="H40" s="308">
        <f>I40</f>
        <v>11213.958911551586</v>
      </c>
      <c r="I40" s="1008">
        <v>11213.958911551586</v>
      </c>
      <c r="J40" s="660"/>
      <c r="K40" s="660"/>
      <c r="L40" s="660"/>
      <c r="M40" s="660"/>
      <c r="N40" s="1095">
        <f t="shared" ref="N40" si="8">SUM(N29:N38)</f>
        <v>0</v>
      </c>
    </row>
    <row r="41" spans="2:14" s="4" customFormat="1" ht="15.5" x14ac:dyDescent="0.3">
      <c r="B41" s="1092"/>
      <c r="C41" s="279"/>
      <c r="D41" s="281"/>
      <c r="E41" s="416"/>
      <c r="F41" s="416"/>
      <c r="G41" s="416"/>
      <c r="H41" s="416"/>
      <c r="I41" s="397"/>
      <c r="J41" s="397"/>
      <c r="K41" s="397"/>
      <c r="L41" s="397"/>
      <c r="M41" s="397"/>
      <c r="N41" s="1090"/>
    </row>
    <row r="42" spans="2:14" s="4" customFormat="1" ht="15" x14ac:dyDescent="0.3">
      <c r="B42" s="1089" t="s">
        <v>181</v>
      </c>
      <c r="C42" s="234" t="s">
        <v>795</v>
      </c>
      <c r="D42" s="290"/>
      <c r="E42" s="416"/>
      <c r="F42" s="416"/>
      <c r="G42" s="416"/>
      <c r="H42" s="416"/>
      <c r="I42" s="397"/>
      <c r="J42" s="397"/>
      <c r="K42" s="397"/>
      <c r="L42" s="397"/>
      <c r="M42" s="397"/>
      <c r="N42" s="1090"/>
    </row>
    <row r="43" spans="2:14" s="4" customFormat="1" ht="15.5" x14ac:dyDescent="0.35">
      <c r="B43" s="1089">
        <v>1</v>
      </c>
      <c r="C43" s="278" t="s">
        <v>717</v>
      </c>
      <c r="D43" s="290" t="s">
        <v>796</v>
      </c>
      <c r="E43" s="416">
        <f>F43</f>
        <v>0</v>
      </c>
      <c r="F43" s="416"/>
      <c r="G43" s="416">
        <f t="shared" ref="G43:G52" si="9">F43-E43</f>
        <v>0</v>
      </c>
      <c r="H43" s="416"/>
      <c r="I43" s="397"/>
      <c r="J43" s="397"/>
      <c r="K43" s="397"/>
      <c r="L43" s="397"/>
      <c r="M43" s="397"/>
      <c r="N43" s="1090"/>
    </row>
    <row r="44" spans="2:14" s="4" customFormat="1" ht="15.5" x14ac:dyDescent="0.35">
      <c r="B44" s="1089">
        <f>+B43+1</f>
        <v>2</v>
      </c>
      <c r="C44" s="278" t="s">
        <v>718</v>
      </c>
      <c r="D44" s="290" t="s">
        <v>796</v>
      </c>
      <c r="E44" s="416">
        <f t="shared" ref="E44:E52" si="10">F44</f>
        <v>0</v>
      </c>
      <c r="F44" s="416"/>
      <c r="G44" s="416">
        <f t="shared" si="9"/>
        <v>0</v>
      </c>
      <c r="H44" s="416"/>
      <c r="I44" s="397"/>
      <c r="J44" s="397"/>
      <c r="K44" s="397"/>
      <c r="L44" s="397"/>
      <c r="M44" s="397"/>
      <c r="N44" s="1090"/>
    </row>
    <row r="45" spans="2:14" s="4" customFormat="1" ht="15.5" x14ac:dyDescent="0.35">
      <c r="B45" s="1089">
        <f t="shared" ref="B45:B53" si="11">+B44+1</f>
        <v>3</v>
      </c>
      <c r="C45" s="278" t="s">
        <v>223</v>
      </c>
      <c r="D45" s="290" t="s">
        <v>796</v>
      </c>
      <c r="E45" s="416">
        <f t="shared" si="10"/>
        <v>0</v>
      </c>
      <c r="F45" s="416"/>
      <c r="G45" s="416">
        <f t="shared" si="9"/>
        <v>0</v>
      </c>
      <c r="H45" s="416"/>
      <c r="I45" s="397"/>
      <c r="J45" s="397"/>
      <c r="K45" s="397"/>
      <c r="L45" s="397"/>
      <c r="M45" s="397"/>
      <c r="N45" s="1090"/>
    </row>
    <row r="46" spans="2:14" s="4" customFormat="1" ht="15.5" x14ac:dyDescent="0.35">
      <c r="B46" s="1089">
        <f t="shared" si="11"/>
        <v>4</v>
      </c>
      <c r="C46" s="278" t="s">
        <v>719</v>
      </c>
      <c r="D46" s="290" t="s">
        <v>796</v>
      </c>
      <c r="E46" s="416">
        <f t="shared" si="10"/>
        <v>0</v>
      </c>
      <c r="F46" s="416"/>
      <c r="G46" s="416">
        <f t="shared" si="9"/>
        <v>0</v>
      </c>
      <c r="H46" s="416"/>
      <c r="I46" s="397"/>
      <c r="J46" s="397"/>
      <c r="K46" s="397"/>
      <c r="L46" s="397"/>
      <c r="M46" s="397"/>
      <c r="N46" s="1090"/>
    </row>
    <row r="47" spans="2:14" s="4" customFormat="1" ht="15.5" x14ac:dyDescent="0.35">
      <c r="B47" s="1089">
        <f t="shared" si="11"/>
        <v>5</v>
      </c>
      <c r="C47" s="278" t="s">
        <v>720</v>
      </c>
      <c r="D47" s="290" t="s">
        <v>796</v>
      </c>
      <c r="E47" s="416">
        <f t="shared" si="10"/>
        <v>0</v>
      </c>
      <c r="F47" s="416"/>
      <c r="G47" s="416">
        <f t="shared" si="9"/>
        <v>0</v>
      </c>
      <c r="H47" s="416"/>
      <c r="I47" s="397"/>
      <c r="J47" s="397"/>
      <c r="K47" s="397"/>
      <c r="L47" s="397"/>
      <c r="M47" s="397"/>
      <c r="N47" s="1090"/>
    </row>
    <row r="48" spans="2:14" s="4" customFormat="1" ht="15.5" x14ac:dyDescent="0.35">
      <c r="B48" s="1089">
        <f t="shared" si="11"/>
        <v>6</v>
      </c>
      <c r="C48" s="278" t="s">
        <v>711</v>
      </c>
      <c r="D48" s="290" t="s">
        <v>796</v>
      </c>
      <c r="E48" s="416">
        <f t="shared" si="10"/>
        <v>0</v>
      </c>
      <c r="F48" s="416"/>
      <c r="G48" s="416">
        <f t="shared" si="9"/>
        <v>0</v>
      </c>
      <c r="H48" s="416"/>
      <c r="I48" s="397"/>
      <c r="J48" s="397"/>
      <c r="K48" s="397"/>
      <c r="L48" s="397"/>
      <c r="M48" s="397"/>
      <c r="N48" s="1090"/>
    </row>
    <row r="49" spans="2:14" s="4" customFormat="1" ht="15.5" x14ac:dyDescent="0.35">
      <c r="B49" s="1089">
        <f t="shared" si="11"/>
        <v>7</v>
      </c>
      <c r="C49" s="278" t="s">
        <v>712</v>
      </c>
      <c r="D49" s="290" t="s">
        <v>796</v>
      </c>
      <c r="E49" s="416">
        <f t="shared" si="10"/>
        <v>0</v>
      </c>
      <c r="F49" s="416"/>
      <c r="G49" s="416">
        <f t="shared" si="9"/>
        <v>0</v>
      </c>
      <c r="H49" s="416"/>
      <c r="I49" s="397"/>
      <c r="J49" s="397"/>
      <c r="K49" s="397"/>
      <c r="L49" s="397"/>
      <c r="M49" s="397"/>
      <c r="N49" s="1090"/>
    </row>
    <row r="50" spans="2:14" s="4" customFormat="1" ht="15.5" x14ac:dyDescent="0.35">
      <c r="B50" s="1089">
        <f t="shared" si="11"/>
        <v>8</v>
      </c>
      <c r="C50" s="278" t="s">
        <v>713</v>
      </c>
      <c r="D50" s="290" t="s">
        <v>796</v>
      </c>
      <c r="E50" s="416">
        <f t="shared" si="10"/>
        <v>0</v>
      </c>
      <c r="F50" s="416"/>
      <c r="G50" s="416">
        <f t="shared" si="9"/>
        <v>0</v>
      </c>
      <c r="H50" s="416"/>
      <c r="I50" s="397"/>
      <c r="J50" s="397"/>
      <c r="K50" s="397"/>
      <c r="L50" s="397"/>
      <c r="M50" s="397"/>
      <c r="N50" s="1090"/>
    </row>
    <row r="51" spans="2:14" s="4" customFormat="1" ht="15.5" x14ac:dyDescent="0.35">
      <c r="B51" s="1089">
        <f t="shared" si="11"/>
        <v>9</v>
      </c>
      <c r="C51" s="278" t="s">
        <v>797</v>
      </c>
      <c r="D51" s="290" t="s">
        <v>796</v>
      </c>
      <c r="E51" s="416">
        <f t="shared" si="10"/>
        <v>0</v>
      </c>
      <c r="F51" s="416"/>
      <c r="G51" s="416">
        <f t="shared" si="9"/>
        <v>0</v>
      </c>
      <c r="H51" s="416"/>
      <c r="I51" s="397"/>
      <c r="J51" s="397"/>
      <c r="K51" s="397"/>
      <c r="L51" s="397"/>
      <c r="M51" s="397"/>
      <c r="N51" s="1090"/>
    </row>
    <row r="52" spans="2:14" s="4" customFormat="1" ht="15.5" x14ac:dyDescent="0.35">
      <c r="B52" s="1089">
        <f t="shared" si="11"/>
        <v>10</v>
      </c>
      <c r="C52" s="278" t="s">
        <v>205</v>
      </c>
      <c r="D52" s="290" t="s">
        <v>796</v>
      </c>
      <c r="E52" s="416">
        <f t="shared" si="10"/>
        <v>0</v>
      </c>
      <c r="F52" s="416"/>
      <c r="G52" s="416">
        <f t="shared" si="9"/>
        <v>0</v>
      </c>
      <c r="H52" s="416"/>
      <c r="I52" s="397"/>
      <c r="J52" s="397"/>
      <c r="K52" s="397"/>
      <c r="L52" s="397"/>
      <c r="M52" s="397"/>
      <c r="N52" s="1090"/>
    </row>
    <row r="53" spans="2:14" s="4" customFormat="1" ht="15.5" x14ac:dyDescent="0.35">
      <c r="B53" s="1089">
        <f t="shared" si="11"/>
        <v>11</v>
      </c>
      <c r="C53" s="278" t="s">
        <v>731</v>
      </c>
      <c r="D53" s="290" t="s">
        <v>114</v>
      </c>
      <c r="E53" s="416">
        <f>F53</f>
        <v>0</v>
      </c>
      <c r="F53" s="416"/>
      <c r="G53" s="416"/>
      <c r="H53" s="416"/>
      <c r="I53" s="397"/>
      <c r="J53" s="397"/>
      <c r="K53" s="397"/>
      <c r="L53" s="397"/>
      <c r="M53" s="397"/>
      <c r="N53" s="1090"/>
    </row>
    <row r="54" spans="2:14" s="4" customFormat="1" ht="15" x14ac:dyDescent="0.3">
      <c r="B54" s="1089"/>
      <c r="C54" s="234" t="s">
        <v>798</v>
      </c>
      <c r="D54" s="290" t="s">
        <v>796</v>
      </c>
      <c r="E54" s="308">
        <f>SUM(E43:E53)</f>
        <v>0</v>
      </c>
      <c r="F54" s="308">
        <f>SUM(F43:F53)</f>
        <v>0</v>
      </c>
      <c r="G54" s="308">
        <f t="shared" ref="G54" si="12">SUM(G43:G52)</f>
        <v>0</v>
      </c>
      <c r="H54" s="308">
        <f>I54</f>
        <v>0</v>
      </c>
      <c r="I54" s="660"/>
      <c r="J54" s="660"/>
      <c r="K54" s="660"/>
      <c r="L54" s="660"/>
      <c r="M54" s="660"/>
      <c r="N54" s="1090"/>
    </row>
    <row r="55" spans="2:14" s="4" customFormat="1" ht="15.5" x14ac:dyDescent="0.3">
      <c r="B55" s="1092"/>
      <c r="C55" s="279"/>
      <c r="D55" s="281"/>
      <c r="E55" s="385"/>
      <c r="F55" s="385"/>
      <c r="G55" s="385"/>
      <c r="H55" s="385"/>
      <c r="I55" s="662"/>
      <c r="J55" s="662"/>
      <c r="K55" s="662"/>
      <c r="L55" s="662"/>
      <c r="M55" s="662"/>
      <c r="N55" s="1090"/>
    </row>
    <row r="56" spans="2:14" s="4" customFormat="1" ht="15" x14ac:dyDescent="0.3">
      <c r="B56" s="1089" t="s">
        <v>727</v>
      </c>
      <c r="C56" s="234" t="s">
        <v>1142</v>
      </c>
      <c r="D56" s="290"/>
      <c r="E56" s="385"/>
      <c r="F56" s="385"/>
      <c r="G56" s="385"/>
      <c r="H56" s="385"/>
      <c r="I56" s="662"/>
      <c r="J56" s="662"/>
      <c r="K56" s="662"/>
      <c r="L56" s="662"/>
      <c r="M56" s="662"/>
      <c r="N56" s="1090"/>
    </row>
    <row r="57" spans="2:14" s="4" customFormat="1" ht="15.5" x14ac:dyDescent="0.35">
      <c r="B57" s="1089">
        <v>1</v>
      </c>
      <c r="C57" s="278" t="s">
        <v>717</v>
      </c>
      <c r="D57" s="290" t="s">
        <v>796</v>
      </c>
      <c r="E57" s="385"/>
      <c r="F57" s="385"/>
      <c r="G57" s="385"/>
      <c r="H57" s="385"/>
      <c r="I57" s="662"/>
      <c r="J57" s="662"/>
      <c r="K57" s="662"/>
      <c r="L57" s="662"/>
      <c r="M57" s="662"/>
      <c r="N57" s="1090"/>
    </row>
    <row r="58" spans="2:14" s="4" customFormat="1" ht="15.5" x14ac:dyDescent="0.35">
      <c r="B58" s="1089">
        <f>+B57+1</f>
        <v>2</v>
      </c>
      <c r="C58" s="278" t="s">
        <v>718</v>
      </c>
      <c r="D58" s="290" t="s">
        <v>796</v>
      </c>
      <c r="E58" s="385"/>
      <c r="F58" s="385"/>
      <c r="G58" s="385"/>
      <c r="H58" s="385"/>
      <c r="I58" s="662"/>
      <c r="J58" s="662"/>
      <c r="K58" s="662"/>
      <c r="L58" s="662"/>
      <c r="M58" s="662"/>
      <c r="N58" s="1090"/>
    </row>
    <row r="59" spans="2:14" s="4" customFormat="1" ht="15.5" x14ac:dyDescent="0.35">
      <c r="B59" s="1089">
        <f t="shared" ref="B59:B67" si="13">+B58+1</f>
        <v>3</v>
      </c>
      <c r="C59" s="278" t="s">
        <v>223</v>
      </c>
      <c r="D59" s="290" t="s">
        <v>796</v>
      </c>
      <c r="E59" s="385"/>
      <c r="F59" s="385"/>
      <c r="G59" s="385"/>
      <c r="H59" s="385"/>
      <c r="I59" s="662"/>
      <c r="J59" s="662"/>
      <c r="K59" s="662"/>
      <c r="L59" s="662"/>
      <c r="M59" s="662"/>
      <c r="N59" s="1090"/>
    </row>
    <row r="60" spans="2:14" s="4" customFormat="1" ht="15.5" x14ac:dyDescent="0.35">
      <c r="B60" s="1089">
        <f t="shared" si="13"/>
        <v>4</v>
      </c>
      <c r="C60" s="278" t="s">
        <v>719</v>
      </c>
      <c r="D60" s="290" t="s">
        <v>796</v>
      </c>
      <c r="E60" s="385"/>
      <c r="F60" s="385"/>
      <c r="G60" s="385"/>
      <c r="H60" s="385"/>
      <c r="I60" s="662"/>
      <c r="J60" s="662"/>
      <c r="K60" s="662"/>
      <c r="L60" s="662"/>
      <c r="M60" s="662"/>
      <c r="N60" s="1090"/>
    </row>
    <row r="61" spans="2:14" s="4" customFormat="1" ht="15.5" x14ac:dyDescent="0.35">
      <c r="B61" s="1089">
        <f t="shared" si="13"/>
        <v>5</v>
      </c>
      <c r="C61" s="278" t="s">
        <v>720</v>
      </c>
      <c r="D61" s="290" t="s">
        <v>796</v>
      </c>
      <c r="E61" s="385"/>
      <c r="F61" s="385"/>
      <c r="G61" s="385"/>
      <c r="H61" s="385"/>
      <c r="I61" s="662"/>
      <c r="J61" s="662"/>
      <c r="K61" s="662"/>
      <c r="L61" s="662"/>
      <c r="M61" s="662"/>
      <c r="N61" s="1090"/>
    </row>
    <row r="62" spans="2:14" s="4" customFormat="1" ht="15.5" x14ac:dyDescent="0.35">
      <c r="B62" s="1089">
        <f t="shared" si="13"/>
        <v>6</v>
      </c>
      <c r="C62" s="278" t="s">
        <v>711</v>
      </c>
      <c r="D62" s="290" t="s">
        <v>796</v>
      </c>
      <c r="E62" s="385"/>
      <c r="F62" s="385"/>
      <c r="G62" s="385"/>
      <c r="H62" s="385"/>
      <c r="I62" s="662"/>
      <c r="J62" s="662"/>
      <c r="K62" s="662"/>
      <c r="L62" s="662"/>
      <c r="M62" s="662"/>
      <c r="N62" s="1090"/>
    </row>
    <row r="63" spans="2:14" s="4" customFormat="1" ht="15.5" x14ac:dyDescent="0.35">
      <c r="B63" s="1089">
        <f t="shared" si="13"/>
        <v>7</v>
      </c>
      <c r="C63" s="278" t="s">
        <v>712</v>
      </c>
      <c r="D63" s="290" t="s">
        <v>796</v>
      </c>
      <c r="E63" s="385"/>
      <c r="F63" s="385"/>
      <c r="G63" s="385"/>
      <c r="H63" s="385"/>
      <c r="I63" s="662"/>
      <c r="J63" s="662"/>
      <c r="K63" s="662"/>
      <c r="L63" s="662"/>
      <c r="M63" s="662"/>
      <c r="N63" s="1090"/>
    </row>
    <row r="64" spans="2:14" s="4" customFormat="1" ht="15.5" x14ac:dyDescent="0.35">
      <c r="B64" s="1089">
        <f t="shared" si="13"/>
        <v>8</v>
      </c>
      <c r="C64" s="278" t="s">
        <v>713</v>
      </c>
      <c r="D64" s="290" t="s">
        <v>796</v>
      </c>
      <c r="E64" s="385"/>
      <c r="F64" s="385"/>
      <c r="G64" s="385"/>
      <c r="H64" s="385"/>
      <c r="I64" s="662"/>
      <c r="J64" s="662"/>
      <c r="K64" s="662"/>
      <c r="L64" s="662"/>
      <c r="M64" s="662"/>
      <c r="N64" s="1090"/>
    </row>
    <row r="65" spans="2:14" s="4" customFormat="1" ht="15.5" x14ac:dyDescent="0.35">
      <c r="B65" s="1089">
        <f t="shared" si="13"/>
        <v>9</v>
      </c>
      <c r="C65" s="278" t="s">
        <v>797</v>
      </c>
      <c r="D65" s="290" t="s">
        <v>796</v>
      </c>
      <c r="E65" s="385"/>
      <c r="F65" s="385"/>
      <c r="G65" s="385"/>
      <c r="H65" s="385"/>
      <c r="I65" s="662"/>
      <c r="J65" s="662"/>
      <c r="K65" s="662"/>
      <c r="L65" s="662"/>
      <c r="M65" s="662"/>
      <c r="N65" s="1090"/>
    </row>
    <row r="66" spans="2:14" s="4" customFormat="1" ht="15.5" x14ac:dyDescent="0.35">
      <c r="B66" s="1089">
        <f t="shared" si="13"/>
        <v>10</v>
      </c>
      <c r="C66" s="278" t="s">
        <v>205</v>
      </c>
      <c r="D66" s="290" t="s">
        <v>796</v>
      </c>
      <c r="E66" s="385"/>
      <c r="F66" s="385"/>
      <c r="G66" s="385"/>
      <c r="H66" s="385"/>
      <c r="I66" s="662"/>
      <c r="J66" s="662"/>
      <c r="K66" s="662"/>
      <c r="L66" s="662"/>
      <c r="M66" s="662"/>
      <c r="N66" s="1090"/>
    </row>
    <row r="67" spans="2:14" s="4" customFormat="1" ht="15.5" x14ac:dyDescent="0.35">
      <c r="B67" s="1089">
        <f t="shared" si="13"/>
        <v>11</v>
      </c>
      <c r="C67" s="278" t="s">
        <v>731</v>
      </c>
      <c r="D67" s="290" t="s">
        <v>796</v>
      </c>
      <c r="E67" s="385"/>
      <c r="F67" s="385"/>
      <c r="G67" s="385"/>
      <c r="H67" s="385"/>
      <c r="I67" s="662"/>
      <c r="J67" s="662"/>
      <c r="K67" s="662"/>
      <c r="L67" s="662"/>
      <c r="M67" s="662"/>
      <c r="N67" s="1090"/>
    </row>
    <row r="68" spans="2:14" s="4" customFormat="1" ht="15" x14ac:dyDescent="0.3">
      <c r="B68" s="1089"/>
      <c r="C68" s="234" t="s">
        <v>1143</v>
      </c>
      <c r="D68" s="290" t="s">
        <v>796</v>
      </c>
      <c r="E68" s="385"/>
      <c r="F68" s="385"/>
      <c r="G68" s="385"/>
      <c r="H68" s="385"/>
      <c r="I68" s="662"/>
      <c r="J68" s="662"/>
      <c r="K68" s="662"/>
      <c r="L68" s="662"/>
      <c r="M68" s="662"/>
      <c r="N68" s="1090"/>
    </row>
    <row r="69" spans="2:14" s="4" customFormat="1" ht="15" x14ac:dyDescent="0.3">
      <c r="B69" s="1089"/>
      <c r="C69" s="234"/>
      <c r="D69" s="290"/>
      <c r="E69" s="385"/>
      <c r="F69" s="385"/>
      <c r="G69" s="385"/>
      <c r="H69" s="385"/>
      <c r="I69" s="662"/>
      <c r="J69" s="662"/>
      <c r="K69" s="662"/>
      <c r="L69" s="662"/>
      <c r="M69" s="662"/>
      <c r="N69" s="1090"/>
    </row>
    <row r="70" spans="2:14" s="4" customFormat="1" ht="15" x14ac:dyDescent="0.3">
      <c r="B70" s="1089" t="s">
        <v>799</v>
      </c>
      <c r="C70" s="234" t="s">
        <v>1144</v>
      </c>
      <c r="D70" s="290"/>
      <c r="E70" s="385"/>
      <c r="F70" s="385"/>
      <c r="G70" s="385"/>
      <c r="H70" s="385"/>
      <c r="I70" s="662"/>
      <c r="J70" s="662"/>
      <c r="K70" s="662"/>
      <c r="L70" s="662"/>
      <c r="M70" s="662"/>
      <c r="N70" s="1090"/>
    </row>
    <row r="71" spans="2:14" s="4" customFormat="1" ht="15.5" x14ac:dyDescent="0.35">
      <c r="B71" s="1089">
        <v>1</v>
      </c>
      <c r="C71" s="278" t="s">
        <v>717</v>
      </c>
      <c r="D71" s="290" t="s">
        <v>796</v>
      </c>
      <c r="E71" s="385"/>
      <c r="F71" s="385"/>
      <c r="G71" s="385"/>
      <c r="H71" s="385"/>
      <c r="I71" s="662"/>
      <c r="J71" s="662"/>
      <c r="K71" s="662"/>
      <c r="L71" s="662"/>
      <c r="M71" s="662"/>
      <c r="N71" s="1090"/>
    </row>
    <row r="72" spans="2:14" s="4" customFormat="1" ht="15.5" x14ac:dyDescent="0.35">
      <c r="B72" s="1089">
        <f>+B71+1</f>
        <v>2</v>
      </c>
      <c r="C72" s="278" t="s">
        <v>718</v>
      </c>
      <c r="D72" s="290" t="s">
        <v>796</v>
      </c>
      <c r="E72" s="385"/>
      <c r="F72" s="385"/>
      <c r="G72" s="385"/>
      <c r="H72" s="385"/>
      <c r="I72" s="662"/>
      <c r="J72" s="662"/>
      <c r="K72" s="662"/>
      <c r="L72" s="662"/>
      <c r="M72" s="662"/>
      <c r="N72" s="1090"/>
    </row>
    <row r="73" spans="2:14" s="4" customFormat="1" ht="15.5" x14ac:dyDescent="0.35">
      <c r="B73" s="1089">
        <f t="shared" ref="B73:B81" si="14">+B72+1</f>
        <v>3</v>
      </c>
      <c r="C73" s="278" t="s">
        <v>223</v>
      </c>
      <c r="D73" s="290" t="s">
        <v>796</v>
      </c>
      <c r="E73" s="385"/>
      <c r="F73" s="385"/>
      <c r="G73" s="385"/>
      <c r="H73" s="385"/>
      <c r="I73" s="662"/>
      <c r="J73" s="662"/>
      <c r="K73" s="662"/>
      <c r="L73" s="662"/>
      <c r="M73" s="662"/>
      <c r="N73" s="1090"/>
    </row>
    <row r="74" spans="2:14" s="4" customFormat="1" ht="15.5" x14ac:dyDescent="0.35">
      <c r="B74" s="1089">
        <f t="shared" si="14"/>
        <v>4</v>
      </c>
      <c r="C74" s="278" t="s">
        <v>719</v>
      </c>
      <c r="D74" s="290" t="s">
        <v>796</v>
      </c>
      <c r="E74" s="385"/>
      <c r="F74" s="385"/>
      <c r="G74" s="385"/>
      <c r="H74" s="385"/>
      <c r="I74" s="662"/>
      <c r="J74" s="662"/>
      <c r="K74" s="662"/>
      <c r="L74" s="662"/>
      <c r="M74" s="662"/>
      <c r="N74" s="1090"/>
    </row>
    <row r="75" spans="2:14" s="4" customFormat="1" ht="15.5" x14ac:dyDescent="0.35">
      <c r="B75" s="1089">
        <f t="shared" si="14"/>
        <v>5</v>
      </c>
      <c r="C75" s="278" t="s">
        <v>720</v>
      </c>
      <c r="D75" s="290" t="s">
        <v>796</v>
      </c>
      <c r="E75" s="385"/>
      <c r="F75" s="385"/>
      <c r="G75" s="385"/>
      <c r="H75" s="385"/>
      <c r="I75" s="662"/>
      <c r="J75" s="662"/>
      <c r="K75" s="662"/>
      <c r="L75" s="662"/>
      <c r="M75" s="662"/>
      <c r="N75" s="1090"/>
    </row>
    <row r="76" spans="2:14" s="4" customFormat="1" ht="15.5" x14ac:dyDescent="0.35">
      <c r="B76" s="1089">
        <f t="shared" si="14"/>
        <v>6</v>
      </c>
      <c r="C76" s="278" t="s">
        <v>711</v>
      </c>
      <c r="D76" s="290" t="s">
        <v>796</v>
      </c>
      <c r="E76" s="385"/>
      <c r="F76" s="385"/>
      <c r="G76" s="385"/>
      <c r="H76" s="385"/>
      <c r="I76" s="662"/>
      <c r="J76" s="662"/>
      <c r="K76" s="662"/>
      <c r="L76" s="662"/>
      <c r="M76" s="662"/>
      <c r="N76" s="1090"/>
    </row>
    <row r="77" spans="2:14" s="4" customFormat="1" ht="15.5" x14ac:dyDescent="0.35">
      <c r="B77" s="1089">
        <f t="shared" si="14"/>
        <v>7</v>
      </c>
      <c r="C77" s="278" t="s">
        <v>712</v>
      </c>
      <c r="D77" s="290" t="s">
        <v>796</v>
      </c>
      <c r="E77" s="385"/>
      <c r="F77" s="385"/>
      <c r="G77" s="385"/>
      <c r="H77" s="385"/>
      <c r="I77" s="662"/>
      <c r="J77" s="662"/>
      <c r="K77" s="662"/>
      <c r="L77" s="662"/>
      <c r="M77" s="662"/>
      <c r="N77" s="1090"/>
    </row>
    <row r="78" spans="2:14" s="4" customFormat="1" ht="15.5" x14ac:dyDescent="0.35">
      <c r="B78" s="1089">
        <f t="shared" si="14"/>
        <v>8</v>
      </c>
      <c r="C78" s="278" t="s">
        <v>713</v>
      </c>
      <c r="D78" s="290" t="s">
        <v>796</v>
      </c>
      <c r="E78" s="385"/>
      <c r="F78" s="385"/>
      <c r="G78" s="385"/>
      <c r="H78" s="385"/>
      <c r="I78" s="662"/>
      <c r="J78" s="662"/>
      <c r="K78" s="662"/>
      <c r="L78" s="662"/>
      <c r="M78" s="662"/>
      <c r="N78" s="1090"/>
    </row>
    <row r="79" spans="2:14" s="4" customFormat="1" ht="15.5" x14ac:dyDescent="0.35">
      <c r="B79" s="1089">
        <f t="shared" si="14"/>
        <v>9</v>
      </c>
      <c r="C79" s="278" t="s">
        <v>797</v>
      </c>
      <c r="D79" s="290" t="s">
        <v>796</v>
      </c>
      <c r="E79" s="385"/>
      <c r="F79" s="385"/>
      <c r="G79" s="385"/>
      <c r="H79" s="385"/>
      <c r="I79" s="662"/>
      <c r="J79" s="662"/>
      <c r="K79" s="662"/>
      <c r="L79" s="662"/>
      <c r="M79" s="662"/>
      <c r="N79" s="1090"/>
    </row>
    <row r="80" spans="2:14" s="4" customFormat="1" ht="15.5" x14ac:dyDescent="0.35">
      <c r="B80" s="1089">
        <f t="shared" si="14"/>
        <v>10</v>
      </c>
      <c r="C80" s="278" t="s">
        <v>205</v>
      </c>
      <c r="D80" s="290" t="s">
        <v>796</v>
      </c>
      <c r="E80" s="385"/>
      <c r="F80" s="385"/>
      <c r="G80" s="385"/>
      <c r="H80" s="385"/>
      <c r="I80" s="662"/>
      <c r="J80" s="662"/>
      <c r="K80" s="662"/>
      <c r="L80" s="662"/>
      <c r="M80" s="662"/>
      <c r="N80" s="1090"/>
    </row>
    <row r="81" spans="2:14" s="4" customFormat="1" ht="15.5" x14ac:dyDescent="0.35">
      <c r="B81" s="1089">
        <f t="shared" si="14"/>
        <v>11</v>
      </c>
      <c r="C81" s="278" t="s">
        <v>731</v>
      </c>
      <c r="D81" s="290" t="s">
        <v>796</v>
      </c>
      <c r="E81" s="385"/>
      <c r="F81" s="385"/>
      <c r="G81" s="385"/>
      <c r="H81" s="385"/>
      <c r="I81" s="662"/>
      <c r="J81" s="662"/>
      <c r="K81" s="662"/>
      <c r="L81" s="662"/>
      <c r="M81" s="662"/>
      <c r="N81" s="1090"/>
    </row>
    <row r="82" spans="2:14" s="4" customFormat="1" ht="15" x14ac:dyDescent="0.3">
      <c r="B82" s="1089"/>
      <c r="C82" s="234" t="s">
        <v>1145</v>
      </c>
      <c r="D82" s="290" t="s">
        <v>796</v>
      </c>
      <c r="E82" s="385"/>
      <c r="F82" s="385"/>
      <c r="G82" s="385"/>
      <c r="H82" s="385"/>
      <c r="I82" s="662"/>
      <c r="J82" s="662"/>
      <c r="K82" s="662"/>
      <c r="L82" s="662"/>
      <c r="M82" s="662"/>
      <c r="N82" s="1090"/>
    </row>
    <row r="83" spans="2:14" s="4" customFormat="1" ht="15.5" x14ac:dyDescent="0.3">
      <c r="B83" s="1092"/>
      <c r="C83" s="279"/>
      <c r="D83" s="281"/>
      <c r="E83" s="385"/>
      <c r="F83" s="385"/>
      <c r="G83" s="385"/>
      <c r="H83" s="385"/>
      <c r="I83" s="662"/>
      <c r="J83" s="662"/>
      <c r="K83" s="662"/>
      <c r="L83" s="662"/>
      <c r="M83" s="662"/>
      <c r="N83" s="1090"/>
    </row>
    <row r="84" spans="2:14" s="4" customFormat="1" ht="15" x14ac:dyDescent="0.3">
      <c r="B84" s="1093" t="s">
        <v>727</v>
      </c>
      <c r="C84" s="234" t="s">
        <v>722</v>
      </c>
      <c r="D84" s="282"/>
      <c r="E84" s="385"/>
      <c r="F84" s="385"/>
      <c r="G84" s="385"/>
      <c r="H84" s="385"/>
      <c r="I84" s="662"/>
      <c r="J84" s="662"/>
      <c r="K84" s="662"/>
      <c r="L84" s="662"/>
      <c r="M84" s="662"/>
      <c r="N84" s="1090"/>
    </row>
    <row r="85" spans="2:14" s="4" customFormat="1" ht="15.5" x14ac:dyDescent="0.35">
      <c r="B85" s="1094">
        <v>1</v>
      </c>
      <c r="C85" s="278" t="s">
        <v>137</v>
      </c>
      <c r="D85" s="282" t="s">
        <v>726</v>
      </c>
      <c r="E85" s="326">
        <f>F85</f>
        <v>58397.200462475383</v>
      </c>
      <c r="F85" s="326">
        <v>58397.200462475383</v>
      </c>
      <c r="G85" s="326">
        <f t="shared" ref="G85:G96" si="15">F85-E85</f>
        <v>0</v>
      </c>
      <c r="H85" s="326"/>
      <c r="I85" s="663"/>
      <c r="J85" s="663"/>
      <c r="K85" s="663"/>
      <c r="L85" s="663"/>
      <c r="M85" s="663"/>
      <c r="N85" s="1090"/>
    </row>
    <row r="86" spans="2:14" s="4" customFormat="1" ht="15.5" x14ac:dyDescent="0.35">
      <c r="B86" s="1094">
        <v>2</v>
      </c>
      <c r="C86" s="278" t="s">
        <v>710</v>
      </c>
      <c r="D86" s="282" t="s">
        <v>726</v>
      </c>
      <c r="E86" s="326">
        <f t="shared" ref="E86:E96" si="16">F86</f>
        <v>811.12088777896611</v>
      </c>
      <c r="F86" s="326">
        <v>811.12088777896611</v>
      </c>
      <c r="G86" s="326">
        <f t="shared" si="15"/>
        <v>0</v>
      </c>
      <c r="H86" s="326"/>
      <c r="I86" s="663"/>
      <c r="J86" s="663"/>
      <c r="K86" s="663"/>
      <c r="L86" s="663"/>
      <c r="M86" s="663"/>
      <c r="N86" s="1090"/>
    </row>
    <row r="87" spans="2:14" s="4" customFormat="1" ht="15.5" x14ac:dyDescent="0.35">
      <c r="B87" s="1086">
        <v>3</v>
      </c>
      <c r="C87" s="278" t="s">
        <v>223</v>
      </c>
      <c r="D87" s="263" t="s">
        <v>726</v>
      </c>
      <c r="E87" s="326">
        <f t="shared" si="16"/>
        <v>0</v>
      </c>
      <c r="F87" s="326">
        <v>0</v>
      </c>
      <c r="G87" s="326">
        <f t="shared" si="15"/>
        <v>0</v>
      </c>
      <c r="H87" s="326"/>
      <c r="I87" s="663"/>
      <c r="J87" s="663"/>
      <c r="K87" s="663"/>
      <c r="L87" s="663"/>
      <c r="M87" s="663"/>
      <c r="N87" s="1090"/>
    </row>
    <row r="88" spans="2:14" s="4" customFormat="1" ht="15.5" x14ac:dyDescent="0.35">
      <c r="B88" s="1086">
        <v>4</v>
      </c>
      <c r="C88" s="278" t="s">
        <v>719</v>
      </c>
      <c r="D88" s="263" t="s">
        <v>726</v>
      </c>
      <c r="E88" s="326">
        <f t="shared" si="16"/>
        <v>0</v>
      </c>
      <c r="F88" s="326">
        <v>0</v>
      </c>
      <c r="G88" s="326">
        <f t="shared" si="15"/>
        <v>0</v>
      </c>
      <c r="H88" s="326"/>
      <c r="I88" s="663"/>
      <c r="J88" s="663"/>
      <c r="K88" s="663"/>
      <c r="L88" s="663"/>
      <c r="M88" s="663"/>
      <c r="N88" s="1090"/>
    </row>
    <row r="89" spans="2:14" s="4" customFormat="1" ht="15.5" x14ac:dyDescent="0.35">
      <c r="B89" s="1094">
        <v>5</v>
      </c>
      <c r="C89" s="278" t="s">
        <v>138</v>
      </c>
      <c r="D89" s="282" t="s">
        <v>726</v>
      </c>
      <c r="E89" s="326">
        <f t="shared" si="16"/>
        <v>10511.48766976451</v>
      </c>
      <c r="F89" s="326">
        <v>10511.48766976451</v>
      </c>
      <c r="G89" s="326">
        <f t="shared" si="15"/>
        <v>0</v>
      </c>
      <c r="H89" s="326"/>
      <c r="I89" s="663"/>
      <c r="J89" s="663"/>
      <c r="K89" s="663"/>
      <c r="L89" s="663"/>
      <c r="M89" s="663"/>
      <c r="N89" s="1090"/>
    </row>
    <row r="90" spans="2:14" s="4" customFormat="1" ht="15.5" x14ac:dyDescent="0.35">
      <c r="B90" s="1094">
        <v>6</v>
      </c>
      <c r="C90" s="278" t="s">
        <v>711</v>
      </c>
      <c r="D90" s="282" t="s">
        <v>726</v>
      </c>
      <c r="E90" s="326">
        <f t="shared" si="16"/>
        <v>0</v>
      </c>
      <c r="F90" s="326">
        <v>0</v>
      </c>
      <c r="G90" s="326">
        <f t="shared" si="15"/>
        <v>0</v>
      </c>
      <c r="H90" s="326"/>
      <c r="I90" s="663"/>
      <c r="J90" s="663"/>
      <c r="K90" s="663"/>
      <c r="L90" s="663"/>
      <c r="M90" s="663"/>
      <c r="N90" s="1090"/>
    </row>
    <row r="91" spans="2:14" s="4" customFormat="1" ht="15.5" x14ac:dyDescent="0.35">
      <c r="B91" s="1094">
        <v>7</v>
      </c>
      <c r="C91" s="278" t="s">
        <v>712</v>
      </c>
      <c r="D91" s="282" t="s">
        <v>726</v>
      </c>
      <c r="E91" s="326">
        <f t="shared" si="16"/>
        <v>0</v>
      </c>
      <c r="F91" s="326">
        <v>0</v>
      </c>
      <c r="G91" s="326">
        <f t="shared" si="15"/>
        <v>0</v>
      </c>
      <c r="H91" s="326"/>
      <c r="I91" s="663"/>
      <c r="J91" s="663"/>
      <c r="K91" s="663"/>
      <c r="L91" s="663"/>
      <c r="M91" s="663"/>
      <c r="N91" s="1090"/>
    </row>
    <row r="92" spans="2:14" s="4" customFormat="1" ht="15.5" x14ac:dyDescent="0.35">
      <c r="B92" s="1094">
        <v>8</v>
      </c>
      <c r="C92" s="278" t="s">
        <v>713</v>
      </c>
      <c r="D92" s="282" t="s">
        <v>726</v>
      </c>
      <c r="E92" s="326">
        <f t="shared" si="16"/>
        <v>0</v>
      </c>
      <c r="F92" s="326">
        <v>0</v>
      </c>
      <c r="G92" s="326">
        <f t="shared" si="15"/>
        <v>0</v>
      </c>
      <c r="H92" s="326"/>
      <c r="I92" s="663"/>
      <c r="J92" s="663"/>
      <c r="K92" s="663"/>
      <c r="L92" s="663"/>
      <c r="M92" s="663"/>
      <c r="N92" s="1090"/>
    </row>
    <row r="93" spans="2:14" s="4" customFormat="1" ht="15.5" x14ac:dyDescent="0.35">
      <c r="B93" s="1094">
        <v>9</v>
      </c>
      <c r="C93" s="278" t="s">
        <v>739</v>
      </c>
      <c r="D93" s="282" t="s">
        <v>726</v>
      </c>
      <c r="E93" s="326">
        <f t="shared" si="16"/>
        <v>0</v>
      </c>
      <c r="F93" s="326">
        <v>0</v>
      </c>
      <c r="G93" s="326">
        <f t="shared" si="15"/>
        <v>0</v>
      </c>
      <c r="H93" s="326"/>
      <c r="I93" s="663"/>
      <c r="J93" s="663"/>
      <c r="K93" s="663"/>
      <c r="L93" s="663"/>
      <c r="M93" s="663"/>
      <c r="N93" s="1090"/>
    </row>
    <row r="94" spans="2:14" s="4" customFormat="1" ht="15.5" x14ac:dyDescent="0.3">
      <c r="B94" s="1086">
        <v>10</v>
      </c>
      <c r="C94" s="46" t="s">
        <v>205</v>
      </c>
      <c r="D94" s="263" t="s">
        <v>726</v>
      </c>
      <c r="E94" s="326">
        <f t="shared" si="16"/>
        <v>0</v>
      </c>
      <c r="F94" s="326">
        <v>0</v>
      </c>
      <c r="G94" s="326">
        <f t="shared" si="15"/>
        <v>0</v>
      </c>
      <c r="H94" s="326"/>
      <c r="I94" s="663"/>
      <c r="J94" s="663"/>
      <c r="K94" s="663"/>
      <c r="L94" s="663"/>
      <c r="M94" s="663"/>
      <c r="N94" s="1090"/>
    </row>
    <row r="95" spans="2:14" s="4" customFormat="1" ht="15.5" x14ac:dyDescent="0.35">
      <c r="B95" s="1094">
        <v>11</v>
      </c>
      <c r="C95" s="278" t="s">
        <v>715</v>
      </c>
      <c r="D95" s="282" t="s">
        <v>726</v>
      </c>
      <c r="E95" s="326">
        <f t="shared" si="16"/>
        <v>0</v>
      </c>
      <c r="F95" s="326">
        <v>0</v>
      </c>
      <c r="G95" s="326">
        <f t="shared" si="15"/>
        <v>0</v>
      </c>
      <c r="H95" s="326"/>
      <c r="I95" s="663"/>
      <c r="J95" s="663"/>
      <c r="K95" s="663"/>
      <c r="L95" s="663"/>
      <c r="M95" s="663"/>
      <c r="N95" s="1090"/>
    </row>
    <row r="96" spans="2:14" s="4" customFormat="1" ht="15.5" x14ac:dyDescent="0.35">
      <c r="B96" s="1094">
        <v>12</v>
      </c>
      <c r="C96" s="278" t="s">
        <v>139</v>
      </c>
      <c r="D96" s="282" t="s">
        <v>726</v>
      </c>
      <c r="E96" s="326">
        <f t="shared" si="16"/>
        <v>0</v>
      </c>
      <c r="F96" s="326">
        <v>0</v>
      </c>
      <c r="G96" s="326">
        <f t="shared" si="15"/>
        <v>0</v>
      </c>
      <c r="H96" s="326"/>
      <c r="I96" s="663"/>
      <c r="J96" s="663"/>
      <c r="K96" s="663"/>
      <c r="L96" s="663"/>
      <c r="M96" s="663"/>
      <c r="N96" s="1090"/>
    </row>
    <row r="97" spans="2:14" s="4" customFormat="1" ht="15" x14ac:dyDescent="0.3">
      <c r="B97" s="1093"/>
      <c r="C97" s="234" t="s">
        <v>723</v>
      </c>
      <c r="D97" s="282" t="s">
        <v>726</v>
      </c>
      <c r="E97" s="327">
        <f t="shared" ref="E97:G97" si="17">SUM(E85:E96)</f>
        <v>69719.80902001886</v>
      </c>
      <c r="F97" s="327">
        <f t="shared" si="17"/>
        <v>69719.80902001886</v>
      </c>
      <c r="G97" s="327">
        <f t="shared" si="17"/>
        <v>0</v>
      </c>
      <c r="H97" s="327"/>
      <c r="I97" s="1083"/>
      <c r="J97" s="1083"/>
      <c r="K97" s="1083"/>
      <c r="L97" s="1083"/>
      <c r="M97" s="1083"/>
      <c r="N97" s="1088">
        <f t="shared" ref="N97" si="18">SUM(N85:N96)</f>
        <v>0</v>
      </c>
    </row>
    <row r="98" spans="2:14" s="4" customFormat="1" ht="15.5" x14ac:dyDescent="0.35">
      <c r="B98" s="1094"/>
      <c r="C98" s="278"/>
      <c r="D98" s="282"/>
      <c r="E98" s="326"/>
      <c r="F98" s="326"/>
      <c r="G98" s="326"/>
      <c r="H98" s="326"/>
      <c r="I98" s="663"/>
      <c r="J98" s="663"/>
      <c r="K98" s="663"/>
      <c r="L98" s="663"/>
      <c r="M98" s="663"/>
      <c r="N98" s="1090"/>
    </row>
    <row r="99" spans="2:14" s="4" customFormat="1" ht="15" x14ac:dyDescent="0.3">
      <c r="B99" s="1093" t="s">
        <v>799</v>
      </c>
      <c r="C99" s="234" t="s">
        <v>724</v>
      </c>
      <c r="D99" s="282"/>
      <c r="E99" s="326"/>
      <c r="F99" s="326"/>
      <c r="G99" s="326"/>
      <c r="H99" s="326"/>
      <c r="I99" s="663"/>
      <c r="J99" s="663"/>
      <c r="K99" s="663"/>
      <c r="L99" s="663"/>
      <c r="M99" s="663"/>
      <c r="N99" s="1090"/>
    </row>
    <row r="100" spans="2:14" ht="15.5" x14ac:dyDescent="0.35">
      <c r="B100" s="1086">
        <v>1</v>
      </c>
      <c r="C100" s="278" t="s">
        <v>137</v>
      </c>
      <c r="D100" s="264" t="s">
        <v>726</v>
      </c>
      <c r="E100" s="326">
        <f t="shared" ref="E100:E111" si="19">F100</f>
        <v>46748.067475359094</v>
      </c>
      <c r="F100" s="326">
        <v>46748.067475359094</v>
      </c>
      <c r="G100" s="326">
        <f t="shared" ref="G100:G111" si="20">F100-E100</f>
        <v>0</v>
      </c>
      <c r="H100" s="326"/>
      <c r="I100" s="663"/>
      <c r="J100" s="663"/>
      <c r="K100" s="663"/>
      <c r="L100" s="663"/>
      <c r="M100" s="663"/>
      <c r="N100" s="1096"/>
    </row>
    <row r="101" spans="2:14" ht="15.5" x14ac:dyDescent="0.35">
      <c r="B101" s="1086">
        <v>2</v>
      </c>
      <c r="C101" s="278" t="s">
        <v>710</v>
      </c>
      <c r="D101" s="264" t="s">
        <v>726</v>
      </c>
      <c r="E101" s="326">
        <f t="shared" si="19"/>
        <v>955.25845072324785</v>
      </c>
      <c r="F101" s="326">
        <v>955.25845072324785</v>
      </c>
      <c r="G101" s="326">
        <f t="shared" si="20"/>
        <v>0</v>
      </c>
      <c r="H101" s="326"/>
      <c r="I101" s="663"/>
      <c r="J101" s="663"/>
      <c r="K101" s="663"/>
      <c r="L101" s="663"/>
      <c r="M101" s="663"/>
      <c r="N101" s="1096"/>
    </row>
    <row r="102" spans="2:14" ht="15.5" x14ac:dyDescent="0.35">
      <c r="B102" s="1086">
        <v>3</v>
      </c>
      <c r="C102" s="278" t="s">
        <v>223</v>
      </c>
      <c r="D102" s="264" t="s">
        <v>726</v>
      </c>
      <c r="E102" s="326">
        <f t="shared" si="19"/>
        <v>0</v>
      </c>
      <c r="F102" s="326">
        <v>0</v>
      </c>
      <c r="G102" s="326">
        <f t="shared" si="20"/>
        <v>0</v>
      </c>
      <c r="H102" s="326"/>
      <c r="I102" s="663"/>
      <c r="J102" s="663"/>
      <c r="K102" s="663"/>
      <c r="L102" s="663"/>
      <c r="M102" s="663"/>
      <c r="N102" s="1096"/>
    </row>
    <row r="103" spans="2:14" ht="15.5" x14ac:dyDescent="0.35">
      <c r="B103" s="1086">
        <v>4</v>
      </c>
      <c r="C103" s="278" t="s">
        <v>719</v>
      </c>
      <c r="D103" s="264" t="s">
        <v>726</v>
      </c>
      <c r="E103" s="326">
        <f t="shared" si="19"/>
        <v>0</v>
      </c>
      <c r="F103" s="326">
        <v>0</v>
      </c>
      <c r="G103" s="326">
        <f t="shared" si="20"/>
        <v>0</v>
      </c>
      <c r="H103" s="326"/>
      <c r="I103" s="663"/>
      <c r="J103" s="663"/>
      <c r="K103" s="663"/>
      <c r="L103" s="663"/>
      <c r="M103" s="663"/>
      <c r="N103" s="1096"/>
    </row>
    <row r="104" spans="2:14" ht="15.5" x14ac:dyDescent="0.35">
      <c r="B104" s="1086">
        <v>5</v>
      </c>
      <c r="C104" s="278" t="s">
        <v>738</v>
      </c>
      <c r="D104" s="264" t="s">
        <v>726</v>
      </c>
      <c r="E104" s="326">
        <f t="shared" si="19"/>
        <v>8414.6537047361981</v>
      </c>
      <c r="F104" s="326">
        <v>8414.6537047361981</v>
      </c>
      <c r="G104" s="326">
        <f t="shared" si="20"/>
        <v>0</v>
      </c>
      <c r="H104" s="326"/>
      <c r="I104" s="663"/>
      <c r="J104" s="663"/>
      <c r="K104" s="663"/>
      <c r="L104" s="663"/>
      <c r="M104" s="663"/>
      <c r="N104" s="1096"/>
    </row>
    <row r="105" spans="2:14" ht="15.5" x14ac:dyDescent="0.35">
      <c r="B105" s="1086">
        <v>6</v>
      </c>
      <c r="C105" s="278" t="s">
        <v>740</v>
      </c>
      <c r="D105" s="264" t="s">
        <v>726</v>
      </c>
      <c r="E105" s="326">
        <f t="shared" si="19"/>
        <v>0</v>
      </c>
      <c r="F105" s="326">
        <v>0</v>
      </c>
      <c r="G105" s="326">
        <f t="shared" si="20"/>
        <v>0</v>
      </c>
      <c r="H105" s="326"/>
      <c r="I105" s="663"/>
      <c r="J105" s="663"/>
      <c r="K105" s="663"/>
      <c r="L105" s="663"/>
      <c r="M105" s="663"/>
      <c r="N105" s="1096"/>
    </row>
    <row r="106" spans="2:14" ht="15.5" x14ac:dyDescent="0.35">
      <c r="B106" s="1086">
        <v>7</v>
      </c>
      <c r="C106" s="278" t="s">
        <v>712</v>
      </c>
      <c r="D106" s="264" t="s">
        <v>726</v>
      </c>
      <c r="E106" s="326">
        <f t="shared" si="19"/>
        <v>0</v>
      </c>
      <c r="F106" s="326">
        <v>0</v>
      </c>
      <c r="G106" s="326">
        <f t="shared" si="20"/>
        <v>0</v>
      </c>
      <c r="H106" s="326"/>
      <c r="I106" s="663"/>
      <c r="J106" s="663"/>
      <c r="K106" s="663"/>
      <c r="L106" s="663"/>
      <c r="M106" s="663"/>
      <c r="N106" s="1096"/>
    </row>
    <row r="107" spans="2:14" ht="15.5" x14ac:dyDescent="0.35">
      <c r="B107" s="1086">
        <v>8</v>
      </c>
      <c r="C107" s="278" t="s">
        <v>713</v>
      </c>
      <c r="D107" s="264" t="s">
        <v>726</v>
      </c>
      <c r="E107" s="326">
        <f t="shared" si="19"/>
        <v>0</v>
      </c>
      <c r="F107" s="326">
        <v>0</v>
      </c>
      <c r="G107" s="326">
        <f t="shared" si="20"/>
        <v>0</v>
      </c>
      <c r="H107" s="326"/>
      <c r="I107" s="663"/>
      <c r="J107" s="663"/>
      <c r="K107" s="663"/>
      <c r="L107" s="663"/>
      <c r="M107" s="663"/>
      <c r="N107" s="1096"/>
    </row>
    <row r="108" spans="2:14" ht="15.5" x14ac:dyDescent="0.35">
      <c r="B108" s="1086">
        <v>9</v>
      </c>
      <c r="C108" s="278" t="s">
        <v>741</v>
      </c>
      <c r="D108" s="264" t="s">
        <v>726</v>
      </c>
      <c r="E108" s="326">
        <f t="shared" si="19"/>
        <v>0</v>
      </c>
      <c r="F108" s="326">
        <v>0</v>
      </c>
      <c r="G108" s="326">
        <f t="shared" si="20"/>
        <v>0</v>
      </c>
      <c r="H108" s="326"/>
      <c r="I108" s="663"/>
      <c r="J108" s="663"/>
      <c r="K108" s="663"/>
      <c r="L108" s="663"/>
      <c r="M108" s="663"/>
      <c r="N108" s="1096"/>
    </row>
    <row r="109" spans="2:14" ht="15.5" x14ac:dyDescent="0.35">
      <c r="B109" s="1086">
        <v>10</v>
      </c>
      <c r="C109" s="278" t="s">
        <v>205</v>
      </c>
      <c r="D109" s="264" t="s">
        <v>726</v>
      </c>
      <c r="E109" s="326">
        <f t="shared" si="19"/>
        <v>0</v>
      </c>
      <c r="F109" s="326">
        <v>0</v>
      </c>
      <c r="G109" s="326">
        <f t="shared" si="20"/>
        <v>0</v>
      </c>
      <c r="H109" s="326"/>
      <c r="I109" s="663"/>
      <c r="J109" s="663"/>
      <c r="K109" s="663"/>
      <c r="L109" s="663"/>
      <c r="M109" s="663"/>
      <c r="N109" s="1096"/>
    </row>
    <row r="110" spans="2:14" ht="15.5" x14ac:dyDescent="0.35">
      <c r="B110" s="1086">
        <v>11</v>
      </c>
      <c r="C110" s="278" t="s">
        <v>715</v>
      </c>
      <c r="D110" s="264" t="s">
        <v>726</v>
      </c>
      <c r="E110" s="326">
        <f t="shared" si="19"/>
        <v>0</v>
      </c>
      <c r="F110" s="326">
        <v>0</v>
      </c>
      <c r="G110" s="326">
        <f t="shared" si="20"/>
        <v>0</v>
      </c>
      <c r="H110" s="326"/>
      <c r="I110" s="663"/>
      <c r="J110" s="663"/>
      <c r="K110" s="663"/>
      <c r="L110" s="663"/>
      <c r="M110" s="663"/>
      <c r="N110" s="1096"/>
    </row>
    <row r="111" spans="2:14" ht="15.5" x14ac:dyDescent="0.35">
      <c r="B111" s="1086">
        <v>12</v>
      </c>
      <c r="C111" s="278" t="s">
        <v>139</v>
      </c>
      <c r="D111" s="264" t="s">
        <v>726</v>
      </c>
      <c r="E111" s="326">
        <f t="shared" si="19"/>
        <v>0</v>
      </c>
      <c r="F111" s="326">
        <v>0</v>
      </c>
      <c r="G111" s="326">
        <f t="shared" si="20"/>
        <v>0</v>
      </c>
      <c r="H111" s="326"/>
      <c r="I111" s="663"/>
      <c r="J111" s="663"/>
      <c r="K111" s="663"/>
      <c r="L111" s="663"/>
      <c r="M111" s="663"/>
      <c r="N111" s="1096"/>
    </row>
    <row r="112" spans="2:14" s="4" customFormat="1" ht="15.5" x14ac:dyDescent="0.3">
      <c r="B112" s="1093"/>
      <c r="C112" s="234" t="s">
        <v>725</v>
      </c>
      <c r="D112" s="282" t="s">
        <v>726</v>
      </c>
      <c r="E112" s="308">
        <f>SUM(E100:E111)</f>
        <v>56117.97963081854</v>
      </c>
      <c r="F112" s="308">
        <f>SUM(F100:F111)</f>
        <v>56117.97963081854</v>
      </c>
      <c r="G112" s="308">
        <f t="shared" ref="G112" si="21">SUM(G100:G111)</f>
        <v>0</v>
      </c>
      <c r="H112" s="308">
        <f>I112</f>
        <v>56798.979121009055</v>
      </c>
      <c r="I112" s="1008">
        <v>56798.979121009055</v>
      </c>
      <c r="J112" s="308">
        <f>60000*(1+Assumptions!I$81)</f>
        <v>61800</v>
      </c>
      <c r="K112" s="308">
        <f>J112*(1+Assumptions!J$81)</f>
        <v>63654</v>
      </c>
      <c r="L112" s="308">
        <f>K112*(1+Assumptions!K$81)</f>
        <v>65563.62</v>
      </c>
      <c r="M112" s="308">
        <f>L112*(1+Assumptions!L$81)</f>
        <v>67530.528599999991</v>
      </c>
      <c r="N112" s="1088">
        <f t="shared" ref="N112" si="22">SUM(N100:N111)</f>
        <v>0</v>
      </c>
    </row>
    <row r="113" spans="2:14" s="4" customFormat="1" ht="15.5" x14ac:dyDescent="0.3">
      <c r="B113" s="1094"/>
      <c r="C113" s="234"/>
      <c r="D113" s="282"/>
      <c r="E113" s="326"/>
      <c r="F113" s="326"/>
      <c r="G113" s="326"/>
      <c r="H113" s="326"/>
      <c r="I113" s="663"/>
      <c r="J113" s="663"/>
      <c r="K113" s="663"/>
      <c r="L113" s="663"/>
      <c r="M113" s="663"/>
      <c r="N113" s="1088"/>
    </row>
    <row r="114" spans="2:14" s="4" customFormat="1" ht="15" x14ac:dyDescent="0.3">
      <c r="B114" s="1089" t="s">
        <v>805</v>
      </c>
      <c r="C114" s="234" t="s">
        <v>803</v>
      </c>
      <c r="D114" s="263"/>
      <c r="E114" s="326"/>
      <c r="F114" s="326"/>
      <c r="G114" s="326"/>
      <c r="H114" s="326"/>
      <c r="I114" s="663"/>
      <c r="J114" s="663"/>
      <c r="K114" s="663"/>
      <c r="L114" s="663"/>
      <c r="M114" s="663"/>
      <c r="N114" s="1088"/>
    </row>
    <row r="115" spans="2:14" s="4" customFormat="1" ht="15.5" x14ac:dyDescent="0.35">
      <c r="B115" s="1089">
        <v>1</v>
      </c>
      <c r="C115" s="278" t="s">
        <v>717</v>
      </c>
      <c r="D115" s="264" t="s">
        <v>726</v>
      </c>
      <c r="E115" s="326">
        <f t="shared" ref="E115:E124" si="23">F115</f>
        <v>0</v>
      </c>
      <c r="F115" s="326"/>
      <c r="G115" s="326">
        <f t="shared" ref="G115:G124" si="24">F115-E115</f>
        <v>0</v>
      </c>
      <c r="H115" s="326"/>
      <c r="I115" s="663"/>
      <c r="J115" s="663"/>
      <c r="K115" s="663"/>
      <c r="L115" s="663"/>
      <c r="M115" s="663"/>
      <c r="N115" s="1088"/>
    </row>
    <row r="116" spans="2:14" s="4" customFormat="1" ht="15.5" x14ac:dyDescent="0.35">
      <c r="B116" s="1089">
        <f>+B115+1</f>
        <v>2</v>
      </c>
      <c r="C116" s="278" t="s">
        <v>718</v>
      </c>
      <c r="D116" s="264" t="s">
        <v>726</v>
      </c>
      <c r="E116" s="326">
        <f t="shared" si="23"/>
        <v>0</v>
      </c>
      <c r="F116" s="326"/>
      <c r="G116" s="326">
        <f t="shared" si="24"/>
        <v>0</v>
      </c>
      <c r="H116" s="326"/>
      <c r="I116" s="663"/>
      <c r="J116" s="663"/>
      <c r="K116" s="663"/>
      <c r="L116" s="663"/>
      <c r="M116" s="663"/>
      <c r="N116" s="1088"/>
    </row>
    <row r="117" spans="2:14" s="4" customFormat="1" ht="15.5" x14ac:dyDescent="0.35">
      <c r="B117" s="1089">
        <f t="shared" ref="B117:B124" si="25">+B116+1</f>
        <v>3</v>
      </c>
      <c r="C117" s="278" t="s">
        <v>223</v>
      </c>
      <c r="D117" s="264" t="s">
        <v>726</v>
      </c>
      <c r="E117" s="326">
        <f t="shared" si="23"/>
        <v>0</v>
      </c>
      <c r="F117" s="326"/>
      <c r="G117" s="326">
        <f t="shared" si="24"/>
        <v>0</v>
      </c>
      <c r="H117" s="326"/>
      <c r="I117" s="663"/>
      <c r="J117" s="663"/>
      <c r="K117" s="663"/>
      <c r="L117" s="663"/>
      <c r="M117" s="663"/>
      <c r="N117" s="1088"/>
    </row>
    <row r="118" spans="2:14" s="4" customFormat="1" ht="15.5" x14ac:dyDescent="0.35">
      <c r="B118" s="1089">
        <f t="shared" si="25"/>
        <v>4</v>
      </c>
      <c r="C118" s="278" t="s">
        <v>719</v>
      </c>
      <c r="D118" s="264" t="s">
        <v>726</v>
      </c>
      <c r="E118" s="326">
        <f t="shared" si="23"/>
        <v>0</v>
      </c>
      <c r="F118" s="326"/>
      <c r="G118" s="326">
        <f t="shared" si="24"/>
        <v>0</v>
      </c>
      <c r="H118" s="326"/>
      <c r="I118" s="663"/>
      <c r="J118" s="663"/>
      <c r="K118" s="663"/>
      <c r="L118" s="663"/>
      <c r="M118" s="663"/>
      <c r="N118" s="1088"/>
    </row>
    <row r="119" spans="2:14" s="4" customFormat="1" ht="15.5" x14ac:dyDescent="0.35">
      <c r="B119" s="1089">
        <f t="shared" si="25"/>
        <v>5</v>
      </c>
      <c r="C119" s="278" t="s">
        <v>720</v>
      </c>
      <c r="D119" s="264" t="s">
        <v>726</v>
      </c>
      <c r="E119" s="326">
        <f t="shared" si="23"/>
        <v>0</v>
      </c>
      <c r="F119" s="326"/>
      <c r="G119" s="326">
        <f t="shared" si="24"/>
        <v>0</v>
      </c>
      <c r="H119" s="326"/>
      <c r="I119" s="663"/>
      <c r="J119" s="663"/>
      <c r="K119" s="663"/>
      <c r="L119" s="663"/>
      <c r="M119" s="663"/>
      <c r="N119" s="1088"/>
    </row>
    <row r="120" spans="2:14" s="4" customFormat="1" ht="15.5" x14ac:dyDescent="0.35">
      <c r="B120" s="1089">
        <f t="shared" si="25"/>
        <v>6</v>
      </c>
      <c r="C120" s="278" t="s">
        <v>711</v>
      </c>
      <c r="D120" s="264" t="s">
        <v>726</v>
      </c>
      <c r="E120" s="326">
        <f t="shared" si="23"/>
        <v>0</v>
      </c>
      <c r="F120" s="326"/>
      <c r="G120" s="326">
        <f t="shared" si="24"/>
        <v>0</v>
      </c>
      <c r="H120" s="326"/>
      <c r="I120" s="663"/>
      <c r="J120" s="663"/>
      <c r="K120" s="663"/>
      <c r="L120" s="663"/>
      <c r="M120" s="663"/>
      <c r="N120" s="1088"/>
    </row>
    <row r="121" spans="2:14" s="4" customFormat="1" ht="15.5" x14ac:dyDescent="0.35">
      <c r="B121" s="1089">
        <f t="shared" si="25"/>
        <v>7</v>
      </c>
      <c r="C121" s="278" t="s">
        <v>712</v>
      </c>
      <c r="D121" s="264" t="s">
        <v>726</v>
      </c>
      <c r="E121" s="326">
        <f t="shared" si="23"/>
        <v>0</v>
      </c>
      <c r="F121" s="326"/>
      <c r="G121" s="326">
        <f t="shared" si="24"/>
        <v>0</v>
      </c>
      <c r="H121" s="326"/>
      <c r="I121" s="663"/>
      <c r="J121" s="663"/>
      <c r="K121" s="663"/>
      <c r="L121" s="663"/>
      <c r="M121" s="663"/>
      <c r="N121" s="1088"/>
    </row>
    <row r="122" spans="2:14" s="4" customFormat="1" ht="15.5" x14ac:dyDescent="0.35">
      <c r="B122" s="1089">
        <f t="shared" si="25"/>
        <v>8</v>
      </c>
      <c r="C122" s="278" t="s">
        <v>713</v>
      </c>
      <c r="D122" s="264" t="s">
        <v>726</v>
      </c>
      <c r="E122" s="326">
        <f t="shared" si="23"/>
        <v>0</v>
      </c>
      <c r="F122" s="326"/>
      <c r="G122" s="326">
        <f t="shared" si="24"/>
        <v>0</v>
      </c>
      <c r="H122" s="326"/>
      <c r="I122" s="663"/>
      <c r="J122" s="663"/>
      <c r="K122" s="663"/>
      <c r="L122" s="663"/>
      <c r="M122" s="663"/>
      <c r="N122" s="1088"/>
    </row>
    <row r="123" spans="2:14" s="4" customFormat="1" ht="15.5" x14ac:dyDescent="0.35">
      <c r="B123" s="1089">
        <f t="shared" si="25"/>
        <v>9</v>
      </c>
      <c r="C123" s="278" t="s">
        <v>205</v>
      </c>
      <c r="D123" s="264" t="s">
        <v>726</v>
      </c>
      <c r="E123" s="326">
        <f t="shared" si="23"/>
        <v>0</v>
      </c>
      <c r="F123" s="326"/>
      <c r="G123" s="326">
        <f t="shared" si="24"/>
        <v>0</v>
      </c>
      <c r="H123" s="326"/>
      <c r="I123" s="663"/>
      <c r="J123" s="663"/>
      <c r="K123" s="663"/>
      <c r="L123" s="663"/>
      <c r="M123" s="663"/>
      <c r="N123" s="1088"/>
    </row>
    <row r="124" spans="2:14" s="4" customFormat="1" ht="15.5" x14ac:dyDescent="0.35">
      <c r="B124" s="1089">
        <f t="shared" si="25"/>
        <v>10</v>
      </c>
      <c r="C124" s="278" t="s">
        <v>205</v>
      </c>
      <c r="D124" s="264" t="s">
        <v>726</v>
      </c>
      <c r="E124" s="326">
        <f t="shared" si="23"/>
        <v>0</v>
      </c>
      <c r="F124" s="326"/>
      <c r="G124" s="326">
        <f t="shared" si="24"/>
        <v>0</v>
      </c>
      <c r="H124" s="326"/>
      <c r="I124" s="663"/>
      <c r="J124" s="663"/>
      <c r="K124" s="663"/>
      <c r="L124" s="663"/>
      <c r="M124" s="663"/>
      <c r="N124" s="1088"/>
    </row>
    <row r="125" spans="2:14" s="4" customFormat="1" ht="15" x14ac:dyDescent="0.3">
      <c r="B125" s="1089"/>
      <c r="C125" s="234" t="s">
        <v>804</v>
      </c>
      <c r="D125" s="263" t="s">
        <v>726</v>
      </c>
      <c r="E125" s="327">
        <f>SUM(E115:E124)</f>
        <v>0</v>
      </c>
      <c r="F125" s="327">
        <f>SUM(F115:F124)</f>
        <v>0</v>
      </c>
      <c r="G125" s="327">
        <f t="shared" ref="G125" si="26">SUM(G115:G124)</f>
        <v>0</v>
      </c>
      <c r="H125" s="327"/>
      <c r="I125" s="1083"/>
      <c r="J125" s="1083"/>
      <c r="K125" s="1083"/>
      <c r="L125" s="1083"/>
      <c r="M125" s="1083"/>
      <c r="N125" s="1088"/>
    </row>
    <row r="126" spans="2:14" s="4" customFormat="1" ht="15" x14ac:dyDescent="0.3">
      <c r="B126" s="1089"/>
      <c r="C126" s="234"/>
      <c r="D126" s="263"/>
      <c r="E126" s="326"/>
      <c r="F126" s="326"/>
      <c r="G126" s="326"/>
      <c r="H126" s="326"/>
      <c r="I126" s="663"/>
      <c r="J126" s="663"/>
      <c r="K126" s="663"/>
      <c r="L126" s="663"/>
      <c r="M126" s="663"/>
      <c r="N126" s="1088"/>
    </row>
    <row r="127" spans="2:14" s="4" customFormat="1" ht="15" x14ac:dyDescent="0.3">
      <c r="B127" s="1089" t="s">
        <v>806</v>
      </c>
      <c r="C127" s="234" t="s">
        <v>800</v>
      </c>
      <c r="D127" s="263"/>
      <c r="E127" s="326"/>
      <c r="F127" s="326"/>
      <c r="G127" s="326"/>
      <c r="H127" s="326"/>
      <c r="I127" s="663"/>
      <c r="J127" s="663"/>
      <c r="K127" s="663"/>
      <c r="L127" s="663"/>
      <c r="M127" s="663"/>
      <c r="N127" s="1088"/>
    </row>
    <row r="128" spans="2:14" s="4" customFormat="1" ht="15" x14ac:dyDescent="0.3">
      <c r="B128" s="1089">
        <v>1</v>
      </c>
      <c r="C128" s="234" t="s">
        <v>717</v>
      </c>
      <c r="D128" s="263" t="s">
        <v>726</v>
      </c>
      <c r="E128" s="326">
        <f t="shared" ref="E128:E137" si="27">F128</f>
        <v>0</v>
      </c>
      <c r="F128" s="326"/>
      <c r="G128" s="326">
        <f t="shared" ref="G128:G137" si="28">F128-E128</f>
        <v>0</v>
      </c>
      <c r="H128" s="326"/>
      <c r="I128" s="663"/>
      <c r="J128" s="663"/>
      <c r="K128" s="663"/>
      <c r="L128" s="663"/>
      <c r="M128" s="663"/>
      <c r="N128" s="1088"/>
    </row>
    <row r="129" spans="2:14" s="4" customFormat="1" ht="15" x14ac:dyDescent="0.3">
      <c r="B129" s="1089">
        <f>1+B128</f>
        <v>2</v>
      </c>
      <c r="C129" s="234" t="s">
        <v>718</v>
      </c>
      <c r="D129" s="263" t="s">
        <v>726</v>
      </c>
      <c r="E129" s="326">
        <f t="shared" si="27"/>
        <v>0</v>
      </c>
      <c r="F129" s="326"/>
      <c r="G129" s="326">
        <f t="shared" si="28"/>
        <v>0</v>
      </c>
      <c r="H129" s="326"/>
      <c r="I129" s="663"/>
      <c r="J129" s="663"/>
      <c r="K129" s="663"/>
      <c r="L129" s="663"/>
      <c r="M129" s="663"/>
      <c r="N129" s="1088"/>
    </row>
    <row r="130" spans="2:14" s="4" customFormat="1" ht="15" x14ac:dyDescent="0.3">
      <c r="B130" s="1089">
        <f t="shared" ref="B130:B137" si="29">1+B129</f>
        <v>3</v>
      </c>
      <c r="C130" s="234" t="s">
        <v>223</v>
      </c>
      <c r="D130" s="263" t="s">
        <v>726</v>
      </c>
      <c r="E130" s="326">
        <f t="shared" si="27"/>
        <v>0</v>
      </c>
      <c r="F130" s="326"/>
      <c r="G130" s="326">
        <f t="shared" si="28"/>
        <v>0</v>
      </c>
      <c r="H130" s="326"/>
      <c r="I130" s="663"/>
      <c r="J130" s="663"/>
      <c r="K130" s="663"/>
      <c r="L130" s="663"/>
      <c r="M130" s="663"/>
      <c r="N130" s="1088"/>
    </row>
    <row r="131" spans="2:14" s="4" customFormat="1" ht="15" x14ac:dyDescent="0.3">
      <c r="B131" s="1089">
        <f t="shared" si="29"/>
        <v>4</v>
      </c>
      <c r="C131" s="234" t="s">
        <v>719</v>
      </c>
      <c r="D131" s="263" t="s">
        <v>726</v>
      </c>
      <c r="E131" s="326">
        <f t="shared" si="27"/>
        <v>0</v>
      </c>
      <c r="F131" s="326"/>
      <c r="G131" s="326">
        <f t="shared" si="28"/>
        <v>0</v>
      </c>
      <c r="H131" s="326"/>
      <c r="I131" s="663"/>
      <c r="J131" s="663"/>
      <c r="K131" s="663"/>
      <c r="L131" s="663"/>
      <c r="M131" s="663"/>
      <c r="N131" s="1088"/>
    </row>
    <row r="132" spans="2:14" s="4" customFormat="1" ht="15" x14ac:dyDescent="0.3">
      <c r="B132" s="1089">
        <f t="shared" si="29"/>
        <v>5</v>
      </c>
      <c r="C132" s="234" t="s">
        <v>738</v>
      </c>
      <c r="D132" s="263" t="s">
        <v>726</v>
      </c>
      <c r="E132" s="326">
        <f t="shared" si="27"/>
        <v>0</v>
      </c>
      <c r="F132" s="326"/>
      <c r="G132" s="326">
        <f t="shared" si="28"/>
        <v>0</v>
      </c>
      <c r="H132" s="326"/>
      <c r="I132" s="663"/>
      <c r="J132" s="663"/>
      <c r="K132" s="663"/>
      <c r="L132" s="663"/>
      <c r="M132" s="663"/>
      <c r="N132" s="1088"/>
    </row>
    <row r="133" spans="2:14" s="4" customFormat="1" ht="15" x14ac:dyDescent="0.3">
      <c r="B133" s="1089">
        <f t="shared" si="29"/>
        <v>6</v>
      </c>
      <c r="C133" s="234" t="s">
        <v>711</v>
      </c>
      <c r="D133" s="263" t="s">
        <v>726</v>
      </c>
      <c r="E133" s="326">
        <f t="shared" si="27"/>
        <v>0</v>
      </c>
      <c r="F133" s="326"/>
      <c r="G133" s="326">
        <f t="shared" si="28"/>
        <v>0</v>
      </c>
      <c r="H133" s="326"/>
      <c r="I133" s="663"/>
      <c r="J133" s="663"/>
      <c r="K133" s="663"/>
      <c r="L133" s="663"/>
      <c r="M133" s="663"/>
      <c r="N133" s="1088"/>
    </row>
    <row r="134" spans="2:14" s="4" customFormat="1" ht="15" x14ac:dyDescent="0.3">
      <c r="B134" s="1089">
        <f t="shared" si="29"/>
        <v>7</v>
      </c>
      <c r="C134" s="234" t="s">
        <v>712</v>
      </c>
      <c r="D134" s="263" t="s">
        <v>726</v>
      </c>
      <c r="E134" s="326">
        <f t="shared" si="27"/>
        <v>0</v>
      </c>
      <c r="F134" s="326"/>
      <c r="G134" s="326">
        <f t="shared" si="28"/>
        <v>0</v>
      </c>
      <c r="H134" s="326"/>
      <c r="I134" s="663"/>
      <c r="J134" s="663"/>
      <c r="K134" s="663"/>
      <c r="L134" s="663"/>
      <c r="M134" s="663"/>
      <c r="N134" s="1088"/>
    </row>
    <row r="135" spans="2:14" s="4" customFormat="1" ht="15" x14ac:dyDescent="0.3">
      <c r="B135" s="1089">
        <f t="shared" si="29"/>
        <v>8</v>
      </c>
      <c r="C135" s="234" t="s">
        <v>713</v>
      </c>
      <c r="D135" s="263" t="s">
        <v>726</v>
      </c>
      <c r="E135" s="326">
        <f t="shared" si="27"/>
        <v>0</v>
      </c>
      <c r="F135" s="326"/>
      <c r="G135" s="326">
        <f t="shared" si="28"/>
        <v>0</v>
      </c>
      <c r="H135" s="326"/>
      <c r="I135" s="663"/>
      <c r="J135" s="663"/>
      <c r="K135" s="663"/>
      <c r="L135" s="663"/>
      <c r="M135" s="663"/>
      <c r="N135" s="1088"/>
    </row>
    <row r="136" spans="2:14" s="4" customFormat="1" ht="15" x14ac:dyDescent="0.3">
      <c r="B136" s="1089">
        <f t="shared" si="29"/>
        <v>9</v>
      </c>
      <c r="C136" s="234" t="s">
        <v>801</v>
      </c>
      <c r="D136" s="263" t="s">
        <v>726</v>
      </c>
      <c r="E136" s="326">
        <f t="shared" si="27"/>
        <v>0</v>
      </c>
      <c r="F136" s="326"/>
      <c r="G136" s="326">
        <f t="shared" si="28"/>
        <v>0</v>
      </c>
      <c r="H136" s="326"/>
      <c r="I136" s="663"/>
      <c r="J136" s="663"/>
      <c r="K136" s="663"/>
      <c r="L136" s="663"/>
      <c r="M136" s="663"/>
      <c r="N136" s="1088"/>
    </row>
    <row r="137" spans="2:14" s="4" customFormat="1" ht="15" x14ac:dyDescent="0.3">
      <c r="B137" s="1089">
        <f t="shared" si="29"/>
        <v>10</v>
      </c>
      <c r="C137" s="234" t="s">
        <v>205</v>
      </c>
      <c r="D137" s="263" t="s">
        <v>726</v>
      </c>
      <c r="E137" s="326">
        <f t="shared" si="27"/>
        <v>0</v>
      </c>
      <c r="F137" s="326"/>
      <c r="G137" s="326">
        <f t="shared" si="28"/>
        <v>0</v>
      </c>
      <c r="H137" s="326"/>
      <c r="I137" s="663"/>
      <c r="J137" s="663"/>
      <c r="K137" s="663"/>
      <c r="L137" s="663"/>
      <c r="M137" s="663"/>
      <c r="N137" s="1088"/>
    </row>
    <row r="138" spans="2:14" s="4" customFormat="1" ht="15" x14ac:dyDescent="0.3">
      <c r="B138" s="1089"/>
      <c r="C138" s="234" t="s">
        <v>802</v>
      </c>
      <c r="D138" s="263" t="s">
        <v>726</v>
      </c>
      <c r="E138" s="326">
        <f>SUM(E128:E137)</f>
        <v>0</v>
      </c>
      <c r="F138" s="326">
        <f>SUM(F128:F137)</f>
        <v>0</v>
      </c>
      <c r="G138" s="326">
        <f t="shared" ref="G138" si="30">SUM(G128:G137)</f>
        <v>0</v>
      </c>
      <c r="H138" s="326"/>
      <c r="I138" s="663"/>
      <c r="J138" s="663"/>
      <c r="K138" s="663"/>
      <c r="L138" s="663"/>
      <c r="M138" s="663"/>
      <c r="N138" s="1088"/>
    </row>
    <row r="139" spans="2:14" ht="15.5" x14ac:dyDescent="0.35">
      <c r="B139" s="1097"/>
      <c r="C139" s="283"/>
      <c r="D139" s="283"/>
      <c r="E139" s="277"/>
      <c r="F139" s="277"/>
      <c r="G139" s="277"/>
      <c r="H139" s="277"/>
      <c r="I139" s="271"/>
      <c r="J139" s="271"/>
      <c r="K139" s="271"/>
      <c r="L139" s="271"/>
      <c r="M139" s="271"/>
      <c r="N139" s="1090"/>
    </row>
    <row r="140" spans="2:14" ht="14.5" thickBot="1" x14ac:dyDescent="0.35">
      <c r="B140" s="1098"/>
      <c r="C140" s="1099"/>
      <c r="D140" s="1100"/>
      <c r="E140" s="1100"/>
      <c r="F140" s="1100"/>
      <c r="G140" s="1100"/>
      <c r="H140" s="1100"/>
      <c r="I140" s="1101"/>
      <c r="J140" s="1101"/>
      <c r="K140" s="1101"/>
      <c r="L140" s="1101"/>
      <c r="M140" s="1101"/>
      <c r="N140" s="1102"/>
    </row>
    <row r="141" spans="2:14" ht="18" customHeight="1" x14ac:dyDescent="0.3">
      <c r="C141" s="480"/>
      <c r="D141" s="480"/>
      <c r="E141" s="480"/>
      <c r="F141" s="480"/>
      <c r="G141" s="480"/>
      <c r="H141" s="480"/>
    </row>
    <row r="142" spans="2:14" x14ac:dyDescent="0.3">
      <c r="B142" s="5"/>
      <c r="C142" s="5"/>
      <c r="D142" s="5"/>
      <c r="E142" s="5"/>
      <c r="F142" s="5"/>
      <c r="G142" s="5"/>
      <c r="H142" s="5"/>
    </row>
    <row r="143" spans="2:14" x14ac:dyDescent="0.3">
      <c r="B143" s="5"/>
      <c r="C143" s="5"/>
      <c r="D143" s="5"/>
      <c r="E143" s="5"/>
      <c r="F143" s="5"/>
      <c r="G143" s="5"/>
      <c r="H143" s="5"/>
      <c r="L143" s="37"/>
    </row>
    <row r="144" spans="2:14" x14ac:dyDescent="0.3">
      <c r="B144" s="5"/>
      <c r="C144" s="5"/>
      <c r="D144" s="5"/>
      <c r="E144" s="5"/>
      <c r="F144" s="5"/>
      <c r="G144" s="5"/>
      <c r="H144" s="5"/>
      <c r="L144" s="480"/>
      <c r="M144" s="480"/>
      <c r="N144" s="480"/>
    </row>
    <row r="145" spans="2:14" x14ac:dyDescent="0.3">
      <c r="B145" s="5"/>
      <c r="C145" s="5"/>
      <c r="D145" s="5"/>
      <c r="E145" s="5"/>
      <c r="F145" s="5"/>
      <c r="G145" s="5"/>
      <c r="H145" s="5"/>
    </row>
    <row r="147" spans="2:14" x14ac:dyDescent="0.3">
      <c r="N147" s="791"/>
    </row>
  </sheetData>
  <mergeCells count="17">
    <mergeCell ref="L2:V2"/>
    <mergeCell ref="L3:V3"/>
    <mergeCell ref="L4:V4"/>
    <mergeCell ref="B7:B9"/>
    <mergeCell ref="C7:C9"/>
    <mergeCell ref="D7:D9"/>
    <mergeCell ref="E7:G7"/>
    <mergeCell ref="N7:N9"/>
    <mergeCell ref="B2:K2"/>
    <mergeCell ref="B3:K3"/>
    <mergeCell ref="J7:M7"/>
    <mergeCell ref="H7:I7"/>
    <mergeCell ref="H8:H9"/>
    <mergeCell ref="I8:I9"/>
    <mergeCell ref="H11:H21"/>
    <mergeCell ref="I11:I21"/>
    <mergeCell ref="B4:K4"/>
  </mergeCells>
  <pageMargins left="0.19685039370078741" right="0.19685039370078741" top="0.19685039370078741" bottom="0.19685039370078741" header="0.31496062992125984" footer="0.31496062992125984"/>
  <pageSetup paperSize="9" scale="47" orientation="landscape" r:id="rId1"/>
  <headerFooter alignWithMargins="0"/>
  <rowBreaks count="1" manualBreakCount="1">
    <brk id="54" max="26" man="1"/>
  </rowBreaks>
  <colBreaks count="1" manualBreakCount="1">
    <brk id="11" max="71"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B2:T100"/>
  <sheetViews>
    <sheetView showGridLines="0" topLeftCell="A45" zoomScale="52" zoomScaleNormal="75" workbookViewId="0">
      <selection activeCell="F73" sqref="F73"/>
    </sheetView>
  </sheetViews>
  <sheetFormatPr defaultColWidth="9.453125" defaultRowHeight="14" x14ac:dyDescent="0.3"/>
  <cols>
    <col min="1" max="1" width="3.453125" style="1" customWidth="1"/>
    <col min="2" max="2" width="8.453125" style="67" customWidth="1"/>
    <col min="3" max="3" width="67.81640625" style="1" customWidth="1"/>
    <col min="4" max="4" width="10.81640625" style="1" bestFit="1" customWidth="1"/>
    <col min="5" max="5" width="15.453125" style="1" customWidth="1"/>
    <col min="6" max="6" width="13.453125" style="1" bestFit="1" customWidth="1"/>
    <col min="7" max="7" width="15.81640625" style="1" bestFit="1" customWidth="1"/>
    <col min="8" max="8" width="15.54296875" style="1" bestFit="1" customWidth="1"/>
    <col min="9" max="9" width="15.81640625" style="1" bestFit="1" customWidth="1"/>
    <col min="10" max="10" width="15.1796875" style="1" bestFit="1" customWidth="1"/>
    <col min="11" max="11" width="12.54296875" style="1" bestFit="1" customWidth="1"/>
    <col min="12" max="12" width="14.54296875" style="1" bestFit="1" customWidth="1"/>
    <col min="13" max="13" width="13.81640625" style="1" bestFit="1" customWidth="1"/>
    <col min="14" max="14" width="14.453125" style="1" bestFit="1" customWidth="1"/>
    <col min="15" max="15" width="18.54296875" style="1" customWidth="1"/>
    <col min="16" max="16384" width="9.453125" style="1"/>
  </cols>
  <sheetData>
    <row r="2" spans="2:15" x14ac:dyDescent="0.3">
      <c r="B2" s="1406" t="str">
        <f>Index!B2</f>
        <v xml:space="preserve">      Maharashtra State Power Generation Company Ltd.</v>
      </c>
      <c r="C2" s="1406"/>
      <c r="D2" s="1406"/>
      <c r="E2" s="1406"/>
      <c r="F2" s="1406"/>
      <c r="G2" s="88"/>
      <c r="H2" s="88"/>
      <c r="I2" s="88"/>
      <c r="J2" s="88"/>
      <c r="K2" s="88"/>
      <c r="L2" s="88"/>
      <c r="M2" s="88"/>
      <c r="N2" s="88"/>
      <c r="O2" s="88"/>
    </row>
    <row r="3" spans="2:15" x14ac:dyDescent="0.3">
      <c r="B3" s="1406" t="str">
        <f>Index!B3</f>
        <v>MYT Petition Formats for Bhusawal Unit 6</v>
      </c>
      <c r="C3" s="1406"/>
      <c r="D3" s="1406"/>
      <c r="E3" s="1406"/>
      <c r="F3" s="1406"/>
      <c r="G3" s="88"/>
      <c r="H3" s="88"/>
      <c r="I3" s="88"/>
      <c r="J3" s="88"/>
      <c r="K3" s="88"/>
      <c r="L3" s="88"/>
      <c r="M3" s="88"/>
      <c r="N3" s="88"/>
      <c r="O3" s="88"/>
    </row>
    <row r="4" spans="2:15" x14ac:dyDescent="0.3">
      <c r="B4" s="1407" t="s">
        <v>371</v>
      </c>
      <c r="C4" s="1407"/>
      <c r="D4" s="1407"/>
      <c r="E4" s="1407"/>
      <c r="F4" s="1407"/>
      <c r="G4" s="88"/>
      <c r="H4" s="88"/>
      <c r="I4" s="88"/>
      <c r="J4" s="88"/>
      <c r="K4" s="88"/>
      <c r="L4" s="88"/>
      <c r="M4" s="88"/>
      <c r="N4" s="88"/>
      <c r="O4" s="88"/>
    </row>
    <row r="5" spans="2:15" x14ac:dyDescent="0.3">
      <c r="B5" s="111"/>
      <c r="C5" s="5"/>
      <c r="D5" s="14"/>
      <c r="E5" s="14"/>
      <c r="F5" s="14"/>
      <c r="G5" s="14"/>
      <c r="H5" s="14"/>
      <c r="I5" s="14"/>
    </row>
    <row r="6" spans="2:15" x14ac:dyDescent="0.3">
      <c r="B6" s="110" t="s">
        <v>1419</v>
      </c>
      <c r="C6" s="5"/>
      <c r="D6" s="14"/>
      <c r="E6" s="14"/>
      <c r="F6" s="14"/>
      <c r="G6" s="14"/>
      <c r="H6" s="14"/>
      <c r="I6" s="14"/>
    </row>
    <row r="7" spans="2:15" x14ac:dyDescent="0.3">
      <c r="B7" s="110"/>
      <c r="C7" s="13"/>
      <c r="D7" s="14"/>
      <c r="E7" s="14"/>
      <c r="F7" s="16" t="s">
        <v>10</v>
      </c>
      <c r="G7" s="16"/>
      <c r="H7" s="16"/>
      <c r="I7" s="14"/>
    </row>
    <row r="8" spans="2:15" x14ac:dyDescent="0.3">
      <c r="B8" s="1475" t="s">
        <v>327</v>
      </c>
      <c r="C8" s="1477" t="s">
        <v>35</v>
      </c>
      <c r="D8" s="1477" t="s">
        <v>142</v>
      </c>
      <c r="E8" s="1413" t="s">
        <v>477</v>
      </c>
      <c r="F8" s="1415"/>
      <c r="G8" s="45"/>
      <c r="H8" s="45"/>
      <c r="I8" s="45"/>
      <c r="L8" s="1232"/>
    </row>
    <row r="9" spans="2:15" ht="33.65" customHeight="1" x14ac:dyDescent="0.3">
      <c r="B9" s="1476"/>
      <c r="C9" s="1478"/>
      <c r="D9" s="1478"/>
      <c r="E9" s="97" t="s">
        <v>1216</v>
      </c>
      <c r="F9" s="97" t="s">
        <v>736</v>
      </c>
      <c r="G9" s="45"/>
      <c r="H9" s="45"/>
      <c r="I9" s="45"/>
      <c r="L9" s="1232"/>
    </row>
    <row r="10" spans="2:15" x14ac:dyDescent="0.3">
      <c r="B10" s="121">
        <v>1</v>
      </c>
      <c r="C10" s="386" t="s">
        <v>428</v>
      </c>
      <c r="D10" s="95"/>
      <c r="E10" s="371">
        <f>F2.2!E12</f>
        <v>0.85</v>
      </c>
      <c r="F10" s="371">
        <f>F2.2!F12</f>
        <v>0.85</v>
      </c>
      <c r="G10" s="45"/>
      <c r="H10" s="45"/>
      <c r="I10" s="45"/>
    </row>
    <row r="11" spans="2:15" x14ac:dyDescent="0.3">
      <c r="B11" s="121">
        <v>1.1000000000000001</v>
      </c>
      <c r="C11" s="389" t="s">
        <v>597</v>
      </c>
      <c r="D11" s="95"/>
      <c r="E11" s="347"/>
      <c r="F11" s="481"/>
      <c r="G11" s="45"/>
      <c r="H11" s="45"/>
      <c r="I11" s="45"/>
    </row>
    <row r="12" spans="2:15" s="4" customFormat="1" x14ac:dyDescent="0.3">
      <c r="B12" s="121"/>
      <c r="C12" s="482" t="s">
        <v>598</v>
      </c>
      <c r="D12" s="95"/>
      <c r="E12" s="899"/>
      <c r="F12" s="245">
        <f>F2.2!F15</f>
        <v>0.46249000000000001</v>
      </c>
      <c r="G12" s="45"/>
    </row>
    <row r="13" spans="2:15" s="4" customFormat="1" x14ac:dyDescent="0.3">
      <c r="B13" s="121"/>
      <c r="C13" s="482" t="s">
        <v>599</v>
      </c>
      <c r="D13" s="95"/>
      <c r="E13" s="899"/>
      <c r="F13" s="245">
        <f>F2.2!F16</f>
        <v>0.44533</v>
      </c>
      <c r="G13" s="45"/>
    </row>
    <row r="14" spans="2:15" s="4" customFormat="1" x14ac:dyDescent="0.3">
      <c r="B14" s="121">
        <v>1.2</v>
      </c>
      <c r="C14" s="389" t="s">
        <v>600</v>
      </c>
      <c r="D14" s="95"/>
      <c r="E14" s="899"/>
      <c r="F14" s="245"/>
      <c r="G14" s="45"/>
    </row>
    <row r="15" spans="2:15" s="4" customFormat="1" x14ac:dyDescent="0.3">
      <c r="B15" s="121"/>
      <c r="C15" s="482" t="s">
        <v>598</v>
      </c>
      <c r="D15" s="95"/>
      <c r="E15" s="899"/>
      <c r="F15" s="245">
        <f>F2.2!F18</f>
        <v>0.83346999999999993</v>
      </c>
      <c r="G15" s="45"/>
    </row>
    <row r="16" spans="2:15" s="4" customFormat="1" x14ac:dyDescent="0.3">
      <c r="B16" s="121"/>
      <c r="C16" s="482" t="s">
        <v>599</v>
      </c>
      <c r="D16" s="95"/>
      <c r="E16" s="899"/>
      <c r="F16" s="245">
        <f>F2.2!F19</f>
        <v>0.81228</v>
      </c>
      <c r="G16" s="45"/>
    </row>
    <row r="17" spans="2:7" s="4" customFormat="1" x14ac:dyDescent="0.3">
      <c r="B17" s="121">
        <v>2</v>
      </c>
      <c r="C17" s="386" t="s">
        <v>652</v>
      </c>
      <c r="D17" s="95"/>
      <c r="E17" s="899"/>
      <c r="F17" s="245"/>
      <c r="G17" s="45"/>
    </row>
    <row r="18" spans="2:7" s="4" customFormat="1" x14ac:dyDescent="0.3">
      <c r="B18" s="121">
        <v>3</v>
      </c>
      <c r="C18" s="386" t="s">
        <v>672</v>
      </c>
      <c r="D18" s="95"/>
      <c r="E18" s="899"/>
      <c r="F18" s="245"/>
      <c r="G18" s="45"/>
    </row>
    <row r="19" spans="2:7" s="4" customFormat="1" x14ac:dyDescent="0.3">
      <c r="B19" s="121">
        <f>B18+1</f>
        <v>4</v>
      </c>
      <c r="C19" s="386" t="s">
        <v>1420</v>
      </c>
      <c r="D19" s="742">
        <v>30</v>
      </c>
      <c r="E19" s="218">
        <v>130.44</v>
      </c>
      <c r="F19" s="218">
        <f>SUM(F2.2!$F$116:$F$118)/365*$D19</f>
        <v>8.1566671046128505</v>
      </c>
      <c r="G19" s="45"/>
    </row>
    <row r="20" spans="2:7" s="4" customFormat="1" ht="16" x14ac:dyDescent="0.3">
      <c r="B20" s="121">
        <f t="shared" ref="B20:B30" si="0">B19+1</f>
        <v>5</v>
      </c>
      <c r="C20" s="386" t="s">
        <v>321</v>
      </c>
      <c r="D20" s="742">
        <v>30</v>
      </c>
      <c r="E20" s="218">
        <f>E19</f>
        <v>130.44</v>
      </c>
      <c r="F20" s="218">
        <f>SUM(F2.2!$F$116:$F$118)/365*$D20</f>
        <v>8.1566671046128505</v>
      </c>
      <c r="G20" s="45"/>
    </row>
    <row r="21" spans="2:7" s="4" customFormat="1" ht="16" x14ac:dyDescent="0.3">
      <c r="B21" s="121">
        <f t="shared" si="0"/>
        <v>6</v>
      </c>
      <c r="C21" s="68" t="s">
        <v>319</v>
      </c>
      <c r="D21" s="742"/>
      <c r="E21" s="218"/>
      <c r="F21" s="218"/>
      <c r="G21" s="45"/>
    </row>
    <row r="22" spans="2:7" s="4" customFormat="1" ht="16" x14ac:dyDescent="0.3">
      <c r="B22" s="121">
        <f t="shared" si="0"/>
        <v>7</v>
      </c>
      <c r="C22" s="68" t="s">
        <v>320</v>
      </c>
      <c r="D22" s="743">
        <v>2</v>
      </c>
      <c r="E22" s="218">
        <v>2.38</v>
      </c>
      <c r="F22" s="218">
        <f>IFERROR(SUM(F2.2!$F$121:$F$124)/12*$D22,0)</f>
        <v>0.15237787571973702</v>
      </c>
      <c r="G22" s="45"/>
    </row>
    <row r="23" spans="2:7" s="4" customFormat="1" ht="16" x14ac:dyDescent="0.3">
      <c r="B23" s="121">
        <f t="shared" si="0"/>
        <v>8</v>
      </c>
      <c r="C23" s="68" t="s">
        <v>143</v>
      </c>
      <c r="D23" s="3"/>
      <c r="E23" s="218"/>
      <c r="F23" s="218"/>
      <c r="G23" s="45"/>
    </row>
    <row r="24" spans="2:7" s="4" customFormat="1" ht="16" x14ac:dyDescent="0.3">
      <c r="B24" s="121">
        <f t="shared" si="0"/>
        <v>9</v>
      </c>
      <c r="C24" s="68" t="s">
        <v>144</v>
      </c>
      <c r="D24" s="3"/>
      <c r="E24" s="218"/>
      <c r="F24" s="218"/>
      <c r="G24" s="45"/>
    </row>
    <row r="25" spans="2:7" s="4" customFormat="1" ht="16" x14ac:dyDescent="0.3">
      <c r="B25" s="121">
        <f t="shared" si="0"/>
        <v>10</v>
      </c>
      <c r="C25" s="68" t="s">
        <v>145</v>
      </c>
      <c r="D25" s="3"/>
      <c r="E25" s="218"/>
      <c r="F25" s="218"/>
      <c r="G25" s="45"/>
    </row>
    <row r="26" spans="2:7" s="4" customFormat="1" x14ac:dyDescent="0.3">
      <c r="B26" s="121">
        <f t="shared" si="0"/>
        <v>11</v>
      </c>
      <c r="C26" s="386" t="s">
        <v>168</v>
      </c>
      <c r="D26" s="744">
        <v>1</v>
      </c>
      <c r="E26" s="218">
        <v>9.3699999999999992</v>
      </c>
      <c r="F26" s="218">
        <f>('F1'!$F$13+'F1'!$F$22)/12*$D26</f>
        <v>1.2848978505403643</v>
      </c>
      <c r="G26" s="45"/>
    </row>
    <row r="27" spans="2:7" s="4" customFormat="1" x14ac:dyDescent="0.3">
      <c r="B27" s="121">
        <f t="shared" si="0"/>
        <v>12</v>
      </c>
      <c r="C27" s="386" t="s">
        <v>887</v>
      </c>
      <c r="D27" s="745">
        <v>0.01</v>
      </c>
      <c r="E27" s="218">
        <v>49.73</v>
      </c>
      <c r="F27" s="218">
        <f>F3.4!$D$23*$D27</f>
        <v>58.36060836691081</v>
      </c>
      <c r="G27" s="45"/>
    </row>
    <row r="28" spans="2:7" s="4" customFormat="1" x14ac:dyDescent="0.3">
      <c r="B28" s="121">
        <f t="shared" si="0"/>
        <v>13</v>
      </c>
      <c r="C28" s="386" t="s">
        <v>147</v>
      </c>
      <c r="D28" s="746">
        <v>75</v>
      </c>
      <c r="E28" s="218">
        <v>314.05</v>
      </c>
      <c r="F28" s="218">
        <f ca="1">('F1'!$G$31-'F1'!$G$11+'F1'!$F$11-'F1'!$G$13+'F1'!$F$13)/365*D28</f>
        <v>45.409816359788941</v>
      </c>
      <c r="G28" s="45"/>
    </row>
    <row r="29" spans="2:7" s="4" customFormat="1" ht="16" x14ac:dyDescent="0.3">
      <c r="B29" s="121">
        <f t="shared" si="0"/>
        <v>14</v>
      </c>
      <c r="C29" s="386" t="s">
        <v>516</v>
      </c>
      <c r="D29" s="746">
        <v>30</v>
      </c>
      <c r="E29" s="218">
        <v>0</v>
      </c>
      <c r="F29" s="218">
        <f>IFERROR((SUM(F2.2!$F$121:$F$124)/365*$D29),0)</f>
        <v>7.5145253779596327E-2</v>
      </c>
      <c r="G29" s="45"/>
    </row>
    <row r="30" spans="2:7" s="4" customFormat="1" x14ac:dyDescent="0.3">
      <c r="B30" s="121">
        <f t="shared" si="0"/>
        <v>15</v>
      </c>
      <c r="C30" s="132" t="s">
        <v>148</v>
      </c>
      <c r="D30" s="2"/>
      <c r="E30" s="487">
        <f>SUM(E19:E28)-E29</f>
        <v>636.41000000000008</v>
      </c>
      <c r="F30" s="487">
        <f ca="1">SUM(F19:F28)-F29</f>
        <v>121.44588940840595</v>
      </c>
      <c r="G30" s="45"/>
    </row>
    <row r="31" spans="2:7" s="4" customFormat="1" x14ac:dyDescent="0.3">
      <c r="B31" s="116"/>
      <c r="C31" s="68"/>
      <c r="D31" s="2"/>
      <c r="E31" s="218"/>
      <c r="F31" s="457"/>
      <c r="G31" s="45"/>
    </row>
    <row r="32" spans="2:7" s="4" customFormat="1" x14ac:dyDescent="0.3">
      <c r="B32" s="121">
        <f>B30+1</f>
        <v>16</v>
      </c>
      <c r="C32" s="134" t="s">
        <v>364</v>
      </c>
      <c r="D32" s="2"/>
      <c r="E32" s="218"/>
      <c r="F32" s="218"/>
      <c r="G32" s="45"/>
    </row>
    <row r="33" spans="2:20" x14ac:dyDescent="0.3">
      <c r="B33" s="121">
        <f t="shared" ref="B33:B35" si="1">B32+1</f>
        <v>17</v>
      </c>
      <c r="C33" s="386" t="s">
        <v>365</v>
      </c>
      <c r="D33" s="2"/>
      <c r="E33" s="1304">
        <v>0.10349999999999999</v>
      </c>
      <c r="F33" s="1304">
        <f>$I$100</f>
        <v>0.105</v>
      </c>
      <c r="G33" s="45"/>
    </row>
    <row r="34" spans="2:20" x14ac:dyDescent="0.3">
      <c r="B34" s="94">
        <f t="shared" si="1"/>
        <v>18</v>
      </c>
      <c r="C34" s="132" t="s">
        <v>84</v>
      </c>
      <c r="D34" s="2"/>
      <c r="E34" s="488">
        <v>10.83</v>
      </c>
      <c r="F34" s="488">
        <f ca="1">F30*F33</f>
        <v>12.751818387882624</v>
      </c>
      <c r="G34" s="45"/>
    </row>
    <row r="35" spans="2:20" ht="15.5" x14ac:dyDescent="0.3">
      <c r="B35" s="94">
        <f t="shared" si="1"/>
        <v>19</v>
      </c>
      <c r="C35" s="132" t="s">
        <v>838</v>
      </c>
      <c r="D35" s="2"/>
      <c r="E35" s="218"/>
      <c r="F35" s="247">
        <f ca="1">F34</f>
        <v>12.751818387882624</v>
      </c>
      <c r="G35" s="1197" t="s">
        <v>2969</v>
      </c>
    </row>
    <row r="36" spans="2:20" x14ac:dyDescent="0.3">
      <c r="B36" s="157"/>
      <c r="C36" s="387"/>
      <c r="D36" s="5"/>
      <c r="E36" s="158"/>
      <c r="F36" s="158"/>
      <c r="G36" s="158"/>
      <c r="H36" s="158"/>
      <c r="I36" s="158"/>
      <c r="J36" s="158"/>
      <c r="K36" s="45"/>
      <c r="L36" s="45"/>
      <c r="M36" s="45"/>
      <c r="N36" s="45"/>
      <c r="O36" s="45"/>
      <c r="P36" s="45"/>
    </row>
    <row r="37" spans="2:20" hidden="1" x14ac:dyDescent="0.3">
      <c r="B37" s="130" t="s">
        <v>141</v>
      </c>
      <c r="C37" s="388"/>
      <c r="D37" s="5"/>
      <c r="E37" s="5"/>
      <c r="F37" s="5"/>
      <c r="G37" s="5"/>
      <c r="H37" s="5"/>
      <c r="I37" s="5"/>
      <c r="J37" s="5"/>
    </row>
    <row r="38" spans="2:20" hidden="1" x14ac:dyDescent="0.3">
      <c r="B38" s="67">
        <v>1</v>
      </c>
      <c r="C38" s="118" t="s">
        <v>150</v>
      </c>
      <c r="D38" s="37"/>
      <c r="E38" s="37"/>
      <c r="J38" s="5"/>
    </row>
    <row r="39" spans="2:20" hidden="1" x14ac:dyDescent="0.3">
      <c r="B39" s="67">
        <v>2</v>
      </c>
      <c r="C39" s="118" t="s">
        <v>151</v>
      </c>
      <c r="D39" s="37"/>
      <c r="E39" s="37"/>
      <c r="J39" s="5"/>
    </row>
    <row r="40" spans="2:20" ht="18" hidden="1" customHeight="1" x14ac:dyDescent="0.3">
      <c r="B40" s="67">
        <v>3</v>
      </c>
      <c r="C40" s="118" t="s">
        <v>152</v>
      </c>
      <c r="J40" s="5"/>
    </row>
    <row r="41" spans="2:20" hidden="1" x14ac:dyDescent="0.3">
      <c r="B41" s="117">
        <v>4</v>
      </c>
      <c r="C41" s="388" t="s">
        <v>630</v>
      </c>
      <c r="D41" s="5"/>
      <c r="E41" s="5"/>
      <c r="F41" s="5"/>
      <c r="G41" s="5"/>
      <c r="H41" s="5"/>
      <c r="I41" s="5"/>
      <c r="J41" s="5"/>
    </row>
    <row r="42" spans="2:20" hidden="1" x14ac:dyDescent="0.3">
      <c r="B42" s="117">
        <v>5</v>
      </c>
      <c r="C42" s="388" t="s">
        <v>429</v>
      </c>
      <c r="D42" s="5"/>
      <c r="E42" s="5"/>
      <c r="F42" s="5"/>
      <c r="G42" s="5"/>
      <c r="H42" s="5"/>
      <c r="I42" s="5"/>
      <c r="J42" s="5"/>
    </row>
    <row r="43" spans="2:20" hidden="1" x14ac:dyDescent="0.3">
      <c r="B43" s="117"/>
      <c r="C43" s="388"/>
      <c r="D43" s="5"/>
      <c r="E43" s="5"/>
      <c r="F43" s="5"/>
      <c r="G43" s="5"/>
      <c r="H43" s="5"/>
      <c r="I43" s="5"/>
      <c r="J43" s="5"/>
    </row>
    <row r="44" spans="2:20" hidden="1" x14ac:dyDescent="0.3">
      <c r="B44" s="117"/>
      <c r="C44" s="388"/>
      <c r="D44" s="5"/>
      <c r="E44" s="5"/>
      <c r="F44" s="5"/>
      <c r="G44" s="5"/>
      <c r="H44" s="5"/>
      <c r="I44" s="5"/>
      <c r="J44" s="5"/>
    </row>
    <row r="45" spans="2:20" x14ac:dyDescent="0.3">
      <c r="B45" s="130" t="s">
        <v>880</v>
      </c>
      <c r="C45" s="388"/>
      <c r="D45" s="5"/>
      <c r="E45" s="236"/>
      <c r="F45" s="5"/>
      <c r="G45" s="5"/>
      <c r="H45" s="5"/>
      <c r="I45" s="5"/>
      <c r="J45" s="5"/>
    </row>
    <row r="46" spans="2:20" x14ac:dyDescent="0.3">
      <c r="C46" s="118"/>
      <c r="I46" s="16" t="s">
        <v>10</v>
      </c>
    </row>
    <row r="47" spans="2:20" ht="27.65" customHeight="1" x14ac:dyDescent="0.3">
      <c r="B47" s="1481" t="s">
        <v>327</v>
      </c>
      <c r="C47" s="1462" t="s">
        <v>35</v>
      </c>
      <c r="D47" s="1462" t="s">
        <v>142</v>
      </c>
      <c r="E47" s="1413" t="s">
        <v>849</v>
      </c>
      <c r="F47" s="1415"/>
      <c r="G47" s="177" t="s">
        <v>850</v>
      </c>
      <c r="H47" s="177" t="s">
        <v>851</v>
      </c>
      <c r="I47" s="177" t="s">
        <v>852</v>
      </c>
      <c r="J47" s="97" t="s">
        <v>853</v>
      </c>
      <c r="K47" s="45"/>
      <c r="L47" s="45"/>
      <c r="M47" s="45"/>
      <c r="N47" s="45"/>
      <c r="S47" s="45"/>
      <c r="T47" s="45"/>
    </row>
    <row r="48" spans="2:20" s="29" customFormat="1" ht="37.75" customHeight="1" x14ac:dyDescent="0.25">
      <c r="B48" s="1481"/>
      <c r="C48" s="1462"/>
      <c r="D48" s="1462"/>
      <c r="E48" s="1386" t="s">
        <v>860</v>
      </c>
      <c r="F48" s="97" t="s">
        <v>20</v>
      </c>
      <c r="G48" s="97" t="s">
        <v>20</v>
      </c>
      <c r="H48" s="97" t="s">
        <v>20</v>
      </c>
      <c r="I48" s="97" t="s">
        <v>20</v>
      </c>
      <c r="J48" s="97" t="s">
        <v>20</v>
      </c>
      <c r="K48" s="8"/>
      <c r="L48" s="8"/>
      <c r="M48" s="8"/>
      <c r="N48" s="8"/>
    </row>
    <row r="49" spans="2:14" s="4" customFormat="1" x14ac:dyDescent="0.3">
      <c r="B49" s="121">
        <v>1</v>
      </c>
      <c r="C49" s="386" t="s">
        <v>428</v>
      </c>
      <c r="D49" s="95"/>
      <c r="E49" s="356"/>
      <c r="F49" s="356"/>
      <c r="G49" s="372"/>
      <c r="H49" s="356"/>
      <c r="I49" s="372"/>
      <c r="J49" s="356"/>
      <c r="K49" s="471"/>
      <c r="L49" s="470"/>
      <c r="M49" s="471"/>
      <c r="N49" s="470"/>
    </row>
    <row r="50" spans="2:14" s="4" customFormat="1" x14ac:dyDescent="0.3">
      <c r="B50" s="121">
        <v>1.1000000000000001</v>
      </c>
      <c r="C50" s="389" t="s">
        <v>597</v>
      </c>
      <c r="D50" s="95"/>
      <c r="E50" s="300"/>
      <c r="F50" s="300"/>
      <c r="G50" s="300"/>
      <c r="H50" s="300"/>
      <c r="I50" s="300"/>
      <c r="J50" s="300"/>
      <c r="K50" s="458"/>
      <c r="L50" s="458"/>
      <c r="M50" s="458"/>
      <c r="N50" s="458"/>
    </row>
    <row r="51" spans="2:14" s="4" customFormat="1" x14ac:dyDescent="0.3">
      <c r="B51" s="121"/>
      <c r="C51" s="389" t="s">
        <v>598</v>
      </c>
      <c r="D51" s="95"/>
      <c r="E51" s="300"/>
      <c r="F51" s="300"/>
      <c r="G51" s="300"/>
      <c r="H51" s="300"/>
      <c r="I51" s="300"/>
      <c r="J51" s="300"/>
      <c r="K51" s="458"/>
      <c r="L51" s="458"/>
      <c r="M51" s="458"/>
      <c r="N51" s="458"/>
    </row>
    <row r="52" spans="2:14" s="4" customFormat="1" x14ac:dyDescent="0.3">
      <c r="B52" s="121"/>
      <c r="C52" s="389" t="s">
        <v>599</v>
      </c>
      <c r="D52" s="95"/>
      <c r="E52" s="300"/>
      <c r="F52" s="300"/>
      <c r="G52" s="300"/>
      <c r="H52" s="300"/>
      <c r="I52" s="300"/>
      <c r="J52" s="300"/>
      <c r="K52" s="458"/>
      <c r="L52" s="458"/>
      <c r="M52" s="458"/>
      <c r="N52" s="458"/>
    </row>
    <row r="53" spans="2:14" s="4" customFormat="1" x14ac:dyDescent="0.3">
      <c r="B53" s="121">
        <v>1.2</v>
      </c>
      <c r="C53" s="389" t="s">
        <v>600</v>
      </c>
      <c r="D53" s="95"/>
      <c r="E53" s="300"/>
      <c r="F53" s="300"/>
      <c r="G53" s="300"/>
      <c r="H53" s="300"/>
      <c r="I53" s="300"/>
      <c r="J53" s="300"/>
      <c r="K53" s="458"/>
      <c r="L53" s="458"/>
      <c r="M53" s="458"/>
      <c r="N53" s="458"/>
    </row>
    <row r="54" spans="2:14" s="4" customFormat="1" x14ac:dyDescent="0.3">
      <c r="B54" s="121"/>
      <c r="C54" s="389" t="s">
        <v>598</v>
      </c>
      <c r="D54" s="95"/>
      <c r="E54" s="300"/>
      <c r="F54" s="300"/>
      <c r="G54" s="300"/>
      <c r="H54" s="300"/>
      <c r="I54" s="300"/>
      <c r="J54" s="300"/>
      <c r="K54" s="458"/>
      <c r="L54" s="458"/>
      <c r="M54" s="458"/>
      <c r="N54" s="458"/>
    </row>
    <row r="55" spans="2:14" s="4" customFormat="1" x14ac:dyDescent="0.3">
      <c r="B55" s="121"/>
      <c r="C55" s="389" t="s">
        <v>599</v>
      </c>
      <c r="D55" s="95"/>
      <c r="E55" s="300"/>
      <c r="F55" s="300"/>
      <c r="G55" s="300"/>
      <c r="H55" s="300"/>
      <c r="I55" s="300"/>
      <c r="J55" s="300"/>
      <c r="K55" s="458"/>
      <c r="L55" s="458"/>
      <c r="M55" s="458"/>
      <c r="N55" s="458"/>
    </row>
    <row r="56" spans="2:14" s="4" customFormat="1" x14ac:dyDescent="0.3">
      <c r="B56" s="121">
        <v>2</v>
      </c>
      <c r="C56" s="386" t="s">
        <v>652</v>
      </c>
      <c r="D56" s="95"/>
      <c r="E56" s="300"/>
      <c r="F56" s="300"/>
      <c r="G56" s="300"/>
      <c r="H56" s="300"/>
      <c r="I56" s="300"/>
      <c r="J56" s="300"/>
      <c r="K56" s="458"/>
      <c r="L56" s="458"/>
      <c r="M56" s="458"/>
      <c r="N56" s="458"/>
    </row>
    <row r="57" spans="2:14" s="4" customFormat="1" x14ac:dyDescent="0.3">
      <c r="B57" s="121">
        <v>3</v>
      </c>
      <c r="C57" s="386" t="s">
        <v>672</v>
      </c>
      <c r="D57" s="95"/>
      <c r="E57" s="300"/>
      <c r="F57" s="300"/>
      <c r="G57" s="300"/>
      <c r="H57" s="300"/>
      <c r="I57" s="300"/>
      <c r="J57" s="300"/>
      <c r="K57" s="458"/>
      <c r="L57" s="458"/>
      <c r="M57" s="458"/>
      <c r="N57" s="458"/>
    </row>
    <row r="58" spans="2:14" s="4" customFormat="1" ht="16" x14ac:dyDescent="0.3">
      <c r="B58" s="121">
        <v>3</v>
      </c>
      <c r="C58" s="386" t="s">
        <v>318</v>
      </c>
      <c r="D58" s="742">
        <v>20</v>
      </c>
      <c r="E58" s="300">
        <f>IFERROR(SUM(F2.2!I116:I120)/365*$D58,0)</f>
        <v>75.953249719435192</v>
      </c>
      <c r="F58" s="300">
        <f>IFERROR(SUM(F2.2!J116:J120)/365*$D58,0)</f>
        <v>82.807960829808124</v>
      </c>
      <c r="G58" s="300">
        <f>IFERROR(SUM(F2.2!K116:K120)/365*$D58,0)</f>
        <v>86.795097836903494</v>
      </c>
      <c r="H58" s="300">
        <f>IFERROR(SUM(F2.2!L116:L120)/366*$D58,)</f>
        <v>89.398950772010579</v>
      </c>
      <c r="I58" s="300">
        <f>IFERROR(SUM(F2.2!M116:M120)/365*$D58,)</f>
        <v>92.080919295170901</v>
      </c>
      <c r="J58" s="300">
        <f>IFERROR(SUM(F2.2!N116:N120)/365*$D58,0)</f>
        <v>94.843346874026025</v>
      </c>
      <c r="K58" s="458"/>
      <c r="L58" s="458"/>
      <c r="M58" s="458"/>
      <c r="N58" s="458"/>
    </row>
    <row r="59" spans="2:14" s="4" customFormat="1" ht="16" x14ac:dyDescent="0.3">
      <c r="B59" s="121">
        <f>B58+1</f>
        <v>4</v>
      </c>
      <c r="C59" s="386" t="s">
        <v>321</v>
      </c>
      <c r="D59" s="742">
        <v>30</v>
      </c>
      <c r="E59" s="300">
        <f>IFERROR(SUM(F2.2!I116:I120)/365*$D59,0)</f>
        <v>113.92987457915279</v>
      </c>
      <c r="F59" s="300">
        <f>IFERROR(SUM(F2.2!J116:J120)/365*$D59,0)</f>
        <v>124.21194124471218</v>
      </c>
      <c r="G59" s="300">
        <f>IFERROR(SUM(F2.2!K116:K120)/365*$D59,)</f>
        <v>130.19264675535524</v>
      </c>
      <c r="H59" s="300">
        <f>IFERROR(SUM(F2.2!L116:L120)/366*$D59,0)</f>
        <v>134.09842615801585</v>
      </c>
      <c r="I59" s="300">
        <f>IFERROR(SUM(F2.2!M116:M120)/365*$D59,0)</f>
        <v>138.12137894275637</v>
      </c>
      <c r="J59" s="300">
        <f>IFERROR(SUM(F2.2!N116:N120)/365*$D59,0)</f>
        <v>142.26502031103905</v>
      </c>
      <c r="K59" s="458"/>
      <c r="L59" s="458"/>
      <c r="M59" s="458"/>
      <c r="N59" s="458"/>
    </row>
    <row r="60" spans="2:14" s="4" customFormat="1" ht="16" x14ac:dyDescent="0.3">
      <c r="B60" s="121">
        <f t="shared" ref="B60:B74" si="2">B59+1</f>
        <v>5</v>
      </c>
      <c r="C60" s="68" t="s">
        <v>319</v>
      </c>
      <c r="D60" s="742"/>
      <c r="E60" s="300"/>
      <c r="F60" s="300"/>
      <c r="G60" s="300"/>
      <c r="H60" s="300"/>
      <c r="I60" s="300"/>
      <c r="J60" s="300"/>
      <c r="K60" s="458"/>
      <c r="L60" s="458"/>
      <c r="M60" s="458"/>
      <c r="N60" s="458"/>
    </row>
    <row r="61" spans="2:14" s="4" customFormat="1" ht="16" x14ac:dyDescent="0.3">
      <c r="B61" s="121">
        <f t="shared" si="2"/>
        <v>6</v>
      </c>
      <c r="C61" s="68" t="s">
        <v>320</v>
      </c>
      <c r="D61" s="743">
        <v>2</v>
      </c>
      <c r="E61" s="300">
        <f>IFERROR(SUM(F2.2!I121:I124)/12*$D$61,0)</f>
        <v>2.1348186977817178</v>
      </c>
      <c r="F61" s="300">
        <f>IFERROR(SUM(F2.2!J121:J124)/12*$D$61,0)</f>
        <v>3.9820373960409974</v>
      </c>
      <c r="G61" s="300">
        <f>IFERROR(SUM(F2.2!K121:K124)/12*$D$61,0)</f>
        <v>2.5308954000000004</v>
      </c>
      <c r="H61" s="300">
        <f>IFERROR(SUM(F2.2!L121:L124)/12*$D$61,0)</f>
        <v>2.6139642407999997</v>
      </c>
      <c r="I61" s="300">
        <f>IFERROR(SUM(F2.2!M121:M124)/12*$D$61,0)</f>
        <v>2.6850269298600007</v>
      </c>
      <c r="J61" s="300">
        <f>IFERROR(SUM(F2.2!N121:N124)/12*$D$61,0)</f>
        <v>2.7655777377558</v>
      </c>
      <c r="K61" s="458"/>
      <c r="L61" s="458"/>
      <c r="M61" s="458"/>
      <c r="N61" s="458"/>
    </row>
    <row r="62" spans="2:14" s="4" customFormat="1" ht="16" x14ac:dyDescent="0.3">
      <c r="B62" s="121">
        <f t="shared" si="2"/>
        <v>7</v>
      </c>
      <c r="C62" s="68" t="s">
        <v>143</v>
      </c>
      <c r="D62" s="3"/>
      <c r="E62" s="300"/>
      <c r="F62" s="300"/>
      <c r="G62" s="300"/>
      <c r="H62" s="300"/>
      <c r="I62" s="300"/>
      <c r="J62" s="300"/>
      <c r="K62" s="458"/>
      <c r="L62" s="458"/>
      <c r="M62" s="458"/>
      <c r="N62" s="458"/>
    </row>
    <row r="63" spans="2:14" s="4" customFormat="1" ht="16" x14ac:dyDescent="0.3">
      <c r="B63" s="121">
        <f t="shared" si="2"/>
        <v>8</v>
      </c>
      <c r="C63" s="68" t="s">
        <v>144</v>
      </c>
      <c r="D63" s="3"/>
      <c r="E63" s="300"/>
      <c r="F63" s="300"/>
      <c r="G63" s="300"/>
      <c r="H63" s="300"/>
      <c r="I63" s="300"/>
      <c r="J63" s="300"/>
      <c r="K63" s="458"/>
      <c r="L63" s="458"/>
      <c r="M63" s="458"/>
      <c r="N63" s="458"/>
    </row>
    <row r="64" spans="2:14" s="4" customFormat="1" ht="16" x14ac:dyDescent="0.3">
      <c r="B64" s="121">
        <f t="shared" si="2"/>
        <v>9</v>
      </c>
      <c r="C64" s="68" t="s">
        <v>145</v>
      </c>
      <c r="D64" s="3"/>
      <c r="E64" s="300"/>
      <c r="F64" s="300"/>
      <c r="G64" s="300"/>
      <c r="H64" s="300"/>
      <c r="I64" s="300"/>
      <c r="J64" s="300"/>
      <c r="K64" s="458"/>
      <c r="L64" s="458"/>
      <c r="M64" s="458"/>
      <c r="N64" s="458"/>
    </row>
    <row r="65" spans="2:19" s="4" customFormat="1" x14ac:dyDescent="0.3">
      <c r="B65" s="121">
        <f t="shared" si="2"/>
        <v>10</v>
      </c>
      <c r="C65" s="386" t="s">
        <v>168</v>
      </c>
      <c r="D65" s="744">
        <v>1</v>
      </c>
      <c r="E65" s="300">
        <f>('F1'!I13+'F1'!I22)/12*$D$65</f>
        <v>17.347632280037626</v>
      </c>
      <c r="F65" s="300">
        <f>('F1'!I13+'F1'!I22)/12*$D$65</f>
        <v>17.347632280037626</v>
      </c>
      <c r="G65" s="300">
        <f>('F1'!J13+'F1'!J22)/12*$D$65</f>
        <v>18.287462590132936</v>
      </c>
      <c r="H65" s="300">
        <f>('F1'!K13+'F1'!K22)/12*$D$65</f>
        <v>19.289244816134445</v>
      </c>
      <c r="I65" s="300">
        <f>('F1'!L13+'F1'!L22)/12*$D$65</f>
        <v>20.350846553140808</v>
      </c>
      <c r="J65" s="300">
        <f>('F1'!M13+'F1'!M22)/12*$D$65</f>
        <v>21.481468775172974</v>
      </c>
      <c r="K65" s="458"/>
      <c r="L65" s="458"/>
      <c r="M65" s="458"/>
      <c r="N65" s="458"/>
    </row>
    <row r="66" spans="2:19" s="4" customFormat="1" x14ac:dyDescent="0.3">
      <c r="B66" s="121">
        <f t="shared" si="2"/>
        <v>11</v>
      </c>
      <c r="C66" s="386" t="s">
        <v>146</v>
      </c>
      <c r="D66" s="745">
        <v>0.01</v>
      </c>
      <c r="E66" s="300">
        <f>F3.4!E23*$D$66</f>
        <v>58.36060836691081</v>
      </c>
      <c r="F66" s="300">
        <f>F3.4!E23*$D$66</f>
        <v>58.36060836691081</v>
      </c>
      <c r="G66" s="300">
        <f>F3.4!F23*$D$66</f>
        <v>60.740781379251679</v>
      </c>
      <c r="H66" s="300">
        <f>F3.4!G23*$D$66</f>
        <v>68.052431531885375</v>
      </c>
      <c r="I66" s="300">
        <f>F3.4!H23*$D$66</f>
        <v>69.422531531885383</v>
      </c>
      <c r="J66" s="300">
        <f>F3.4!I23*$D$66</f>
        <v>69.610031531885383</v>
      </c>
      <c r="K66" s="458"/>
      <c r="L66" s="458"/>
      <c r="M66" s="458"/>
      <c r="N66" s="458"/>
    </row>
    <row r="67" spans="2:19" s="4" customFormat="1" x14ac:dyDescent="0.3">
      <c r="B67" s="121">
        <f t="shared" si="2"/>
        <v>12</v>
      </c>
      <c r="C67" s="386" t="s">
        <v>147</v>
      </c>
      <c r="D67" s="746">
        <v>45</v>
      </c>
      <c r="E67" s="300">
        <f ca="1">('F1'!I31-F2.2!J155+F2.2!I155)/365*$D$67</f>
        <v>322.54736173704794</v>
      </c>
      <c r="F67" s="300">
        <f ca="1">'F1'!I31/365*$D$67</f>
        <v>339.33689748478434</v>
      </c>
      <c r="G67" s="300">
        <f ca="1">'F1'!J31/365*$D$67</f>
        <v>354.78505554023911</v>
      </c>
      <c r="H67" s="300">
        <f ca="1">'F1'!K31/366*$D$67</f>
        <v>367.7796529448795</v>
      </c>
      <c r="I67" s="300">
        <f ca="1">'F1'!L31/365*$D$67</f>
        <v>382.7434433244552</v>
      </c>
      <c r="J67" s="300">
        <f ca="1">'F1'!M31/365*$D$67</f>
        <v>398.47790592922951</v>
      </c>
      <c r="K67" s="458"/>
      <c r="L67" s="458"/>
      <c r="M67" s="458"/>
      <c r="N67" s="458"/>
    </row>
    <row r="68" spans="2:19" s="4" customFormat="1" ht="16" x14ac:dyDescent="0.3">
      <c r="B68" s="121">
        <f t="shared" si="2"/>
        <v>13</v>
      </c>
      <c r="C68" s="386" t="s">
        <v>516</v>
      </c>
      <c r="D68" s="746">
        <v>30</v>
      </c>
      <c r="E68" s="218">
        <f>IFERROR(SUM(F2.2!I121:I124)/365*$D$68,0)</f>
        <v>1.0527873030156416</v>
      </c>
      <c r="F68" s="218">
        <f>IFERROR(SUM(F2.2!J121:J124)/365*$D$68,0)</f>
        <v>1.963744469280492</v>
      </c>
      <c r="G68" s="218">
        <f>IFERROR(SUM(F2.2!K121:K124)/365*$D$68,0)</f>
        <v>1.2481128000000001</v>
      </c>
      <c r="H68" s="218">
        <f>IFERROR(SUM(F2.2!L121:L124)/366*$D$68,0)</f>
        <v>1.2855561839999998</v>
      </c>
      <c r="I68" s="218">
        <f>IFERROR(SUM(F2.2!M121:M124)/365*$D$68,0)</f>
        <v>1.3241228695200002</v>
      </c>
      <c r="J68" s="218">
        <f>IFERROR(SUM(F2.2!N121:N124)/365*$D$68,0)</f>
        <v>1.3638465556056001</v>
      </c>
      <c r="K68" s="222"/>
      <c r="L68" s="222"/>
      <c r="M68" s="222"/>
      <c r="N68" s="222"/>
      <c r="O68" s="45"/>
      <c r="P68" s="45"/>
      <c r="Q68" s="45"/>
      <c r="R68" s="45"/>
      <c r="S68" s="45"/>
    </row>
    <row r="69" spans="2:19" x14ac:dyDescent="0.3">
      <c r="B69" s="121">
        <f t="shared" si="2"/>
        <v>14</v>
      </c>
      <c r="C69" s="132" t="s">
        <v>148</v>
      </c>
      <c r="D69" s="2"/>
      <c r="E69" s="487">
        <f ca="1">SUM(E58:E67)-E68</f>
        <v>589.22075807735041</v>
      </c>
      <c r="F69" s="487">
        <f ca="1">SUM(F58:F67)-F68</f>
        <v>624.08333313301353</v>
      </c>
      <c r="G69" s="487">
        <f t="shared" ref="G69:J69" ca="1" si="3">SUM(G58:G67)-G68</f>
        <v>652.08382670188257</v>
      </c>
      <c r="H69" s="487">
        <f t="shared" ca="1" si="3"/>
        <v>679.94711427972572</v>
      </c>
      <c r="I69" s="487">
        <f t="shared" ca="1" si="3"/>
        <v>704.08002370774864</v>
      </c>
      <c r="J69" s="487">
        <f t="shared" ca="1" si="3"/>
        <v>728.0795046035031</v>
      </c>
      <c r="K69" s="472"/>
      <c r="L69" s="472"/>
      <c r="M69" s="472"/>
      <c r="N69" s="472"/>
    </row>
    <row r="70" spans="2:19" x14ac:dyDescent="0.3">
      <c r="B70" s="116"/>
      <c r="C70" s="68"/>
      <c r="D70" s="2"/>
      <c r="E70" s="218"/>
      <c r="F70" s="218"/>
      <c r="G70" s="218"/>
      <c r="H70" s="218"/>
      <c r="I70" s="218"/>
      <c r="J70" s="218"/>
      <c r="K70" s="458"/>
      <c r="L70" s="458"/>
      <c r="M70" s="458"/>
      <c r="N70" s="458"/>
    </row>
    <row r="71" spans="2:19" x14ac:dyDescent="0.3">
      <c r="B71" s="121">
        <v>13</v>
      </c>
      <c r="C71" s="134" t="s">
        <v>364</v>
      </c>
      <c r="D71" s="2"/>
      <c r="E71" s="218"/>
      <c r="F71" s="218"/>
      <c r="G71" s="218"/>
      <c r="H71" s="218"/>
      <c r="I71" s="218"/>
      <c r="J71" s="218"/>
      <c r="K71" s="458"/>
      <c r="L71" s="458"/>
      <c r="M71" s="458"/>
      <c r="N71" s="458"/>
    </row>
    <row r="72" spans="2:19" x14ac:dyDescent="0.3">
      <c r="B72" s="121">
        <f t="shared" si="2"/>
        <v>14</v>
      </c>
      <c r="C72" s="386" t="s">
        <v>365</v>
      </c>
      <c r="D72" s="2"/>
      <c r="E72" s="1305">
        <f>F33</f>
        <v>0.105</v>
      </c>
      <c r="F72" s="1305">
        <f>F33</f>
        <v>0.105</v>
      </c>
      <c r="G72" s="1305">
        <f>F72</f>
        <v>0.105</v>
      </c>
      <c r="H72" s="1305">
        <f>G72</f>
        <v>0.105</v>
      </c>
      <c r="I72" s="1305">
        <f>H72</f>
        <v>0.105</v>
      </c>
      <c r="J72" s="1305">
        <f>I72</f>
        <v>0.105</v>
      </c>
      <c r="K72" s="473"/>
      <c r="L72" s="473"/>
      <c r="M72" s="473"/>
      <c r="N72" s="473"/>
    </row>
    <row r="73" spans="2:19" x14ac:dyDescent="0.3">
      <c r="B73" s="94">
        <f t="shared" si="2"/>
        <v>15</v>
      </c>
      <c r="C73" s="132" t="s">
        <v>84</v>
      </c>
      <c r="D73" s="2"/>
      <c r="E73" s="488">
        <f t="shared" ref="E73:J73" ca="1" si="4">E69*E72</f>
        <v>61.868179598121792</v>
      </c>
      <c r="F73" s="488">
        <f t="shared" ca="1" si="4"/>
        <v>65.528749978966417</v>
      </c>
      <c r="G73" s="488">
        <f t="shared" ca="1" si="4"/>
        <v>68.468801803697673</v>
      </c>
      <c r="H73" s="488">
        <f t="shared" ca="1" si="4"/>
        <v>71.394446999371198</v>
      </c>
      <c r="I73" s="488">
        <f t="shared" ca="1" si="4"/>
        <v>73.928402489313598</v>
      </c>
      <c r="J73" s="488">
        <f t="shared" ca="1" si="4"/>
        <v>76.448347983367825</v>
      </c>
      <c r="K73" s="472"/>
      <c r="L73" s="472"/>
      <c r="M73" s="472"/>
      <c r="N73" s="472"/>
    </row>
    <row r="74" spans="2:19" x14ac:dyDescent="0.3">
      <c r="B74" s="94">
        <f t="shared" si="2"/>
        <v>16</v>
      </c>
      <c r="C74" s="132" t="s">
        <v>838</v>
      </c>
      <c r="D74" s="2"/>
      <c r="E74" s="1290"/>
      <c r="F74" s="1290"/>
      <c r="G74" s="1290"/>
      <c r="H74" s="1290"/>
      <c r="I74" s="1290"/>
      <c r="J74" s="1290"/>
      <c r="K74" s="472"/>
      <c r="L74" s="472"/>
      <c r="M74" s="472"/>
      <c r="N74" s="472"/>
    </row>
    <row r="75" spans="2:19" x14ac:dyDescent="0.3">
      <c r="B75" s="130"/>
      <c r="C75" s="5"/>
      <c r="D75" s="5"/>
      <c r="E75" s="5"/>
      <c r="F75" s="5"/>
      <c r="G75" s="5"/>
      <c r="H75" s="5"/>
      <c r="I75" s="5"/>
      <c r="J75" s="5"/>
    </row>
    <row r="76" spans="2:19" x14ac:dyDescent="0.3">
      <c r="C76" s="669" t="s">
        <v>1149</v>
      </c>
      <c r="D76" s="37"/>
      <c r="E76" s="37"/>
      <c r="J76" s="5"/>
    </row>
    <row r="77" spans="2:19" x14ac:dyDescent="0.3">
      <c r="C77" s="1479" t="s">
        <v>35</v>
      </c>
      <c r="D77" s="1408" t="s">
        <v>834</v>
      </c>
      <c r="E77" s="97" t="s">
        <v>849</v>
      </c>
      <c r="F77" s="97" t="s">
        <v>850</v>
      </c>
      <c r="G77" s="97" t="s">
        <v>851</v>
      </c>
      <c r="H77" s="97" t="s">
        <v>852</v>
      </c>
      <c r="I77" s="97" t="s">
        <v>853</v>
      </c>
      <c r="J77" s="5"/>
    </row>
    <row r="78" spans="2:19" ht="18" customHeight="1" x14ac:dyDescent="0.3">
      <c r="C78" s="1480"/>
      <c r="D78" s="1437"/>
      <c r="E78" s="97" t="s">
        <v>20</v>
      </c>
      <c r="F78" s="97" t="s">
        <v>20</v>
      </c>
      <c r="G78" s="97" t="s">
        <v>20</v>
      </c>
      <c r="H78" s="97" t="s">
        <v>20</v>
      </c>
      <c r="I78" s="97" t="s">
        <v>20</v>
      </c>
      <c r="J78" s="5"/>
    </row>
    <row r="79" spans="2:19" x14ac:dyDescent="0.3">
      <c r="C79" s="670" t="s">
        <v>1150</v>
      </c>
      <c r="D79" s="671">
        <v>20</v>
      </c>
      <c r="E79" s="560">
        <f>IFERROR(SUM(F2.2!E198:E198)/365*$D79,0)</f>
        <v>0</v>
      </c>
      <c r="F79" s="560">
        <f>IFERROR(SUM(F2.2!F198:F198)/365*$D79,0)</f>
        <v>9.4371868800000025E-4</v>
      </c>
      <c r="G79" s="560">
        <f>IFERROR(SUM(F2.2!G198:G198)/366*$D79,0)</f>
        <v>1.8874373759999999E-3</v>
      </c>
      <c r="H79" s="560">
        <f>IFERROR(SUM(F2.2!H198:H198)/365*$D79,0)</f>
        <v>1.8874373760000005E-3</v>
      </c>
      <c r="I79" s="560">
        <f>IFERROR(SUM(F2.2!I198:I198)/365*$D79,0)</f>
        <v>1.8874373760000005E-3</v>
      </c>
    </row>
    <row r="80" spans="2:19" x14ac:dyDescent="0.3">
      <c r="C80" s="670" t="s">
        <v>1151</v>
      </c>
      <c r="D80" s="671">
        <v>30</v>
      </c>
      <c r="E80" s="560">
        <f>IFERROR(SUM(F2.2!E198:E198)/365*$D80,0)</f>
        <v>0</v>
      </c>
      <c r="F80" s="560">
        <f>IFERROR(SUM(F2.2!F198:F198)/365*$D80,0)</f>
        <v>1.4155780320000003E-3</v>
      </c>
      <c r="G80" s="560">
        <f>IFERROR(SUM(F2.2!G198:G198)/366*$D80,0)</f>
        <v>2.8311560639999998E-3</v>
      </c>
      <c r="H80" s="560">
        <f>IFERROR(SUM(F2.2!H198:H198)/365*$D80,0)</f>
        <v>2.8311560640000006E-3</v>
      </c>
      <c r="I80" s="560">
        <f>IFERROR(SUM(F2.2!I198:I198)/365*$D80,0)</f>
        <v>2.8311560640000006E-3</v>
      </c>
    </row>
    <row r="81" spans="3:9" x14ac:dyDescent="0.3">
      <c r="C81" s="670" t="s">
        <v>1152</v>
      </c>
      <c r="D81" s="672">
        <v>1</v>
      </c>
      <c r="E81" s="560">
        <f>'F3'!E24/12*$D81</f>
        <v>0</v>
      </c>
      <c r="F81" s="560">
        <f>'F3'!F24/12*$D81</f>
        <v>4.0055764666666667E-2</v>
      </c>
      <c r="G81" s="560">
        <f>'F3'!G24/12*$D81</f>
        <v>8.3580358553466669E-2</v>
      </c>
      <c r="H81" s="560">
        <f>'F3'!H24/12*$D81</f>
        <v>8.7199388078831749E-2</v>
      </c>
      <c r="I81" s="560">
        <f>'F3'!I24/12*$D81</f>
        <v>9.0975121582645188E-2</v>
      </c>
    </row>
    <row r="82" spans="3:9" x14ac:dyDescent="0.3">
      <c r="C82" s="673" t="s">
        <v>1153</v>
      </c>
      <c r="D82" s="674">
        <v>0.01</v>
      </c>
      <c r="E82" s="560">
        <f>'F3'!E23*$D82</f>
        <v>0</v>
      </c>
      <c r="F82" s="560">
        <f>'F3'!F23*$D82</f>
        <v>0.46072000000000002</v>
      </c>
      <c r="G82" s="560">
        <f>'F3'!G23*$D82</f>
        <v>0.46072000000000002</v>
      </c>
      <c r="H82" s="560">
        <f>'F3'!H23*$D82</f>
        <v>0.46072000000000002</v>
      </c>
      <c r="I82" s="560">
        <f>'F3'!I23*$D82</f>
        <v>0.46072000000000002</v>
      </c>
    </row>
    <row r="83" spans="3:9" ht="14.5" x14ac:dyDescent="0.35">
      <c r="C83" s="675" t="s">
        <v>1154</v>
      </c>
      <c r="D83" s="676"/>
      <c r="E83" s="677">
        <f>SUM(E79:E82)</f>
        <v>0</v>
      </c>
      <c r="F83" s="677">
        <f t="shared" ref="F83:I83" si="5">SUM(F79:F82)</f>
        <v>0.50313506138666664</v>
      </c>
      <c r="G83" s="677">
        <f t="shared" si="5"/>
        <v>0.54901895199346673</v>
      </c>
      <c r="H83" s="677">
        <f t="shared" si="5"/>
        <v>0.55263798151883181</v>
      </c>
      <c r="I83" s="677">
        <f t="shared" si="5"/>
        <v>0.55641371502264525</v>
      </c>
    </row>
    <row r="84" spans="3:9" ht="14.5" x14ac:dyDescent="0.35">
      <c r="C84" s="678" t="s">
        <v>1155</v>
      </c>
      <c r="D84" s="679" t="s">
        <v>96</v>
      </c>
      <c r="E84" s="680">
        <f>F72</f>
        <v>0.105</v>
      </c>
      <c r="F84" s="680">
        <f>G72</f>
        <v>0.105</v>
      </c>
      <c r="G84" s="680">
        <f>H72</f>
        <v>0.105</v>
      </c>
      <c r="H84" s="680">
        <f>I72</f>
        <v>0.105</v>
      </c>
      <c r="I84" s="680">
        <f>J72</f>
        <v>0.105</v>
      </c>
    </row>
    <row r="85" spans="3:9" ht="14.5" x14ac:dyDescent="0.35">
      <c r="C85" s="678" t="s">
        <v>1148</v>
      </c>
      <c r="D85" s="681"/>
      <c r="E85" s="682">
        <f>E83*E84</f>
        <v>0</v>
      </c>
      <c r="F85" s="682">
        <f t="shared" ref="F85:I85" si="6">F83*F84</f>
        <v>5.2829181445599997E-2</v>
      </c>
      <c r="G85" s="682">
        <f t="shared" si="6"/>
        <v>5.7646989959314006E-2</v>
      </c>
      <c r="H85" s="682">
        <f t="shared" si="6"/>
        <v>5.8026988059477341E-2</v>
      </c>
      <c r="I85" s="682">
        <f t="shared" si="6"/>
        <v>5.842344007737775E-2</v>
      </c>
    </row>
    <row r="86" spans="3:9" x14ac:dyDescent="0.3">
      <c r="C86" s="2"/>
      <c r="D86" s="2"/>
      <c r="E86" s="2"/>
      <c r="F86" s="2"/>
      <c r="G86" s="2"/>
      <c r="H86" s="2"/>
      <c r="I86" s="2"/>
    </row>
    <row r="87" spans="3:9" x14ac:dyDescent="0.3">
      <c r="C87" s="2"/>
      <c r="D87" s="2"/>
      <c r="E87" s="2"/>
      <c r="F87" s="2"/>
      <c r="G87" s="2"/>
      <c r="H87" s="2"/>
      <c r="I87" s="2"/>
    </row>
    <row r="91" spans="3:9" x14ac:dyDescent="0.3">
      <c r="C91" s="4" t="s">
        <v>2858</v>
      </c>
    </row>
    <row r="92" spans="3:9" ht="14.5" x14ac:dyDescent="0.3">
      <c r="C92" s="1062" t="s">
        <v>2852</v>
      </c>
      <c r="D92" s="1062" t="s">
        <v>2853</v>
      </c>
      <c r="E92" s="1062" t="s">
        <v>2854</v>
      </c>
      <c r="F92" s="1062" t="s">
        <v>1391</v>
      </c>
      <c r="G92" s="1062" t="s">
        <v>2855</v>
      </c>
      <c r="H92" s="1062" t="s">
        <v>2856</v>
      </c>
      <c r="I92" s="1062" t="s">
        <v>2857</v>
      </c>
    </row>
    <row r="93" spans="3:9" x14ac:dyDescent="0.3">
      <c r="C93" s="1472" t="s">
        <v>477</v>
      </c>
      <c r="D93" s="1063">
        <v>45383</v>
      </c>
      <c r="E93" s="1063">
        <f t="shared" ref="E93:E97" si="7">D94-1</f>
        <v>45396</v>
      </c>
      <c r="F93" s="516">
        <f t="shared" ref="F93:F98" si="8">E93-D93+1</f>
        <v>14</v>
      </c>
      <c r="G93" s="1064">
        <v>8.6499999999999994E-2</v>
      </c>
      <c r="H93" s="1473">
        <f>SUMPRODUCT(F93:F98,G93:G98)/SUM(F93:F98)</f>
        <v>8.8821917808219158E-2</v>
      </c>
      <c r="I93" s="1474">
        <f>H93+1.5%</f>
        <v>0.10382191780821916</v>
      </c>
    </row>
    <row r="94" spans="3:9" x14ac:dyDescent="0.3">
      <c r="C94" s="1472"/>
      <c r="D94" s="1063">
        <v>45397</v>
      </c>
      <c r="E94" s="1063">
        <f t="shared" si="7"/>
        <v>45457</v>
      </c>
      <c r="F94" s="516">
        <f t="shared" si="8"/>
        <v>61</v>
      </c>
      <c r="G94" s="1064">
        <v>8.6499999999999994E-2</v>
      </c>
      <c r="H94" s="1473"/>
      <c r="I94" s="1474"/>
    </row>
    <row r="95" spans="3:9" x14ac:dyDescent="0.3">
      <c r="C95" s="1472"/>
      <c r="D95" s="1063">
        <v>45458</v>
      </c>
      <c r="E95" s="1063">
        <f t="shared" si="7"/>
        <v>45487</v>
      </c>
      <c r="F95" s="516">
        <f t="shared" si="8"/>
        <v>30</v>
      </c>
      <c r="G95" s="1064">
        <v>8.7499999999999994E-2</v>
      </c>
      <c r="H95" s="1473"/>
      <c r="I95" s="1474"/>
    </row>
    <row r="96" spans="3:9" x14ac:dyDescent="0.3">
      <c r="C96" s="1472"/>
      <c r="D96" s="1063">
        <v>45488</v>
      </c>
      <c r="E96" s="1063">
        <f t="shared" si="7"/>
        <v>45518</v>
      </c>
      <c r="F96" s="516">
        <f t="shared" si="8"/>
        <v>31</v>
      </c>
      <c r="G96" s="1064">
        <v>8.8499999999999995E-2</v>
      </c>
      <c r="H96" s="1473"/>
      <c r="I96" s="1474"/>
    </row>
    <row r="97" spans="3:9" x14ac:dyDescent="0.3">
      <c r="C97" s="1472"/>
      <c r="D97" s="1063">
        <v>45519</v>
      </c>
      <c r="E97" s="1063">
        <f t="shared" si="7"/>
        <v>45610</v>
      </c>
      <c r="F97" s="516">
        <f t="shared" si="8"/>
        <v>92</v>
      </c>
      <c r="G97" s="1064">
        <v>8.9499999999999996E-2</v>
      </c>
      <c r="H97" s="1473"/>
      <c r="I97" s="1474"/>
    </row>
    <row r="98" spans="3:9" x14ac:dyDescent="0.3">
      <c r="C98" s="1472"/>
      <c r="D98" s="1063">
        <v>45611</v>
      </c>
      <c r="E98" s="1063">
        <v>45747</v>
      </c>
      <c r="F98" s="516">
        <f t="shared" si="8"/>
        <v>137</v>
      </c>
      <c r="G98" s="1064">
        <v>0.09</v>
      </c>
      <c r="H98" s="1473"/>
      <c r="I98" s="1474"/>
    </row>
    <row r="100" spans="3:9" x14ac:dyDescent="0.3">
      <c r="C100" s="2" t="s">
        <v>2859</v>
      </c>
      <c r="D100" s="2"/>
      <c r="E100" s="2"/>
      <c r="F100" s="2"/>
      <c r="G100" s="1065">
        <v>0.09</v>
      </c>
      <c r="H100" s="1065">
        <v>0.09</v>
      </c>
      <c r="I100" s="1066">
        <f>H100+1.5%</f>
        <v>0.105</v>
      </c>
    </row>
  </sheetData>
  <mergeCells count="16">
    <mergeCell ref="C93:C98"/>
    <mergeCell ref="H93:H98"/>
    <mergeCell ref="I93:I98"/>
    <mergeCell ref="B2:F2"/>
    <mergeCell ref="B3:F3"/>
    <mergeCell ref="B4:F4"/>
    <mergeCell ref="E8:F8"/>
    <mergeCell ref="B8:B9"/>
    <mergeCell ref="C8:C9"/>
    <mergeCell ref="D8:D9"/>
    <mergeCell ref="C77:C78"/>
    <mergeCell ref="D77:D78"/>
    <mergeCell ref="B47:B48"/>
    <mergeCell ref="C47:C48"/>
    <mergeCell ref="D47:D48"/>
    <mergeCell ref="E47:F47"/>
  </mergeCells>
  <pageMargins left="0.74803149606299213" right="0.74803149606299213" top="0.98425196850393704" bottom="0.98425196850393704" header="0.51181102362204722" footer="0.51181102362204722"/>
  <pageSetup paperSize="9" scale="55" fitToHeight="0" orientation="landscape" r:id="rId1"/>
  <headerFooter alignWithMargins="0"/>
  <rowBreaks count="1" manualBreakCount="1">
    <brk id="36" max="1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29</vt:i4>
      </vt:variant>
    </vt:vector>
  </HeadingPairs>
  <TitlesOfParts>
    <vt:vector size="81" baseType="lpstr">
      <vt:lpstr>AFC Reduction and AEC loss</vt:lpstr>
      <vt:lpstr>Index</vt:lpstr>
      <vt:lpstr>F1</vt:lpstr>
      <vt:lpstr>F1.1</vt:lpstr>
      <vt:lpstr>F2.1</vt:lpstr>
      <vt:lpstr>F2.2</vt:lpstr>
      <vt:lpstr>SBI MCLR</vt:lpstr>
      <vt:lpstr>F2.3</vt:lpstr>
      <vt:lpstr>F2.4</vt:lpstr>
      <vt:lpstr>F2.5</vt:lpstr>
      <vt:lpstr>F2.6</vt:lpstr>
      <vt:lpstr>F2.7</vt:lpstr>
      <vt:lpstr>F2.8</vt:lpstr>
      <vt:lpstr>F3</vt:lpstr>
      <vt:lpstr>F3.1</vt:lpstr>
      <vt:lpstr>F3.2</vt:lpstr>
      <vt:lpstr>F3.3</vt:lpstr>
      <vt:lpstr>F3.4</vt:lpstr>
      <vt:lpstr>Water charges working</vt:lpstr>
      <vt:lpstr>F4</vt:lpstr>
      <vt:lpstr>F4.1</vt:lpstr>
      <vt:lpstr>F4.2</vt:lpstr>
      <vt:lpstr>F4.3</vt:lpstr>
      <vt:lpstr>F14.7</vt:lpstr>
      <vt:lpstr>F5 (T)</vt:lpstr>
      <vt:lpstr>F5</vt:lpstr>
      <vt:lpstr>F5.1 (N)</vt:lpstr>
      <vt:lpstr>F6</vt:lpstr>
      <vt:lpstr>F7</vt:lpstr>
      <vt:lpstr>F8</vt:lpstr>
      <vt:lpstr>F9</vt:lpstr>
      <vt:lpstr>F9.1</vt:lpstr>
      <vt:lpstr>F9.2</vt:lpstr>
      <vt:lpstr>F9.3</vt:lpstr>
      <vt:lpstr>F10</vt:lpstr>
      <vt:lpstr>F11</vt:lpstr>
      <vt:lpstr>F12</vt:lpstr>
      <vt:lpstr>F13</vt:lpstr>
      <vt:lpstr>F14.1</vt:lpstr>
      <vt:lpstr>F14.2</vt:lpstr>
      <vt:lpstr>F14.3</vt:lpstr>
      <vt:lpstr>F14.4</vt:lpstr>
      <vt:lpstr>F14.5</vt:lpstr>
      <vt:lpstr>F14.6</vt:lpstr>
      <vt:lpstr>F14.8</vt:lpstr>
      <vt:lpstr>F14.9</vt:lpstr>
      <vt:lpstr>F15</vt:lpstr>
      <vt:lpstr>F16</vt:lpstr>
      <vt:lpstr>F17 </vt:lpstr>
      <vt:lpstr>F18</vt:lpstr>
      <vt:lpstr>Assumptions</vt:lpstr>
      <vt:lpstr>F19</vt:lpstr>
      <vt:lpstr>'F1'!Print_Area</vt:lpstr>
      <vt:lpstr>F1.1!Print_Area</vt:lpstr>
      <vt:lpstr>'F11'!Print_Area</vt:lpstr>
      <vt:lpstr>'F13'!Print_Area</vt:lpstr>
      <vt:lpstr>'F17 '!Print_Area</vt:lpstr>
      <vt:lpstr>F2.1!Print_Area</vt:lpstr>
      <vt:lpstr>F2.2!Print_Area</vt:lpstr>
      <vt:lpstr>F2.3!Print_Area</vt:lpstr>
      <vt:lpstr>F2.4!Print_Area</vt:lpstr>
      <vt:lpstr>F2.5!Print_Area</vt:lpstr>
      <vt:lpstr>F2.6!Print_Area</vt:lpstr>
      <vt:lpstr>F2.7!Print_Area</vt:lpstr>
      <vt:lpstr>F2.8!Print_Area</vt:lpstr>
      <vt:lpstr>'F3'!Print_Area</vt:lpstr>
      <vt:lpstr>F3.1!Print_Area</vt:lpstr>
      <vt:lpstr>F3.2!Print_Area</vt:lpstr>
      <vt:lpstr>F3.4!Print_Area</vt:lpstr>
      <vt:lpstr>F4.1!Print_Area</vt:lpstr>
      <vt:lpstr>'F5'!Print_Area</vt:lpstr>
      <vt:lpstr>'F5.1 (N)'!Print_Area</vt:lpstr>
      <vt:lpstr>'F6'!Print_Area</vt:lpstr>
      <vt:lpstr>'F7'!Print_Area</vt:lpstr>
      <vt:lpstr>'F9'!Print_Area</vt:lpstr>
      <vt:lpstr>Index!Print_Area</vt:lpstr>
      <vt:lpstr>F2.1!Print_Titles</vt:lpstr>
      <vt:lpstr>F2.2!Print_Titles</vt:lpstr>
      <vt:lpstr>F2.3!Print_Titles</vt:lpstr>
      <vt:lpstr>F2.4!Print_Titles</vt:lpstr>
      <vt:lpstr>F2.5!Print_Titles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Anil Patkare</cp:lastModifiedBy>
  <cp:lastPrinted>2022-10-27T06:45:42Z</cp:lastPrinted>
  <dcterms:created xsi:type="dcterms:W3CDTF">2004-07-28T05:30:50Z</dcterms:created>
  <dcterms:modified xsi:type="dcterms:W3CDTF">2026-08-14T07:15:07Z</dcterms:modified>
</cp:coreProperties>
</file>