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ARR &amp; MYT of Bhusawal 1x660 MW/Dec_2025 reply/FAC Part I data for MYT 660 MW/3.June-25 Part I/"/>
    </mc:Choice>
  </mc:AlternateContent>
  <xr:revisionPtr revIDLastSave="7" documentId="11_79E943B5221AF6E199CF52E07552532AD9F8BED2" xr6:coauthVersionLast="47" xr6:coauthVersionMax="47" xr10:uidLastSave="{6813A762-0651-4644-9BF9-F07461322EC7}"/>
  <bookViews>
    <workbookView xWindow="-120" yWindow="-120" windowWidth="29040" windowHeight="15720" tabRatio="777" activeTab="1" xr2:uid="{00000000-000D-0000-FFFF-FFFF00000000}"/>
  </bookViews>
  <sheets>
    <sheet name="660 CD" sheetId="216" r:id="rId1"/>
    <sheet name="660 GCV DETAILS" sheetId="176" r:id="rId2"/>
    <sheet name="660w" sheetId="223" r:id="rId3"/>
    <sheet name="660w (2)" sheetId="225" r:id="rId4"/>
  </sheets>
  <externalReferences>
    <externalReference r:id="rId5"/>
  </externalReferences>
  <definedNames>
    <definedName name="_xlnm._FilterDatabase" localSheetId="1" hidden="1">'660 GCV DETAILS'!$A$1:$F$102</definedName>
    <definedName name="_xlnm.Print_Area" localSheetId="0">'660 CD'!$B$3:$T$30</definedName>
    <definedName name="_xlnm.Print_Area" localSheetId="1">'660 GCV DETAILS'!$A$1:$F$123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Y81" i="225" l="1"/>
  <c r="EC81" i="225" s="1"/>
  <c r="CW81" i="225"/>
  <c r="CS81" i="225"/>
  <c r="CO81" i="225"/>
  <c r="CG81" i="225"/>
  <c r="DD81" i="225" s="1"/>
  <c r="CD81" i="225"/>
  <c r="CL81" i="225" s="1"/>
  <c r="CB81" i="225"/>
  <c r="BZ81" i="225"/>
  <c r="BX81" i="225"/>
  <c r="BY81" i="225" s="1"/>
  <c r="BV81" i="225"/>
  <c r="BC81" i="225"/>
  <c r="BD81" i="225" s="1"/>
  <c r="AX81" i="225"/>
  <c r="AY81" i="225" s="1"/>
  <c r="AV81" i="225"/>
  <c r="AW81" i="225" s="1"/>
  <c r="AQ81" i="225"/>
  <c r="AR81" i="225" s="1"/>
  <c r="AP81" i="225"/>
  <c r="AN81" i="225"/>
  <c r="AK81" i="225"/>
  <c r="AI81" i="225"/>
  <c r="AG81" i="225"/>
  <c r="AE81" i="225"/>
  <c r="DM80" i="225"/>
  <c r="DL80" i="225"/>
  <c r="DJ80" i="225"/>
  <c r="CY80" i="225"/>
  <c r="EC80" i="225" s="1"/>
  <c r="CW80" i="225"/>
  <c r="CS80" i="225"/>
  <c r="CO80" i="225"/>
  <c r="CG80" i="225"/>
  <c r="DD80" i="225" s="1"/>
  <c r="CD80" i="225"/>
  <c r="CV80" i="225" s="1"/>
  <c r="CB80" i="225"/>
  <c r="BZ80" i="225"/>
  <c r="BX80" i="225"/>
  <c r="BY80" i="225" s="1"/>
  <c r="BV80" i="225"/>
  <c r="BC80" i="225"/>
  <c r="AX80" i="225"/>
  <c r="AY80" i="225" s="1"/>
  <c r="AV80" i="225"/>
  <c r="AW80" i="225" s="1"/>
  <c r="AT80" i="225"/>
  <c r="AU80" i="225" s="1"/>
  <c r="AQ80" i="225"/>
  <c r="DK80" i="225" s="1"/>
  <c r="AP80" i="225"/>
  <c r="AN80" i="225"/>
  <c r="AK80" i="225"/>
  <c r="AI80" i="225"/>
  <c r="AG80" i="225"/>
  <c r="AE80" i="225"/>
  <c r="DM79" i="225"/>
  <c r="DL79" i="225"/>
  <c r="DJ79" i="225"/>
  <c r="CY79" i="225"/>
  <c r="EC79" i="225" s="1"/>
  <c r="CW79" i="225"/>
  <c r="CS79" i="225"/>
  <c r="CO79" i="225"/>
  <c r="CG79" i="225"/>
  <c r="DD79" i="225" s="1"/>
  <c r="CD79" i="225"/>
  <c r="CL79" i="225" s="1"/>
  <c r="CB79" i="225"/>
  <c r="BZ79" i="225"/>
  <c r="BX79" i="225"/>
  <c r="BY79" i="225" s="1"/>
  <c r="BV79" i="225"/>
  <c r="BC79" i="225"/>
  <c r="AX79" i="225"/>
  <c r="AY79" i="225" s="1"/>
  <c r="AV79" i="225"/>
  <c r="AW79" i="225" s="1"/>
  <c r="AQ79" i="225"/>
  <c r="DK79" i="225" s="1"/>
  <c r="AP79" i="225"/>
  <c r="AN79" i="225"/>
  <c r="AK79" i="225"/>
  <c r="AI79" i="225"/>
  <c r="AG79" i="225"/>
  <c r="AE79" i="225"/>
  <c r="DM78" i="225"/>
  <c r="DL78" i="225"/>
  <c r="DJ78" i="225"/>
  <c r="CY78" i="225"/>
  <c r="EC78" i="225" s="1"/>
  <c r="CW78" i="225"/>
  <c r="CS78" i="225"/>
  <c r="CO78" i="225"/>
  <c r="CG78" i="225"/>
  <c r="DD78" i="225" s="1"/>
  <c r="CD78" i="225"/>
  <c r="CL78" i="225" s="1"/>
  <c r="CB78" i="225"/>
  <c r="BZ78" i="225"/>
  <c r="BX78" i="225"/>
  <c r="BY78" i="225" s="1"/>
  <c r="BV78" i="225"/>
  <c r="BC78" i="225"/>
  <c r="AX78" i="225"/>
  <c r="AY78" i="225" s="1"/>
  <c r="AV78" i="225"/>
  <c r="AW78" i="225" s="1"/>
  <c r="AQ78" i="225"/>
  <c r="DK78" i="225" s="1"/>
  <c r="AP78" i="225"/>
  <c r="AN78" i="225"/>
  <c r="AK78" i="225"/>
  <c r="AI78" i="225"/>
  <c r="AG78" i="225"/>
  <c r="AE78" i="225"/>
  <c r="DM77" i="225"/>
  <c r="DL77" i="225"/>
  <c r="DK77" i="225"/>
  <c r="DJ77" i="225"/>
  <c r="CY77" i="225"/>
  <c r="EC77" i="225" s="1"/>
  <c r="CW77" i="225"/>
  <c r="CS77" i="225"/>
  <c r="CO77" i="225"/>
  <c r="CG77" i="225"/>
  <c r="DB77" i="225" s="1"/>
  <c r="CD77" i="225"/>
  <c r="CV77" i="225" s="1"/>
  <c r="CB77" i="225"/>
  <c r="BZ77" i="225"/>
  <c r="BX77" i="225"/>
  <c r="BY77" i="225" s="1"/>
  <c r="BV77" i="225"/>
  <c r="BC77" i="225"/>
  <c r="AX77" i="225"/>
  <c r="AY77" i="225" s="1"/>
  <c r="AV77" i="225"/>
  <c r="AW77" i="225" s="1"/>
  <c r="AT77" i="225"/>
  <c r="AU77" i="225" s="1"/>
  <c r="AR77" i="225"/>
  <c r="AP77" i="225"/>
  <c r="AN77" i="225"/>
  <c r="AK77" i="225"/>
  <c r="AI77" i="225"/>
  <c r="AG77" i="225"/>
  <c r="AE77" i="225"/>
  <c r="DM76" i="225"/>
  <c r="DL76" i="225"/>
  <c r="DK76" i="225"/>
  <c r="DJ76" i="225"/>
  <c r="CY76" i="225"/>
  <c r="EC76" i="225" s="1"/>
  <c r="CW76" i="225"/>
  <c r="CS76" i="225"/>
  <c r="CO76" i="225"/>
  <c r="CG76" i="225"/>
  <c r="DD76" i="225" s="1"/>
  <c r="CD76" i="225"/>
  <c r="CL76" i="225" s="1"/>
  <c r="CB76" i="225"/>
  <c r="BZ76" i="225"/>
  <c r="BX76" i="225"/>
  <c r="BY76" i="225" s="1"/>
  <c r="BV76" i="225"/>
  <c r="BC76" i="225"/>
  <c r="BD76" i="225" s="1"/>
  <c r="AX76" i="225"/>
  <c r="AY76" i="225" s="1"/>
  <c r="AV76" i="225"/>
  <c r="AW76" i="225" s="1"/>
  <c r="AT76" i="225"/>
  <c r="AU76" i="225" s="1"/>
  <c r="AR76" i="225"/>
  <c r="AP76" i="225"/>
  <c r="AN76" i="225"/>
  <c r="AK76" i="225"/>
  <c r="AI76" i="225"/>
  <c r="AG76" i="225"/>
  <c r="AE76" i="225"/>
  <c r="DM75" i="225"/>
  <c r="DL75" i="225"/>
  <c r="DK75" i="225"/>
  <c r="DJ75" i="225"/>
  <c r="CY75" i="225"/>
  <c r="EC75" i="225" s="1"/>
  <c r="CW75" i="225"/>
  <c r="CS75" i="225"/>
  <c r="CO75" i="225"/>
  <c r="CG75" i="225"/>
  <c r="DD75" i="225" s="1"/>
  <c r="CD75" i="225"/>
  <c r="CL75" i="225" s="1"/>
  <c r="CB75" i="225"/>
  <c r="BZ75" i="225"/>
  <c r="BX75" i="225"/>
  <c r="BY75" i="225" s="1"/>
  <c r="BV75" i="225"/>
  <c r="BC75" i="225"/>
  <c r="BD75" i="225" s="1"/>
  <c r="AX75" i="225"/>
  <c r="AY75" i="225" s="1"/>
  <c r="AV75" i="225"/>
  <c r="AW75" i="225" s="1"/>
  <c r="AT75" i="225"/>
  <c r="AU75" i="225" s="1"/>
  <c r="AR75" i="225"/>
  <c r="AP75" i="225"/>
  <c r="AN75" i="225"/>
  <c r="AK75" i="225"/>
  <c r="AI75" i="225"/>
  <c r="AG75" i="225"/>
  <c r="AE75" i="225"/>
  <c r="DM74" i="225"/>
  <c r="DL74" i="225"/>
  <c r="DK74" i="225"/>
  <c r="DJ74" i="225"/>
  <c r="CY74" i="225"/>
  <c r="EC74" i="225" s="1"/>
  <c r="CW74" i="225"/>
  <c r="CS74" i="225"/>
  <c r="CO74" i="225"/>
  <c r="CG74" i="225"/>
  <c r="DD74" i="225" s="1"/>
  <c r="CD74" i="225"/>
  <c r="CJ74" i="225" s="1"/>
  <c r="CB74" i="225"/>
  <c r="BZ74" i="225"/>
  <c r="BX74" i="225"/>
  <c r="BV74" i="225"/>
  <c r="BC74" i="225"/>
  <c r="AX74" i="225"/>
  <c r="AY74" i="225" s="1"/>
  <c r="AV74" i="225"/>
  <c r="AW74" i="225" s="1"/>
  <c r="AT74" i="225"/>
  <c r="AU74" i="225" s="1"/>
  <c r="AR74" i="225"/>
  <c r="AP74" i="225"/>
  <c r="AN74" i="225"/>
  <c r="AK74" i="225"/>
  <c r="AI74" i="225"/>
  <c r="AG74" i="225"/>
  <c r="AE74" i="225"/>
  <c r="DM73" i="225"/>
  <c r="DL73" i="225"/>
  <c r="DJ73" i="225"/>
  <c r="CY73" i="225"/>
  <c r="CW73" i="225"/>
  <c r="CS73" i="225"/>
  <c r="CO73" i="225"/>
  <c r="CG73" i="225"/>
  <c r="DD73" i="225" s="1"/>
  <c r="DE73" i="225" s="1"/>
  <c r="CD73" i="225"/>
  <c r="CV73" i="225" s="1"/>
  <c r="CB73" i="225"/>
  <c r="BZ73" i="225"/>
  <c r="BX73" i="225"/>
  <c r="BC73" i="225"/>
  <c r="AX73" i="225"/>
  <c r="AY73" i="225" s="1"/>
  <c r="AV73" i="225"/>
  <c r="AW73" i="225" s="1"/>
  <c r="AR73" i="225"/>
  <c r="AQ73" i="225"/>
  <c r="DK73" i="225" s="1"/>
  <c r="AP73" i="225"/>
  <c r="AN73" i="225"/>
  <c r="AK73" i="225"/>
  <c r="AI73" i="225"/>
  <c r="AG73" i="225"/>
  <c r="AE73" i="225"/>
  <c r="DM72" i="225"/>
  <c r="DL72" i="225"/>
  <c r="DJ72" i="225"/>
  <c r="CY72" i="225"/>
  <c r="CW72" i="225"/>
  <c r="CS72" i="225"/>
  <c r="CO72" i="225"/>
  <c r="CG72" i="225"/>
  <c r="DB72" i="225" s="1"/>
  <c r="CD72" i="225"/>
  <c r="CL72" i="225" s="1"/>
  <c r="CB72" i="225"/>
  <c r="BZ72" i="225"/>
  <c r="BX72" i="225"/>
  <c r="BC72" i="225"/>
  <c r="AX72" i="225"/>
  <c r="AY72" i="225" s="1"/>
  <c r="AV72" i="225"/>
  <c r="AW72" i="225" s="1"/>
  <c r="AQ72" i="225"/>
  <c r="DK72" i="225" s="1"/>
  <c r="AP72" i="225"/>
  <c r="AN72" i="225"/>
  <c r="AK72" i="225"/>
  <c r="AI72" i="225"/>
  <c r="AG72" i="225"/>
  <c r="AE72" i="225"/>
  <c r="DM71" i="225"/>
  <c r="DL71" i="225"/>
  <c r="DJ71" i="225"/>
  <c r="CY71" i="225"/>
  <c r="EC71" i="225" s="1"/>
  <c r="CW71" i="225"/>
  <c r="CS71" i="225"/>
  <c r="CT71" i="225" s="1"/>
  <c r="CO71" i="225"/>
  <c r="CG71" i="225"/>
  <c r="CD71" i="225"/>
  <c r="CR71" i="225" s="1"/>
  <c r="CB71" i="225"/>
  <c r="BZ71" i="225"/>
  <c r="BX71" i="225"/>
  <c r="BC71" i="225"/>
  <c r="AX71" i="225"/>
  <c r="AY71" i="225" s="1"/>
  <c r="AV71" i="225"/>
  <c r="AW71" i="225" s="1"/>
  <c r="AQ71" i="225"/>
  <c r="DK71" i="225" s="1"/>
  <c r="AP71" i="225"/>
  <c r="AN71" i="225"/>
  <c r="AK71" i="225"/>
  <c r="AI71" i="225"/>
  <c r="AG71" i="225"/>
  <c r="AE71" i="225"/>
  <c r="DM70" i="225"/>
  <c r="DL70" i="225"/>
  <c r="DJ70" i="225"/>
  <c r="CY70" i="225"/>
  <c r="DI70" i="225" s="1"/>
  <c r="CW70" i="225"/>
  <c r="CS70" i="225"/>
  <c r="CO70" i="225"/>
  <c r="CG70" i="225"/>
  <c r="DB70" i="225" s="1"/>
  <c r="CD70" i="225"/>
  <c r="CN70" i="225" s="1"/>
  <c r="CB70" i="225"/>
  <c r="BZ70" i="225"/>
  <c r="BX70" i="225"/>
  <c r="BC70" i="225"/>
  <c r="AX70" i="225"/>
  <c r="AY70" i="225" s="1"/>
  <c r="AV70" i="225"/>
  <c r="AW70" i="225" s="1"/>
  <c r="AQ70" i="225"/>
  <c r="AR70" i="225" s="1"/>
  <c r="AP70" i="225"/>
  <c r="AN70" i="225"/>
  <c r="AK70" i="225"/>
  <c r="AI70" i="225"/>
  <c r="AG70" i="225"/>
  <c r="AE70" i="225"/>
  <c r="DM69" i="225"/>
  <c r="DL69" i="225"/>
  <c r="DJ69" i="225"/>
  <c r="CY69" i="225"/>
  <c r="CW69" i="225"/>
  <c r="CS69" i="225"/>
  <c r="CO69" i="225"/>
  <c r="CG69" i="225"/>
  <c r="DB69" i="225" s="1"/>
  <c r="CD69" i="225"/>
  <c r="CL69" i="225" s="1"/>
  <c r="CB69" i="225"/>
  <c r="BZ69" i="225"/>
  <c r="BX69" i="225"/>
  <c r="BC69" i="225"/>
  <c r="AX69" i="225"/>
  <c r="AY69" i="225" s="1"/>
  <c r="AV69" i="225"/>
  <c r="AW69" i="225" s="1"/>
  <c r="AQ69" i="225"/>
  <c r="AR69" i="225" s="1"/>
  <c r="AP69" i="225"/>
  <c r="AN69" i="225"/>
  <c r="AK69" i="225"/>
  <c r="AI69" i="225"/>
  <c r="AG69" i="225"/>
  <c r="AE69" i="225"/>
  <c r="DM68" i="225"/>
  <c r="DL68" i="225"/>
  <c r="DJ68" i="225"/>
  <c r="CY68" i="225"/>
  <c r="EC68" i="225" s="1"/>
  <c r="CW68" i="225"/>
  <c r="CS68" i="225"/>
  <c r="CO68" i="225"/>
  <c r="CG68" i="225"/>
  <c r="DD68" i="225" s="1"/>
  <c r="CD68" i="225"/>
  <c r="CR68" i="225" s="1"/>
  <c r="CB68" i="225"/>
  <c r="BZ68" i="225"/>
  <c r="BX68" i="225"/>
  <c r="BC68" i="225"/>
  <c r="AX68" i="225"/>
  <c r="AY68" i="225" s="1"/>
  <c r="AV68" i="225"/>
  <c r="AW68" i="225" s="1"/>
  <c r="AQ68" i="225"/>
  <c r="AR68" i="225" s="1"/>
  <c r="AP68" i="225"/>
  <c r="AN68" i="225"/>
  <c r="AK68" i="225"/>
  <c r="AI68" i="225"/>
  <c r="AG68" i="225"/>
  <c r="AE68" i="225"/>
  <c r="DM67" i="225"/>
  <c r="DL67" i="225"/>
  <c r="DJ67" i="225"/>
  <c r="CY67" i="225"/>
  <c r="CW67" i="225"/>
  <c r="CS67" i="225"/>
  <c r="CO67" i="225"/>
  <c r="CG67" i="225"/>
  <c r="CD67" i="225"/>
  <c r="CB67" i="225"/>
  <c r="CC67" i="225" s="1"/>
  <c r="BZ67" i="225"/>
  <c r="CA67" i="225" s="1"/>
  <c r="BT67" i="225"/>
  <c r="BR67" i="225"/>
  <c r="BO67" i="225"/>
  <c r="BM67" i="225"/>
  <c r="BK67" i="225"/>
  <c r="BI67" i="225"/>
  <c r="BC67" i="225"/>
  <c r="AX67" i="225"/>
  <c r="AY67" i="225" s="1"/>
  <c r="AV67" i="225"/>
  <c r="AW67" i="225" s="1"/>
  <c r="AQ67" i="225"/>
  <c r="AR67" i="225" s="1"/>
  <c r="AP67" i="225"/>
  <c r="AN67" i="225"/>
  <c r="AK67" i="225"/>
  <c r="AI67" i="225"/>
  <c r="AG67" i="225"/>
  <c r="AE67" i="225"/>
  <c r="DM66" i="225"/>
  <c r="DL66" i="225"/>
  <c r="DJ66" i="225"/>
  <c r="CY66" i="225"/>
  <c r="CW66" i="225"/>
  <c r="CS66" i="225"/>
  <c r="CO66" i="225"/>
  <c r="CG66" i="225"/>
  <c r="CB66" i="225"/>
  <c r="BZ66" i="225"/>
  <c r="BX66" i="225"/>
  <c r="BC66" i="225"/>
  <c r="AX66" i="225"/>
  <c r="AY66" i="225" s="1"/>
  <c r="AV66" i="225"/>
  <c r="AW66" i="225" s="1"/>
  <c r="AQ66" i="225"/>
  <c r="DK66" i="225" s="1"/>
  <c r="AP66" i="225"/>
  <c r="AN66" i="225"/>
  <c r="AK66" i="225"/>
  <c r="AI66" i="225"/>
  <c r="AG66" i="225"/>
  <c r="AE66" i="225"/>
  <c r="N66" i="225"/>
  <c r="I66" i="225"/>
  <c r="BV66" i="225" s="1"/>
  <c r="H66" i="225"/>
  <c r="CY65" i="225"/>
  <c r="EC65" i="225" s="1"/>
  <c r="CW65" i="225"/>
  <c r="CS65" i="225"/>
  <c r="CO65" i="225"/>
  <c r="CG65" i="225"/>
  <c r="DB65" i="225" s="1"/>
  <c r="CD65" i="225"/>
  <c r="CJ65" i="225" s="1"/>
  <c r="CB65" i="225"/>
  <c r="BZ65" i="225"/>
  <c r="BX65" i="225"/>
  <c r="BV65" i="225"/>
  <c r="BC65" i="225"/>
  <c r="AX65" i="225"/>
  <c r="AY65" i="225" s="1"/>
  <c r="AV65" i="225"/>
  <c r="AW65" i="225" s="1"/>
  <c r="AQ65" i="225"/>
  <c r="AR65" i="225" s="1"/>
  <c r="AP65" i="225"/>
  <c r="AN65" i="225"/>
  <c r="AK65" i="225"/>
  <c r="AI65" i="225"/>
  <c r="AG65" i="225"/>
  <c r="AE65" i="225"/>
  <c r="DM64" i="225"/>
  <c r="DL64" i="225"/>
  <c r="DJ64" i="225"/>
  <c r="CY64" i="225"/>
  <c r="EC64" i="225" s="1"/>
  <c r="CW64" i="225"/>
  <c r="CS64" i="225"/>
  <c r="CO64" i="225"/>
  <c r="CG64" i="225"/>
  <c r="DB64" i="225" s="1"/>
  <c r="CD64" i="225"/>
  <c r="CV64" i="225" s="1"/>
  <c r="CB64" i="225"/>
  <c r="BZ64" i="225"/>
  <c r="BX64" i="225"/>
  <c r="BY64" i="225" s="1"/>
  <c r="BV64" i="225"/>
  <c r="BC64" i="225"/>
  <c r="AX64" i="225"/>
  <c r="AY64" i="225" s="1"/>
  <c r="AV64" i="225"/>
  <c r="AW64" i="225" s="1"/>
  <c r="AQ64" i="225"/>
  <c r="AR64" i="225" s="1"/>
  <c r="AP64" i="225"/>
  <c r="AN64" i="225"/>
  <c r="AK64" i="225"/>
  <c r="AI64" i="225"/>
  <c r="AG64" i="225"/>
  <c r="AE64" i="225"/>
  <c r="DM63" i="225"/>
  <c r="DL63" i="225"/>
  <c r="DJ63" i="225"/>
  <c r="CY63" i="225"/>
  <c r="EC63" i="225" s="1"/>
  <c r="CW63" i="225"/>
  <c r="CS63" i="225"/>
  <c r="CO63" i="225"/>
  <c r="CG63" i="225"/>
  <c r="DD63" i="225" s="1"/>
  <c r="CD63" i="225"/>
  <c r="CL63" i="225" s="1"/>
  <c r="CB63" i="225"/>
  <c r="BZ63" i="225"/>
  <c r="BX63" i="225"/>
  <c r="BY63" i="225" s="1"/>
  <c r="BV63" i="225"/>
  <c r="BC63" i="225"/>
  <c r="BD63" i="225" s="1"/>
  <c r="AX63" i="225"/>
  <c r="AY63" i="225" s="1"/>
  <c r="AV63" i="225"/>
  <c r="AW63" i="225" s="1"/>
  <c r="AQ63" i="225"/>
  <c r="DK63" i="225" s="1"/>
  <c r="AP63" i="225"/>
  <c r="AN63" i="225"/>
  <c r="AK63" i="225"/>
  <c r="AI63" i="225"/>
  <c r="AG63" i="225"/>
  <c r="AE63" i="225"/>
  <c r="CY62" i="225"/>
  <c r="CW62" i="225"/>
  <c r="CS62" i="225"/>
  <c r="CO62" i="225"/>
  <c r="CG62" i="225"/>
  <c r="DB62" i="225" s="1"/>
  <c r="CD62" i="225"/>
  <c r="CL62" i="225" s="1"/>
  <c r="CB62" i="225"/>
  <c r="CC62" i="225" s="1"/>
  <c r="BZ62" i="225"/>
  <c r="CA62" i="225" s="1"/>
  <c r="BT62" i="225"/>
  <c r="BR62" i="225"/>
  <c r="BO62" i="225"/>
  <c r="BM62" i="225"/>
  <c r="BK62" i="225"/>
  <c r="BI62" i="225"/>
  <c r="BC62" i="225"/>
  <c r="AX62" i="225"/>
  <c r="AY62" i="225" s="1"/>
  <c r="AV62" i="225"/>
  <c r="AW62" i="225" s="1"/>
  <c r="AQ62" i="225"/>
  <c r="AR62" i="225" s="1"/>
  <c r="AP62" i="225"/>
  <c r="AN62" i="225"/>
  <c r="AK62" i="225"/>
  <c r="AI62" i="225"/>
  <c r="AG62" i="225"/>
  <c r="AE62" i="225"/>
  <c r="DM61" i="225"/>
  <c r="DL61" i="225"/>
  <c r="DJ61" i="225"/>
  <c r="CY61" i="225"/>
  <c r="BU61" i="225" s="1"/>
  <c r="CW61" i="225"/>
  <c r="CS61" i="225"/>
  <c r="CO61" i="225"/>
  <c r="CG61" i="225"/>
  <c r="DB61" i="225" s="1"/>
  <c r="CD61" i="225"/>
  <c r="CV61" i="225" s="1"/>
  <c r="CB61" i="225"/>
  <c r="CC61" i="225" s="1"/>
  <c r="BZ61" i="225"/>
  <c r="CA61" i="225" s="1"/>
  <c r="BT61" i="225"/>
  <c r="BR61" i="225"/>
  <c r="BO61" i="225"/>
  <c r="BM61" i="225"/>
  <c r="BK61" i="225"/>
  <c r="BI61" i="225"/>
  <c r="BC61" i="225"/>
  <c r="AX61" i="225"/>
  <c r="AY61" i="225" s="1"/>
  <c r="AV61" i="225"/>
  <c r="AW61" i="225" s="1"/>
  <c r="AT61" i="225"/>
  <c r="AU61" i="225" s="1"/>
  <c r="AQ61" i="225"/>
  <c r="AR61" i="225" s="1"/>
  <c r="AP61" i="225"/>
  <c r="AN61" i="225"/>
  <c r="AK61" i="225"/>
  <c r="AI61" i="225"/>
  <c r="AG61" i="225"/>
  <c r="AE61" i="225"/>
  <c r="DM60" i="225"/>
  <c r="DL60" i="225"/>
  <c r="DJ60" i="225"/>
  <c r="CY60" i="225"/>
  <c r="CW60" i="225"/>
  <c r="CS60" i="225"/>
  <c r="CO60" i="225"/>
  <c r="CG60" i="225"/>
  <c r="DD60" i="225" s="1"/>
  <c r="CD60" i="225"/>
  <c r="CL60" i="225" s="1"/>
  <c r="CB60" i="225"/>
  <c r="CC60" i="225" s="1"/>
  <c r="BZ60" i="225"/>
  <c r="CA60" i="225" s="1"/>
  <c r="BT60" i="225"/>
  <c r="BR60" i="225"/>
  <c r="BO60" i="225"/>
  <c r="BM60" i="225"/>
  <c r="BK60" i="225"/>
  <c r="BI60" i="225"/>
  <c r="BC60" i="225"/>
  <c r="AX60" i="225"/>
  <c r="AY60" i="225" s="1"/>
  <c r="AV60" i="225"/>
  <c r="AW60" i="225" s="1"/>
  <c r="AQ60" i="225"/>
  <c r="AT60" i="225" s="1"/>
  <c r="AU60" i="225" s="1"/>
  <c r="AP60" i="225"/>
  <c r="AN60" i="225"/>
  <c r="AK60" i="225"/>
  <c r="AI60" i="225"/>
  <c r="AG60" i="225"/>
  <c r="AE60" i="225"/>
  <c r="J60" i="225"/>
  <c r="K60" i="225" s="1"/>
  <c r="DM59" i="225"/>
  <c r="DL59" i="225"/>
  <c r="DJ59" i="225"/>
  <c r="CY59" i="225"/>
  <c r="CW59" i="225"/>
  <c r="CS59" i="225"/>
  <c r="CO59" i="225"/>
  <c r="CG59" i="225"/>
  <c r="DD59" i="225" s="1"/>
  <c r="CD59" i="225"/>
  <c r="CJ59" i="225" s="1"/>
  <c r="CB59" i="225"/>
  <c r="CC59" i="225" s="1"/>
  <c r="BZ59" i="225"/>
  <c r="CA59" i="225" s="1"/>
  <c r="BT59" i="225"/>
  <c r="BR59" i="225"/>
  <c r="BO59" i="225"/>
  <c r="BM59" i="225"/>
  <c r="BK59" i="225"/>
  <c r="BI59" i="225"/>
  <c r="BC59" i="225"/>
  <c r="AX59" i="225"/>
  <c r="AY59" i="225" s="1"/>
  <c r="AV59" i="225"/>
  <c r="AW59" i="225" s="1"/>
  <c r="AQ59" i="225"/>
  <c r="AR59" i="225" s="1"/>
  <c r="AP59" i="225"/>
  <c r="AN59" i="225"/>
  <c r="AK59" i="225"/>
  <c r="AI59" i="225"/>
  <c r="AG59" i="225"/>
  <c r="AE59" i="225"/>
  <c r="J59" i="225"/>
  <c r="K59" i="225" s="1"/>
  <c r="DM58" i="225"/>
  <c r="DL58" i="225"/>
  <c r="DJ58" i="225"/>
  <c r="CY58" i="225"/>
  <c r="CW58" i="225"/>
  <c r="CS58" i="225"/>
  <c r="CT58" i="225" s="1"/>
  <c r="CO58" i="225"/>
  <c r="CG58" i="225"/>
  <c r="DD58" i="225" s="1"/>
  <c r="CD58" i="225"/>
  <c r="CL58" i="225" s="1"/>
  <c r="CB58" i="225"/>
  <c r="CC58" i="225" s="1"/>
  <c r="BZ58" i="225"/>
  <c r="CA58" i="225" s="1"/>
  <c r="BT58" i="225"/>
  <c r="BR58" i="225"/>
  <c r="BO58" i="225"/>
  <c r="BM58" i="225"/>
  <c r="BK58" i="225"/>
  <c r="BI58" i="225"/>
  <c r="BC58" i="225"/>
  <c r="AX58" i="225"/>
  <c r="AY58" i="225" s="1"/>
  <c r="AV58" i="225"/>
  <c r="AW58" i="225" s="1"/>
  <c r="AQ58" i="225"/>
  <c r="AT58" i="225" s="1"/>
  <c r="AU58" i="225" s="1"/>
  <c r="AP58" i="225"/>
  <c r="AN58" i="225"/>
  <c r="AK58" i="225"/>
  <c r="AI58" i="225"/>
  <c r="AG58" i="225"/>
  <c r="AE58" i="225"/>
  <c r="DM57" i="225"/>
  <c r="DL57" i="225"/>
  <c r="DJ57" i="225"/>
  <c r="CY57" i="225"/>
  <c r="DA57" i="225" s="1"/>
  <c r="DH57" i="225" s="1"/>
  <c r="CW57" i="225"/>
  <c r="CS57" i="225"/>
  <c r="CO57" i="225"/>
  <c r="CG57" i="225"/>
  <c r="DD57" i="225" s="1"/>
  <c r="CD57" i="225"/>
  <c r="CB57" i="225"/>
  <c r="CC57" i="225" s="1"/>
  <c r="BZ57" i="225"/>
  <c r="CA57" i="225" s="1"/>
  <c r="BT57" i="225"/>
  <c r="BR57" i="225"/>
  <c r="BO57" i="225"/>
  <c r="BM57" i="225"/>
  <c r="BK57" i="225"/>
  <c r="BI57" i="225"/>
  <c r="BC57" i="225"/>
  <c r="AX57" i="225"/>
  <c r="AY57" i="225" s="1"/>
  <c r="AV57" i="225"/>
  <c r="AW57" i="225" s="1"/>
  <c r="AQ57" i="225"/>
  <c r="AP57" i="225"/>
  <c r="AN57" i="225"/>
  <c r="AK57" i="225"/>
  <c r="AI57" i="225"/>
  <c r="AG57" i="225"/>
  <c r="AE57" i="225"/>
  <c r="DM56" i="225"/>
  <c r="DL56" i="225"/>
  <c r="DJ56" i="225"/>
  <c r="CY56" i="225"/>
  <c r="DA56" i="225" s="1"/>
  <c r="DH56" i="225" s="1"/>
  <c r="CW56" i="225"/>
  <c r="CS56" i="225"/>
  <c r="CT56" i="225" s="1"/>
  <c r="CO56" i="225"/>
  <c r="CG56" i="225"/>
  <c r="CD56" i="225"/>
  <c r="CV56" i="225" s="1"/>
  <c r="CB56" i="225"/>
  <c r="CC56" i="225" s="1"/>
  <c r="BZ56" i="225"/>
  <c r="CA56" i="225" s="1"/>
  <c r="BT56" i="225"/>
  <c r="BR56" i="225"/>
  <c r="BO56" i="225"/>
  <c r="BM56" i="225"/>
  <c r="BK56" i="225"/>
  <c r="BI56" i="225"/>
  <c r="BC56" i="225"/>
  <c r="AX56" i="225"/>
  <c r="AY56" i="225" s="1"/>
  <c r="AV56" i="225"/>
  <c r="AW56" i="225" s="1"/>
  <c r="AQ56" i="225"/>
  <c r="AR56" i="225" s="1"/>
  <c r="AP56" i="225"/>
  <c r="AN56" i="225"/>
  <c r="AK56" i="225"/>
  <c r="AI56" i="225"/>
  <c r="AG56" i="225"/>
  <c r="AE56" i="225"/>
  <c r="DM55" i="225"/>
  <c r="DL55" i="225"/>
  <c r="DJ55" i="225"/>
  <c r="CY55" i="225"/>
  <c r="CW55" i="225"/>
  <c r="CS55" i="225"/>
  <c r="CO55" i="225"/>
  <c r="CG55" i="225"/>
  <c r="DD55" i="225" s="1"/>
  <c r="CD55" i="225"/>
  <c r="CV55" i="225" s="1"/>
  <c r="CB55" i="225"/>
  <c r="CC55" i="225" s="1"/>
  <c r="BZ55" i="225"/>
  <c r="CA55" i="225" s="1"/>
  <c r="BT55" i="225"/>
  <c r="BR55" i="225"/>
  <c r="BO55" i="225"/>
  <c r="BM55" i="225"/>
  <c r="BK55" i="225"/>
  <c r="BI55" i="225"/>
  <c r="BC55" i="225"/>
  <c r="AX55" i="225"/>
  <c r="AY55" i="225" s="1"/>
  <c r="AV55" i="225"/>
  <c r="AW55" i="225" s="1"/>
  <c r="AQ55" i="225"/>
  <c r="AR55" i="225" s="1"/>
  <c r="AP55" i="225"/>
  <c r="AN55" i="225"/>
  <c r="AK55" i="225"/>
  <c r="AI55" i="225"/>
  <c r="AG55" i="225"/>
  <c r="AE55" i="225"/>
  <c r="DM54" i="225"/>
  <c r="DL54" i="225"/>
  <c r="DJ54" i="225"/>
  <c r="CY54" i="225"/>
  <c r="DA54" i="225" s="1"/>
  <c r="DH54" i="225" s="1"/>
  <c r="CW54" i="225"/>
  <c r="CS54" i="225"/>
  <c r="CO54" i="225"/>
  <c r="CG54" i="225"/>
  <c r="CD54" i="225"/>
  <c r="CB54" i="225"/>
  <c r="CC54" i="225" s="1"/>
  <c r="BZ54" i="225"/>
  <c r="CA54" i="225" s="1"/>
  <c r="BU54" i="225"/>
  <c r="BV54" i="225" s="1"/>
  <c r="BT54" i="225"/>
  <c r="BR54" i="225"/>
  <c r="BO54" i="225"/>
  <c r="BM54" i="225"/>
  <c r="BK54" i="225"/>
  <c r="BI54" i="225"/>
  <c r="BC54" i="225"/>
  <c r="AX54" i="225"/>
  <c r="AY54" i="225" s="1"/>
  <c r="AV54" i="225"/>
  <c r="AW54" i="225" s="1"/>
  <c r="AQ54" i="225"/>
  <c r="AR54" i="225" s="1"/>
  <c r="AP54" i="225"/>
  <c r="AN54" i="225"/>
  <c r="AK54" i="225"/>
  <c r="AI54" i="225"/>
  <c r="AG54" i="225"/>
  <c r="AE54" i="225"/>
  <c r="J54" i="225"/>
  <c r="K54" i="225" s="1"/>
  <c r="DM53" i="225"/>
  <c r="DL53" i="225"/>
  <c r="DJ53" i="225"/>
  <c r="DA53" i="225"/>
  <c r="DH53" i="225" s="1"/>
  <c r="CW53" i="225"/>
  <c r="CS53" i="225"/>
  <c r="CO53" i="225"/>
  <c r="CG53" i="225"/>
  <c r="DD53" i="225" s="1"/>
  <c r="CD53" i="225"/>
  <c r="CL53" i="225" s="1"/>
  <c r="CB53" i="225"/>
  <c r="CC53" i="225" s="1"/>
  <c r="BZ53" i="225"/>
  <c r="CA53" i="225" s="1"/>
  <c r="BU53" i="225"/>
  <c r="BV53" i="225" s="1"/>
  <c r="BT53" i="225"/>
  <c r="BR53" i="225"/>
  <c r="BO53" i="225"/>
  <c r="BM53" i="225"/>
  <c r="BK53" i="225"/>
  <c r="BI53" i="225"/>
  <c r="BC53" i="225"/>
  <c r="AX53" i="225"/>
  <c r="AY53" i="225" s="1"/>
  <c r="AV53" i="225"/>
  <c r="AW53" i="225" s="1"/>
  <c r="AQ53" i="225"/>
  <c r="AT53" i="225" s="1"/>
  <c r="AU53" i="225" s="1"/>
  <c r="AP53" i="225"/>
  <c r="AN53" i="225"/>
  <c r="AK53" i="225"/>
  <c r="AI53" i="225"/>
  <c r="AG53" i="225"/>
  <c r="AE53" i="225"/>
  <c r="J53" i="225"/>
  <c r="K53" i="225" s="1"/>
  <c r="DM52" i="225"/>
  <c r="DL52" i="225"/>
  <c r="DJ52" i="225"/>
  <c r="DA52" i="225"/>
  <c r="DH52" i="225" s="1"/>
  <c r="CW52" i="225"/>
  <c r="CS52" i="225"/>
  <c r="CO52" i="225"/>
  <c r="CG52" i="225"/>
  <c r="CD52" i="225"/>
  <c r="CV52" i="225" s="1"/>
  <c r="CB52" i="225"/>
  <c r="CC52" i="225" s="1"/>
  <c r="BZ52" i="225"/>
  <c r="CA52" i="225" s="1"/>
  <c r="BU52" i="225"/>
  <c r="EC52" i="225" s="1"/>
  <c r="BT52" i="225"/>
  <c r="BR52" i="225"/>
  <c r="BO52" i="225"/>
  <c r="BM52" i="225"/>
  <c r="BK52" i="225"/>
  <c r="BI52" i="225"/>
  <c r="BC52" i="225"/>
  <c r="AX52" i="225"/>
  <c r="AY52" i="225" s="1"/>
  <c r="AV52" i="225"/>
  <c r="AW52" i="225" s="1"/>
  <c r="AQ52" i="225"/>
  <c r="AT52" i="225" s="1"/>
  <c r="AU52" i="225" s="1"/>
  <c r="AP52" i="225"/>
  <c r="AN52" i="225"/>
  <c r="AK52" i="225"/>
  <c r="AI52" i="225"/>
  <c r="AG52" i="225"/>
  <c r="AE52" i="225"/>
  <c r="J52" i="225"/>
  <c r="K52" i="225" s="1"/>
  <c r="DM51" i="225"/>
  <c r="DL51" i="225"/>
  <c r="DJ51" i="225"/>
  <c r="CY51" i="225"/>
  <c r="BU51" i="225" s="1"/>
  <c r="CW51" i="225"/>
  <c r="CS51" i="225"/>
  <c r="CO51" i="225"/>
  <c r="CG51" i="225"/>
  <c r="CD51" i="225"/>
  <c r="CL51" i="225" s="1"/>
  <c r="CB51" i="225"/>
  <c r="CC51" i="225" s="1"/>
  <c r="BZ51" i="225"/>
  <c r="CA51" i="225" s="1"/>
  <c r="BT51" i="225"/>
  <c r="BR51" i="225"/>
  <c r="BO51" i="225"/>
  <c r="BM51" i="225"/>
  <c r="BK51" i="225"/>
  <c r="BI51" i="225"/>
  <c r="BC51" i="225"/>
  <c r="AX51" i="225"/>
  <c r="AY51" i="225" s="1"/>
  <c r="AV51" i="225"/>
  <c r="AW51" i="225" s="1"/>
  <c r="AQ51" i="225"/>
  <c r="AP51" i="225"/>
  <c r="AN51" i="225"/>
  <c r="AK51" i="225"/>
  <c r="AI51" i="225"/>
  <c r="AG51" i="225"/>
  <c r="AE51" i="225"/>
  <c r="DM50" i="225"/>
  <c r="DL50" i="225"/>
  <c r="DJ50" i="225"/>
  <c r="CY50" i="225"/>
  <c r="CW50" i="225"/>
  <c r="CS50" i="225"/>
  <c r="CO50" i="225"/>
  <c r="CG50" i="225"/>
  <c r="CD50" i="225"/>
  <c r="CL50" i="225" s="1"/>
  <c r="CB50" i="225"/>
  <c r="CC50" i="225" s="1"/>
  <c r="BZ50" i="225"/>
  <c r="CA50" i="225" s="1"/>
  <c r="BT50" i="225"/>
  <c r="BR50" i="225"/>
  <c r="BO50" i="225"/>
  <c r="BM50" i="225"/>
  <c r="BK50" i="225"/>
  <c r="BI50" i="225"/>
  <c r="BC50" i="225"/>
  <c r="AX50" i="225"/>
  <c r="AY50" i="225" s="1"/>
  <c r="AV50" i="225"/>
  <c r="AW50" i="225" s="1"/>
  <c r="AQ50" i="225"/>
  <c r="AT50" i="225" s="1"/>
  <c r="AU50" i="225" s="1"/>
  <c r="AP50" i="225"/>
  <c r="AN50" i="225"/>
  <c r="AK50" i="225"/>
  <c r="AI50" i="225"/>
  <c r="AG50" i="225"/>
  <c r="AE50" i="225"/>
  <c r="DM49" i="225"/>
  <c r="DL49" i="225"/>
  <c r="DJ49" i="225"/>
  <c r="DA49" i="225"/>
  <c r="DH49" i="225" s="1"/>
  <c r="CW49" i="225"/>
  <c r="CS49" i="225"/>
  <c r="CO49" i="225"/>
  <c r="CG49" i="225"/>
  <c r="CD49" i="225"/>
  <c r="CL49" i="225" s="1"/>
  <c r="CB49" i="225"/>
  <c r="CC49" i="225" s="1"/>
  <c r="BZ49" i="225"/>
  <c r="CA49" i="225" s="1"/>
  <c r="BU49" i="225"/>
  <c r="DI49" i="225" s="1"/>
  <c r="BT49" i="225"/>
  <c r="BR49" i="225"/>
  <c r="BO49" i="225"/>
  <c r="BM49" i="225"/>
  <c r="BK49" i="225"/>
  <c r="BI49" i="225"/>
  <c r="BC49" i="225"/>
  <c r="AX49" i="225"/>
  <c r="AY49" i="225" s="1"/>
  <c r="AV49" i="225"/>
  <c r="AW49" i="225" s="1"/>
  <c r="AQ49" i="225"/>
  <c r="AR49" i="225" s="1"/>
  <c r="AP49" i="225"/>
  <c r="AN49" i="225"/>
  <c r="AK49" i="225"/>
  <c r="AI49" i="225"/>
  <c r="AG49" i="225"/>
  <c r="AE49" i="225"/>
  <c r="J49" i="225"/>
  <c r="K49" i="225" s="1"/>
  <c r="DM48" i="225"/>
  <c r="DL48" i="225"/>
  <c r="DJ48" i="225"/>
  <c r="DA48" i="225"/>
  <c r="DH48" i="225" s="1"/>
  <c r="CW48" i="225"/>
  <c r="CS48" i="225"/>
  <c r="CO48" i="225"/>
  <c r="CG48" i="225"/>
  <c r="DB48" i="225" s="1"/>
  <c r="CD48" i="225"/>
  <c r="CZ48" i="225" s="1"/>
  <c r="CB48" i="225"/>
  <c r="CC48" i="225" s="1"/>
  <c r="BZ48" i="225"/>
  <c r="CA48" i="225" s="1"/>
  <c r="BU48" i="225"/>
  <c r="BT48" i="225"/>
  <c r="BR48" i="225"/>
  <c r="BO48" i="225"/>
  <c r="BM48" i="225"/>
  <c r="BK48" i="225"/>
  <c r="BI48" i="225"/>
  <c r="BC48" i="225"/>
  <c r="BD48" i="225" s="1"/>
  <c r="AX48" i="225"/>
  <c r="AY48" i="225" s="1"/>
  <c r="AV48" i="225"/>
  <c r="AW48" i="225" s="1"/>
  <c r="AQ48" i="225"/>
  <c r="AR48" i="225" s="1"/>
  <c r="AP48" i="225"/>
  <c r="AN48" i="225"/>
  <c r="AK48" i="225"/>
  <c r="AI48" i="225"/>
  <c r="AG48" i="225"/>
  <c r="AE48" i="225"/>
  <c r="J48" i="225"/>
  <c r="K48" i="225" s="1"/>
  <c r="DM47" i="225"/>
  <c r="DL47" i="225"/>
  <c r="DJ47" i="225"/>
  <c r="CY47" i="225"/>
  <c r="BU47" i="225" s="1"/>
  <c r="BV47" i="225" s="1"/>
  <c r="CW47" i="225"/>
  <c r="CS47" i="225"/>
  <c r="CO47" i="225"/>
  <c r="CP47" i="225" s="1"/>
  <c r="CG47" i="225"/>
  <c r="DD47" i="225" s="1"/>
  <c r="CD47" i="225"/>
  <c r="CB47" i="225"/>
  <c r="CC47" i="225" s="1"/>
  <c r="BZ47" i="225"/>
  <c r="CA47" i="225" s="1"/>
  <c r="BT47" i="225"/>
  <c r="BR47" i="225"/>
  <c r="BO47" i="225"/>
  <c r="BM47" i="225"/>
  <c r="BK47" i="225"/>
  <c r="BI47" i="225"/>
  <c r="BC47" i="225"/>
  <c r="AX47" i="225"/>
  <c r="AY47" i="225" s="1"/>
  <c r="AV47" i="225"/>
  <c r="AW47" i="225" s="1"/>
  <c r="AQ47" i="225"/>
  <c r="AT47" i="225" s="1"/>
  <c r="AU47" i="225" s="1"/>
  <c r="AP47" i="225"/>
  <c r="AN47" i="225"/>
  <c r="AK47" i="225"/>
  <c r="AI47" i="225"/>
  <c r="AG47" i="225"/>
  <c r="AE47" i="225"/>
  <c r="J47" i="225"/>
  <c r="K47" i="225" s="1"/>
  <c r="DM46" i="225"/>
  <c r="DL46" i="225"/>
  <c r="DJ46" i="225"/>
  <c r="CY46" i="225"/>
  <c r="DA46" i="225" s="1"/>
  <c r="DH46" i="225" s="1"/>
  <c r="CW46" i="225"/>
  <c r="CS46" i="225"/>
  <c r="CO46" i="225"/>
  <c r="CG46" i="225"/>
  <c r="CD46" i="225"/>
  <c r="CV46" i="225" s="1"/>
  <c r="CB46" i="225"/>
  <c r="CC46" i="225" s="1"/>
  <c r="BZ46" i="225"/>
  <c r="CA46" i="225" s="1"/>
  <c r="BU46" i="225"/>
  <c r="BT46" i="225"/>
  <c r="BR46" i="225"/>
  <c r="BO46" i="225"/>
  <c r="BM46" i="225"/>
  <c r="BK46" i="225"/>
  <c r="BI46" i="225"/>
  <c r="BD46" i="225"/>
  <c r="BC46" i="225"/>
  <c r="AX46" i="225"/>
  <c r="AY46" i="225" s="1"/>
  <c r="AV46" i="225"/>
  <c r="AW46" i="225" s="1"/>
  <c r="AQ46" i="225"/>
  <c r="AR46" i="225" s="1"/>
  <c r="AP46" i="225"/>
  <c r="AN46" i="225"/>
  <c r="AK46" i="225"/>
  <c r="AI46" i="225"/>
  <c r="AG46" i="225"/>
  <c r="AE46" i="225"/>
  <c r="J46" i="225"/>
  <c r="K46" i="225" s="1"/>
  <c r="DM45" i="225"/>
  <c r="DL45" i="225"/>
  <c r="DJ45" i="225"/>
  <c r="CY45" i="225"/>
  <c r="CW45" i="225"/>
  <c r="CS45" i="225"/>
  <c r="CO45" i="225"/>
  <c r="CP45" i="225" s="1"/>
  <c r="CG45" i="225"/>
  <c r="DD45" i="225" s="1"/>
  <c r="CD45" i="225"/>
  <c r="CL45" i="225" s="1"/>
  <c r="CB45" i="225"/>
  <c r="CC45" i="225" s="1"/>
  <c r="BZ45" i="225"/>
  <c r="CA45" i="225" s="1"/>
  <c r="BT45" i="225"/>
  <c r="BR45" i="225"/>
  <c r="BO45" i="225"/>
  <c r="BM45" i="225"/>
  <c r="BK45" i="225"/>
  <c r="BI45" i="225"/>
  <c r="BC45" i="225"/>
  <c r="AY45" i="225"/>
  <c r="AX45" i="225"/>
  <c r="AV45" i="225"/>
  <c r="AW45" i="225" s="1"/>
  <c r="AQ45" i="225"/>
  <c r="AR45" i="225" s="1"/>
  <c r="AP45" i="225"/>
  <c r="AN45" i="225"/>
  <c r="AK45" i="225"/>
  <c r="AI45" i="225"/>
  <c r="AG45" i="225"/>
  <c r="AE45" i="225"/>
  <c r="DM44" i="225"/>
  <c r="DL44" i="225"/>
  <c r="DK44" i="225"/>
  <c r="DJ44" i="225"/>
  <c r="CY44" i="225"/>
  <c r="CW44" i="225"/>
  <c r="CS44" i="225"/>
  <c r="CO44" i="225"/>
  <c r="CG44" i="225"/>
  <c r="DB44" i="225" s="1"/>
  <c r="CD44" i="225"/>
  <c r="CL44" i="225" s="1"/>
  <c r="CB44" i="225"/>
  <c r="BZ44" i="225"/>
  <c r="BX44" i="225"/>
  <c r="BY44" i="225" s="1"/>
  <c r="BV44" i="225"/>
  <c r="BC44" i="225"/>
  <c r="BD44" i="225" s="1"/>
  <c r="AX44" i="225"/>
  <c r="AY44" i="225" s="1"/>
  <c r="AV44" i="225"/>
  <c r="AW44" i="225" s="1"/>
  <c r="AQ44" i="225"/>
  <c r="AR44" i="225" s="1"/>
  <c r="AP44" i="225"/>
  <c r="AN44" i="225"/>
  <c r="AK44" i="225"/>
  <c r="AI44" i="225"/>
  <c r="AG44" i="225"/>
  <c r="AE44" i="225"/>
  <c r="DM43" i="225"/>
  <c r="DL43" i="225"/>
  <c r="DJ43" i="225"/>
  <c r="CY43" i="225"/>
  <c r="EC43" i="225" s="1"/>
  <c r="CW43" i="225"/>
  <c r="CS43" i="225"/>
  <c r="CO43" i="225"/>
  <c r="CG43" i="225"/>
  <c r="DD43" i="225" s="1"/>
  <c r="CD43" i="225"/>
  <c r="CJ43" i="225" s="1"/>
  <c r="CB43" i="225"/>
  <c r="BZ43" i="225"/>
  <c r="BX43" i="225"/>
  <c r="BV43" i="225"/>
  <c r="BC43" i="225"/>
  <c r="AX43" i="225"/>
  <c r="AY43" i="225" s="1"/>
  <c r="AV43" i="225"/>
  <c r="AW43" i="225" s="1"/>
  <c r="AQ43" i="225"/>
  <c r="AP43" i="225"/>
  <c r="AN43" i="225"/>
  <c r="AK43" i="225"/>
  <c r="AI43" i="225"/>
  <c r="AG43" i="225"/>
  <c r="AE43" i="225"/>
  <c r="DM42" i="225"/>
  <c r="DL42" i="225"/>
  <c r="DK42" i="225"/>
  <c r="DJ42" i="225"/>
  <c r="CY42" i="225"/>
  <c r="EC42" i="225" s="1"/>
  <c r="CW42" i="225"/>
  <c r="CS42" i="225"/>
  <c r="CO42" i="225"/>
  <c r="CG42" i="225"/>
  <c r="DD42" i="225" s="1"/>
  <c r="CD42" i="225"/>
  <c r="CV42" i="225" s="1"/>
  <c r="CB42" i="225"/>
  <c r="BZ42" i="225"/>
  <c r="BX42" i="225"/>
  <c r="BY42" i="225" s="1"/>
  <c r="BV42" i="225"/>
  <c r="BD42" i="225"/>
  <c r="BC42" i="225"/>
  <c r="AX42" i="225"/>
  <c r="AY42" i="225" s="1"/>
  <c r="AV42" i="225"/>
  <c r="AW42" i="225" s="1"/>
  <c r="AT42" i="225"/>
  <c r="AU42" i="225" s="1"/>
  <c r="AR42" i="225"/>
  <c r="AP42" i="225"/>
  <c r="AN42" i="225"/>
  <c r="AK42" i="225"/>
  <c r="AI42" i="225"/>
  <c r="AG42" i="225"/>
  <c r="AE42" i="225"/>
  <c r="DM41" i="225"/>
  <c r="DL41" i="225"/>
  <c r="DJ41" i="225"/>
  <c r="CY41" i="225"/>
  <c r="CW41" i="225"/>
  <c r="CS41" i="225"/>
  <c r="CO41" i="225"/>
  <c r="CG41" i="225"/>
  <c r="DF41" i="225" s="1"/>
  <c r="CD41" i="225"/>
  <c r="CL41" i="225" s="1"/>
  <c r="CB41" i="225"/>
  <c r="BZ41" i="225"/>
  <c r="BX41" i="225"/>
  <c r="BY41" i="225" s="1"/>
  <c r="BV41" i="225"/>
  <c r="BC41" i="225"/>
  <c r="AX41" i="225"/>
  <c r="AY41" i="225" s="1"/>
  <c r="AV41" i="225"/>
  <c r="AW41" i="225" s="1"/>
  <c r="AQ41" i="225"/>
  <c r="AT41" i="225" s="1"/>
  <c r="AU41" i="225" s="1"/>
  <c r="AP41" i="225"/>
  <c r="AN41" i="225"/>
  <c r="AK41" i="225"/>
  <c r="AI41" i="225"/>
  <c r="AG41" i="225"/>
  <c r="AE41" i="225"/>
  <c r="DM40" i="225"/>
  <c r="DL40" i="225"/>
  <c r="DJ40" i="225"/>
  <c r="CY40" i="225"/>
  <c r="EC40" i="225" s="1"/>
  <c r="CW40" i="225"/>
  <c r="CS40" i="225"/>
  <c r="CO40" i="225"/>
  <c r="CG40" i="225"/>
  <c r="DD40" i="225" s="1"/>
  <c r="CD40" i="225"/>
  <c r="CV40" i="225" s="1"/>
  <c r="CB40" i="225"/>
  <c r="BZ40" i="225"/>
  <c r="BX40" i="225"/>
  <c r="BC40" i="225"/>
  <c r="AX40" i="225"/>
  <c r="AY40" i="225" s="1"/>
  <c r="AV40" i="225"/>
  <c r="AW40" i="225" s="1"/>
  <c r="AQ40" i="225"/>
  <c r="DK40" i="225" s="1"/>
  <c r="AP40" i="225"/>
  <c r="AN40" i="225"/>
  <c r="AK40" i="225"/>
  <c r="AI40" i="225"/>
  <c r="AG40" i="225"/>
  <c r="AE40" i="225"/>
  <c r="I40" i="225"/>
  <c r="H40" i="225"/>
  <c r="DM39" i="225"/>
  <c r="DL39" i="225"/>
  <c r="DJ39" i="225"/>
  <c r="CY39" i="225"/>
  <c r="CW39" i="225"/>
  <c r="CS39" i="225"/>
  <c r="CO39" i="225"/>
  <c r="CG39" i="225"/>
  <c r="DB39" i="225" s="1"/>
  <c r="CD39" i="225"/>
  <c r="CB39" i="225"/>
  <c r="BZ39" i="225"/>
  <c r="BX39" i="225"/>
  <c r="BV39" i="225"/>
  <c r="BC39" i="225"/>
  <c r="AX39" i="225"/>
  <c r="AY39" i="225" s="1"/>
  <c r="AV39" i="225"/>
  <c r="AW39" i="225" s="1"/>
  <c r="AQ39" i="225"/>
  <c r="AR39" i="225" s="1"/>
  <c r="AP39" i="225"/>
  <c r="AN39" i="225"/>
  <c r="AK39" i="225"/>
  <c r="AI39" i="225"/>
  <c r="AG39" i="225"/>
  <c r="AE39" i="225"/>
  <c r="J39" i="225"/>
  <c r="DM38" i="225"/>
  <c r="DL38" i="225"/>
  <c r="DJ38" i="225"/>
  <c r="CY38" i="225"/>
  <c r="DA38" i="225" s="1"/>
  <c r="DH38" i="225" s="1"/>
  <c r="CW38" i="225"/>
  <c r="CS38" i="225"/>
  <c r="CO38" i="225"/>
  <c r="CG38" i="225"/>
  <c r="DD38" i="225" s="1"/>
  <c r="CD38" i="225"/>
  <c r="CN38" i="225" s="1"/>
  <c r="CB38" i="225"/>
  <c r="BZ38" i="225"/>
  <c r="BX38" i="225"/>
  <c r="BY38" i="225" s="1"/>
  <c r="BV38" i="225"/>
  <c r="BC38" i="225"/>
  <c r="AX38" i="225"/>
  <c r="AY38" i="225" s="1"/>
  <c r="AV38" i="225"/>
  <c r="AW38" i="225" s="1"/>
  <c r="AQ38" i="225"/>
  <c r="AP38" i="225"/>
  <c r="AN38" i="225"/>
  <c r="AK38" i="225"/>
  <c r="AI38" i="225"/>
  <c r="AG38" i="225"/>
  <c r="AE38" i="225"/>
  <c r="J38" i="225"/>
  <c r="H38" i="225"/>
  <c r="DM37" i="225"/>
  <c r="DL37" i="225"/>
  <c r="DK37" i="225"/>
  <c r="DJ37" i="225"/>
  <c r="CY37" i="225"/>
  <c r="DI37" i="225" s="1"/>
  <c r="CW37" i="225"/>
  <c r="CS37" i="225"/>
  <c r="CO37" i="225"/>
  <c r="CG37" i="225"/>
  <c r="DB37" i="225" s="1"/>
  <c r="CD37" i="225"/>
  <c r="CL37" i="225" s="1"/>
  <c r="CB37" i="225"/>
  <c r="BZ37" i="225"/>
  <c r="BX37" i="225"/>
  <c r="BV37" i="225"/>
  <c r="BC37" i="225"/>
  <c r="AX37" i="225"/>
  <c r="AY37" i="225" s="1"/>
  <c r="AV37" i="225"/>
  <c r="AW37" i="225" s="1"/>
  <c r="AT37" i="225"/>
  <c r="AU37" i="225" s="1"/>
  <c r="AR37" i="225"/>
  <c r="AP37" i="225"/>
  <c r="AN37" i="225"/>
  <c r="AK37" i="225"/>
  <c r="AI37" i="225"/>
  <c r="AG37" i="225"/>
  <c r="AE37" i="225"/>
  <c r="DM36" i="225"/>
  <c r="DL36" i="225"/>
  <c r="DJ36" i="225"/>
  <c r="CY36" i="225"/>
  <c r="DI36" i="225" s="1"/>
  <c r="CW36" i="225"/>
  <c r="CS36" i="225"/>
  <c r="CO36" i="225"/>
  <c r="CG36" i="225"/>
  <c r="DB36" i="225" s="1"/>
  <c r="CD36" i="225"/>
  <c r="CJ36" i="225" s="1"/>
  <c r="CB36" i="225"/>
  <c r="BZ36" i="225"/>
  <c r="BX36" i="225"/>
  <c r="BV36" i="225"/>
  <c r="BC36" i="225"/>
  <c r="AX36" i="225"/>
  <c r="AY36" i="225" s="1"/>
  <c r="AV36" i="225"/>
  <c r="AW36" i="225" s="1"/>
  <c r="AQ36" i="225"/>
  <c r="AP36" i="225"/>
  <c r="AN36" i="225"/>
  <c r="AK36" i="225"/>
  <c r="AI36" i="225"/>
  <c r="AG36" i="225"/>
  <c r="AE36" i="225"/>
  <c r="CY35" i="225"/>
  <c r="EC35" i="225" s="1"/>
  <c r="CW35" i="225"/>
  <c r="CS35" i="225"/>
  <c r="CT35" i="225" s="1"/>
  <c r="CO35" i="225"/>
  <c r="CG35" i="225"/>
  <c r="DD35" i="225" s="1"/>
  <c r="CD35" i="225"/>
  <c r="CN35" i="225" s="1"/>
  <c r="CB35" i="225"/>
  <c r="BZ35" i="225"/>
  <c r="BY35" i="225"/>
  <c r="BX35" i="225"/>
  <c r="BV35" i="225"/>
  <c r="BE35" i="225"/>
  <c r="BK35" i="225" s="1"/>
  <c r="BC35" i="225"/>
  <c r="AX35" i="225"/>
  <c r="AY35" i="225" s="1"/>
  <c r="AV35" i="225"/>
  <c r="AW35" i="225" s="1"/>
  <c r="AT35" i="225"/>
  <c r="AU35" i="225" s="1"/>
  <c r="AR35" i="225"/>
  <c r="AP35" i="225"/>
  <c r="AN35" i="225"/>
  <c r="AK35" i="225"/>
  <c r="AI35" i="225"/>
  <c r="AG35" i="225"/>
  <c r="AE35" i="225"/>
  <c r="DM34" i="225"/>
  <c r="DL34" i="225"/>
  <c r="DJ34" i="225"/>
  <c r="CY34" i="225"/>
  <c r="DA34" i="225" s="1"/>
  <c r="DH34" i="225" s="1"/>
  <c r="CW34" i="225"/>
  <c r="CS34" i="225"/>
  <c r="CO34" i="225"/>
  <c r="CG34" i="225"/>
  <c r="DD34" i="225" s="1"/>
  <c r="CD34" i="225"/>
  <c r="CN34" i="225" s="1"/>
  <c r="CB34" i="225"/>
  <c r="BZ34" i="225"/>
  <c r="BX34" i="225"/>
  <c r="BY34" i="225" s="1"/>
  <c r="BV34" i="225"/>
  <c r="BC34" i="225"/>
  <c r="AX34" i="225"/>
  <c r="AY34" i="225" s="1"/>
  <c r="AV34" i="225"/>
  <c r="AW34" i="225" s="1"/>
  <c r="AQ34" i="225"/>
  <c r="DK34" i="225" s="1"/>
  <c r="AP34" i="225"/>
  <c r="AN34" i="225"/>
  <c r="AK34" i="225"/>
  <c r="AI34" i="225"/>
  <c r="AG34" i="225"/>
  <c r="AE34" i="225"/>
  <c r="DM33" i="225"/>
  <c r="DL33" i="225"/>
  <c r="DJ33" i="225"/>
  <c r="CY33" i="225"/>
  <c r="EC33" i="225" s="1"/>
  <c r="CW33" i="225"/>
  <c r="CS33" i="225"/>
  <c r="CO33" i="225"/>
  <c r="CG33" i="225"/>
  <c r="DD33" i="225" s="1"/>
  <c r="CD33" i="225"/>
  <c r="CJ33" i="225" s="1"/>
  <c r="CB33" i="225"/>
  <c r="BZ33" i="225"/>
  <c r="BX33" i="225"/>
  <c r="BY33" i="225" s="1"/>
  <c r="BV33" i="225"/>
  <c r="BC33" i="225"/>
  <c r="AX33" i="225"/>
  <c r="AY33" i="225" s="1"/>
  <c r="AV33" i="225"/>
  <c r="AW33" i="225" s="1"/>
  <c r="AQ33" i="225"/>
  <c r="AR33" i="225" s="1"/>
  <c r="AP33" i="225"/>
  <c r="AN33" i="225"/>
  <c r="AK33" i="225"/>
  <c r="AI33" i="225"/>
  <c r="AG33" i="225"/>
  <c r="AE33" i="225"/>
  <c r="DM32" i="225"/>
  <c r="DL32" i="225"/>
  <c r="DK32" i="225"/>
  <c r="DJ32" i="225"/>
  <c r="DA32" i="225"/>
  <c r="DH32" i="225" s="1"/>
  <c r="CY32" i="225"/>
  <c r="EC32" i="225" s="1"/>
  <c r="CW32" i="225"/>
  <c r="CS32" i="225"/>
  <c r="CT32" i="225" s="1"/>
  <c r="CO32" i="225"/>
  <c r="CJ32" i="225"/>
  <c r="CG32" i="225"/>
  <c r="DB32" i="225" s="1"/>
  <c r="CD32" i="225"/>
  <c r="CR32" i="225" s="1"/>
  <c r="CB32" i="225"/>
  <c r="BZ32" i="225"/>
  <c r="BX32" i="225"/>
  <c r="BY32" i="225" s="1"/>
  <c r="BV32" i="225"/>
  <c r="BC32" i="225"/>
  <c r="AX32" i="225"/>
  <c r="AY32" i="225" s="1"/>
  <c r="AV32" i="225"/>
  <c r="AW32" i="225" s="1"/>
  <c r="AT32" i="225"/>
  <c r="AU32" i="225" s="1"/>
  <c r="AR32" i="225"/>
  <c r="AP32" i="225"/>
  <c r="AN32" i="225"/>
  <c r="AK32" i="225"/>
  <c r="AI32" i="225"/>
  <c r="AG32" i="225"/>
  <c r="AE32" i="225"/>
  <c r="DM31" i="225"/>
  <c r="DL31" i="225"/>
  <c r="DK31" i="225"/>
  <c r="DJ31" i="225"/>
  <c r="CY31" i="225"/>
  <c r="DA31" i="225" s="1"/>
  <c r="DH31" i="225" s="1"/>
  <c r="CW31" i="225"/>
  <c r="CS31" i="225"/>
  <c r="CO31" i="225"/>
  <c r="CG31" i="225"/>
  <c r="DB31" i="225" s="1"/>
  <c r="CD31" i="225"/>
  <c r="CR31" i="225" s="1"/>
  <c r="CB31" i="225"/>
  <c r="BZ31" i="225"/>
  <c r="BX31" i="225"/>
  <c r="BY31" i="225" s="1"/>
  <c r="BV31" i="225"/>
  <c r="BC31" i="225"/>
  <c r="AX31" i="225"/>
  <c r="AY31" i="225" s="1"/>
  <c r="AV31" i="225"/>
  <c r="AW31" i="225" s="1"/>
  <c r="AT31" i="225"/>
  <c r="AU31" i="225" s="1"/>
  <c r="AR31" i="225"/>
  <c r="AP31" i="225"/>
  <c r="AN31" i="225"/>
  <c r="AK31" i="225"/>
  <c r="AI31" i="225"/>
  <c r="AG31" i="225"/>
  <c r="AE31" i="225"/>
  <c r="J31" i="225"/>
  <c r="K31" i="225" s="1"/>
  <c r="DM30" i="225"/>
  <c r="DL30" i="225"/>
  <c r="DK30" i="225"/>
  <c r="DJ30" i="225"/>
  <c r="CY30" i="225"/>
  <c r="DA30" i="225" s="1"/>
  <c r="DH30" i="225" s="1"/>
  <c r="CW30" i="225"/>
  <c r="CS30" i="225"/>
  <c r="CO30" i="225"/>
  <c r="CG30" i="225"/>
  <c r="CD30" i="225"/>
  <c r="CL30" i="225" s="1"/>
  <c r="CB30" i="225"/>
  <c r="BZ30" i="225"/>
  <c r="BX30" i="225"/>
  <c r="BY30" i="225" s="1"/>
  <c r="BV30" i="225"/>
  <c r="BC30" i="225"/>
  <c r="AX30" i="225"/>
  <c r="AY30" i="225" s="1"/>
  <c r="AV30" i="225"/>
  <c r="AW30" i="225" s="1"/>
  <c r="AT30" i="225"/>
  <c r="AU30" i="225" s="1"/>
  <c r="AR30" i="225"/>
  <c r="AP30" i="225"/>
  <c r="AN30" i="225"/>
  <c r="AK30" i="225"/>
  <c r="AI30" i="225"/>
  <c r="AG30" i="225"/>
  <c r="AE30" i="225"/>
  <c r="J30" i="225"/>
  <c r="K30" i="225" s="1"/>
  <c r="DM29" i="225"/>
  <c r="DL29" i="225"/>
  <c r="DJ29" i="225"/>
  <c r="CY29" i="225"/>
  <c r="CW29" i="225"/>
  <c r="CV29" i="225"/>
  <c r="CS29" i="225"/>
  <c r="CO29" i="225"/>
  <c r="CP29" i="225" s="1"/>
  <c r="CG29" i="225"/>
  <c r="DB29" i="225" s="1"/>
  <c r="CD29" i="225"/>
  <c r="CL29" i="225" s="1"/>
  <c r="CB29" i="225"/>
  <c r="BZ29" i="225"/>
  <c r="BX29" i="225"/>
  <c r="BY29" i="225" s="1"/>
  <c r="BV29" i="225"/>
  <c r="BC29" i="225"/>
  <c r="BD29" i="225" s="1"/>
  <c r="AX29" i="225"/>
  <c r="AY29" i="225" s="1"/>
  <c r="AV29" i="225"/>
  <c r="AW29" i="225" s="1"/>
  <c r="AQ29" i="225"/>
  <c r="DK29" i="225" s="1"/>
  <c r="AP29" i="225"/>
  <c r="AN29" i="225"/>
  <c r="AK29" i="225"/>
  <c r="AI29" i="225"/>
  <c r="AG29" i="225"/>
  <c r="AE29" i="225"/>
  <c r="DM28" i="225"/>
  <c r="DL28" i="225"/>
  <c r="DK28" i="225"/>
  <c r="DJ28" i="225"/>
  <c r="CY28" i="225"/>
  <c r="EC28" i="225" s="1"/>
  <c r="CW28" i="225"/>
  <c r="CS28" i="225"/>
  <c r="CO28" i="225"/>
  <c r="CP28" i="225" s="1"/>
  <c r="CG28" i="225"/>
  <c r="DB28" i="225" s="1"/>
  <c r="DC28" i="225" s="1"/>
  <c r="CD28" i="225"/>
  <c r="CV28" i="225" s="1"/>
  <c r="CB28" i="225"/>
  <c r="BZ28" i="225"/>
  <c r="BX28" i="225"/>
  <c r="BV28" i="225"/>
  <c r="BT28" i="225"/>
  <c r="BE28" i="225"/>
  <c r="BC28" i="225"/>
  <c r="BD28" i="225" s="1"/>
  <c r="AX28" i="225"/>
  <c r="AY28" i="225" s="1"/>
  <c r="AV28" i="225"/>
  <c r="AW28" i="225" s="1"/>
  <c r="AT28" i="225"/>
  <c r="AU28" i="225" s="1"/>
  <c r="AR28" i="225"/>
  <c r="AP28" i="225"/>
  <c r="AN28" i="225"/>
  <c r="AK28" i="225"/>
  <c r="AI28" i="225"/>
  <c r="AG28" i="225"/>
  <c r="AE28" i="225"/>
  <c r="CY27" i="225"/>
  <c r="DA27" i="225" s="1"/>
  <c r="DH27" i="225" s="1"/>
  <c r="CW27" i="225"/>
  <c r="CS27" i="225"/>
  <c r="CO27" i="225"/>
  <c r="CG27" i="225"/>
  <c r="DD27" i="225" s="1"/>
  <c r="CD27" i="225"/>
  <c r="CL27" i="225" s="1"/>
  <c r="CB27" i="225"/>
  <c r="BZ27" i="225"/>
  <c r="BX27" i="225"/>
  <c r="BY27" i="225" s="1"/>
  <c r="BV27" i="225"/>
  <c r="BC27" i="225"/>
  <c r="AY27" i="225"/>
  <c r="AX27" i="225"/>
  <c r="AV27" i="225"/>
  <c r="AW27" i="225" s="1"/>
  <c r="AT27" i="225"/>
  <c r="AU27" i="225" s="1"/>
  <c r="AR27" i="225"/>
  <c r="AP27" i="225"/>
  <c r="AN27" i="225"/>
  <c r="AK27" i="225"/>
  <c r="AI27" i="225"/>
  <c r="AG27" i="225"/>
  <c r="AE27" i="225"/>
  <c r="CY26" i="225"/>
  <c r="EC26" i="225" s="1"/>
  <c r="CW26" i="225"/>
  <c r="CS26" i="225"/>
  <c r="CO26" i="225"/>
  <c r="CG26" i="225"/>
  <c r="DD26" i="225" s="1"/>
  <c r="CD26" i="225"/>
  <c r="CB26" i="225"/>
  <c r="BZ26" i="225"/>
  <c r="BX26" i="225"/>
  <c r="BY26" i="225" s="1"/>
  <c r="BV26" i="225"/>
  <c r="BC26" i="225"/>
  <c r="AX26" i="225"/>
  <c r="AY26" i="225" s="1"/>
  <c r="AV26" i="225"/>
  <c r="AW26" i="225" s="1"/>
  <c r="AT26" i="225"/>
  <c r="AU26" i="225" s="1"/>
  <c r="AR26" i="225"/>
  <c r="AP26" i="225"/>
  <c r="AN26" i="225"/>
  <c r="AK26" i="225"/>
  <c r="AI26" i="225"/>
  <c r="AG26" i="225"/>
  <c r="AE26" i="225"/>
  <c r="CY25" i="225"/>
  <c r="CW25" i="225"/>
  <c r="CS25" i="225"/>
  <c r="CO25" i="225"/>
  <c r="CG25" i="225"/>
  <c r="DD25" i="225" s="1"/>
  <c r="CD25" i="225"/>
  <c r="CR25" i="225" s="1"/>
  <c r="CB25" i="225"/>
  <c r="BZ25" i="225"/>
  <c r="BX25" i="225"/>
  <c r="BY25" i="225" s="1"/>
  <c r="BV25" i="225"/>
  <c r="BC25" i="225"/>
  <c r="AX25" i="225"/>
  <c r="AY25" i="225" s="1"/>
  <c r="AV25" i="225"/>
  <c r="AW25" i="225" s="1"/>
  <c r="AT25" i="225"/>
  <c r="AU25" i="225" s="1"/>
  <c r="AR25" i="225"/>
  <c r="AP25" i="225"/>
  <c r="AN25" i="225"/>
  <c r="AK25" i="225"/>
  <c r="AI25" i="225"/>
  <c r="AG25" i="225"/>
  <c r="AE25" i="225"/>
  <c r="CY24" i="225"/>
  <c r="CW24" i="225"/>
  <c r="CS24" i="225"/>
  <c r="CO24" i="225"/>
  <c r="CG24" i="225"/>
  <c r="DD24" i="225" s="1"/>
  <c r="CD24" i="225"/>
  <c r="CJ24" i="225" s="1"/>
  <c r="CB24" i="225"/>
  <c r="BZ24" i="225"/>
  <c r="BX24" i="225"/>
  <c r="BV24" i="225"/>
  <c r="BC24" i="225"/>
  <c r="AX24" i="225"/>
  <c r="AY24" i="225" s="1"/>
  <c r="AV24" i="225"/>
  <c r="AW24" i="225" s="1"/>
  <c r="AQ24" i="225"/>
  <c r="AR24" i="225" s="1"/>
  <c r="AP24" i="225"/>
  <c r="AN24" i="225"/>
  <c r="AK24" i="225"/>
  <c r="AI24" i="225"/>
  <c r="AG24" i="225"/>
  <c r="AE24" i="225"/>
  <c r="DM23" i="225"/>
  <c r="DL23" i="225"/>
  <c r="DK23" i="225"/>
  <c r="DJ23" i="225"/>
  <c r="CY23" i="225"/>
  <c r="EC23" i="225" s="1"/>
  <c r="CW23" i="225"/>
  <c r="CS23" i="225"/>
  <c r="CO23" i="225"/>
  <c r="CG23" i="225"/>
  <c r="DB23" i="225" s="1"/>
  <c r="CD23" i="225"/>
  <c r="CL23" i="225" s="1"/>
  <c r="CB23" i="225"/>
  <c r="CC23" i="225" s="1"/>
  <c r="BZ23" i="225"/>
  <c r="CA23" i="225" s="1"/>
  <c r="BY23" i="225"/>
  <c r="BX23" i="225"/>
  <c r="BV23" i="225"/>
  <c r="BT23" i="225"/>
  <c r="BR23" i="225"/>
  <c r="BO23" i="225"/>
  <c r="BM23" i="225"/>
  <c r="BK23" i="225"/>
  <c r="BI23" i="225"/>
  <c r="BC23" i="225"/>
  <c r="AX23" i="225"/>
  <c r="AY23" i="225" s="1"/>
  <c r="AV23" i="225"/>
  <c r="AW23" i="225" s="1"/>
  <c r="AT23" i="225"/>
  <c r="AU23" i="225" s="1"/>
  <c r="AR23" i="225"/>
  <c r="AP23" i="225"/>
  <c r="AN23" i="225"/>
  <c r="AK23" i="225"/>
  <c r="AI23" i="225"/>
  <c r="AG23" i="225"/>
  <c r="AE23" i="225"/>
  <c r="DM22" i="225"/>
  <c r="DL22" i="225"/>
  <c r="DK22" i="225"/>
  <c r="DJ22" i="225"/>
  <c r="CY22" i="225"/>
  <c r="CW22" i="225"/>
  <c r="CS22" i="225"/>
  <c r="CO22" i="225"/>
  <c r="CG22" i="225"/>
  <c r="DD22" i="225" s="1"/>
  <c r="CD22" i="225"/>
  <c r="CJ22" i="225" s="1"/>
  <c r="CB22" i="225"/>
  <c r="BZ22" i="225"/>
  <c r="BX22" i="225"/>
  <c r="BV22" i="225"/>
  <c r="BC22" i="225"/>
  <c r="AX22" i="225"/>
  <c r="AY22" i="225" s="1"/>
  <c r="AV22" i="225"/>
  <c r="AW22" i="225" s="1"/>
  <c r="AT22" i="225"/>
  <c r="AU22" i="225" s="1"/>
  <c r="AR22" i="225"/>
  <c r="AP22" i="225"/>
  <c r="AN22" i="225"/>
  <c r="AK22" i="225"/>
  <c r="AI22" i="225"/>
  <c r="AG22" i="225"/>
  <c r="AE22" i="225"/>
  <c r="DM21" i="225"/>
  <c r="DL21" i="225"/>
  <c r="DK21" i="225"/>
  <c r="DJ21" i="225"/>
  <c r="CY21" i="225"/>
  <c r="CW21" i="225"/>
  <c r="CS21" i="225"/>
  <c r="CO21" i="225"/>
  <c r="CG21" i="225"/>
  <c r="DD21" i="225" s="1"/>
  <c r="CD21" i="225"/>
  <c r="CJ21" i="225" s="1"/>
  <c r="CB21" i="225"/>
  <c r="BZ21" i="225"/>
  <c r="BX21" i="225"/>
  <c r="BV21" i="225"/>
  <c r="BC21" i="225"/>
  <c r="AX21" i="225"/>
  <c r="AY21" i="225" s="1"/>
  <c r="AV21" i="225"/>
  <c r="AW21" i="225" s="1"/>
  <c r="AT21" i="225"/>
  <c r="AU21" i="225" s="1"/>
  <c r="AR21" i="225"/>
  <c r="AP21" i="225"/>
  <c r="AN21" i="225"/>
  <c r="AK21" i="225"/>
  <c r="AI21" i="225"/>
  <c r="AG21" i="225"/>
  <c r="AE21" i="225"/>
  <c r="DM20" i="225"/>
  <c r="DL20" i="225"/>
  <c r="DK20" i="225"/>
  <c r="DJ20" i="225"/>
  <c r="CY20" i="225"/>
  <c r="CW20" i="225"/>
  <c r="CX20" i="225" s="1"/>
  <c r="CV20" i="225"/>
  <c r="CS20" i="225"/>
  <c r="CO20" i="225"/>
  <c r="CG20" i="225"/>
  <c r="DD20" i="225" s="1"/>
  <c r="CD20" i="225"/>
  <c r="CJ20" i="225" s="1"/>
  <c r="CB20" i="225"/>
  <c r="BZ20" i="225"/>
  <c r="BX20" i="225"/>
  <c r="BV20" i="225"/>
  <c r="BC20" i="225"/>
  <c r="BD20" i="225" s="1"/>
  <c r="AX20" i="225"/>
  <c r="AY20" i="225" s="1"/>
  <c r="AV20" i="225"/>
  <c r="AW20" i="225" s="1"/>
  <c r="AT20" i="225"/>
  <c r="AU20" i="225" s="1"/>
  <c r="AR20" i="225"/>
  <c r="AP20" i="225"/>
  <c r="AN20" i="225"/>
  <c r="AK20" i="225"/>
  <c r="AI20" i="225"/>
  <c r="AG20" i="225"/>
  <c r="AE20" i="225"/>
  <c r="DM19" i="225"/>
  <c r="DL19" i="225"/>
  <c r="DJ19" i="225"/>
  <c r="CY19" i="225"/>
  <c r="CW19" i="225"/>
  <c r="CS19" i="225"/>
  <c r="CO19" i="225"/>
  <c r="CG19" i="225"/>
  <c r="DD19" i="225" s="1"/>
  <c r="CD19" i="225"/>
  <c r="CJ19" i="225" s="1"/>
  <c r="CB19" i="225"/>
  <c r="BZ19" i="225"/>
  <c r="BX19" i="225"/>
  <c r="BV19" i="225"/>
  <c r="BC19" i="225"/>
  <c r="AX19" i="225"/>
  <c r="AY19" i="225" s="1"/>
  <c r="AV19" i="225"/>
  <c r="AW19" i="225" s="1"/>
  <c r="AQ19" i="225"/>
  <c r="AR19" i="225" s="1"/>
  <c r="AP19" i="225"/>
  <c r="AN19" i="225"/>
  <c r="AK19" i="225"/>
  <c r="AI19" i="225"/>
  <c r="AG19" i="225"/>
  <c r="AE19" i="225"/>
  <c r="J19" i="225"/>
  <c r="DM18" i="225"/>
  <c r="DL18" i="225"/>
  <c r="DJ18" i="225"/>
  <c r="CY18" i="225"/>
  <c r="EC18" i="225" s="1"/>
  <c r="CW18" i="225"/>
  <c r="CS18" i="225"/>
  <c r="CO18" i="225"/>
  <c r="CG18" i="225"/>
  <c r="DD18" i="225" s="1"/>
  <c r="CD18" i="225"/>
  <c r="CL18" i="225" s="1"/>
  <c r="CB18" i="225"/>
  <c r="BZ18" i="225"/>
  <c r="BX18" i="225"/>
  <c r="BV18" i="225"/>
  <c r="BC18" i="225"/>
  <c r="AX18" i="225"/>
  <c r="AY18" i="225" s="1"/>
  <c r="AV18" i="225"/>
  <c r="AW18" i="225" s="1"/>
  <c r="AQ18" i="225"/>
  <c r="DK18" i="225" s="1"/>
  <c r="AP18" i="225"/>
  <c r="AN18" i="225"/>
  <c r="AK18" i="225"/>
  <c r="AI18" i="225"/>
  <c r="AG18" i="225"/>
  <c r="AE18" i="225"/>
  <c r="J18" i="225"/>
  <c r="H18" i="225"/>
  <c r="DM17" i="225"/>
  <c r="DL17" i="225"/>
  <c r="DK17" i="225"/>
  <c r="DJ17" i="225"/>
  <c r="CY17" i="225"/>
  <c r="EC17" i="225" s="1"/>
  <c r="CW17" i="225"/>
  <c r="CS17" i="225"/>
  <c r="CO17" i="225"/>
  <c r="CG17" i="225"/>
  <c r="DF17" i="225" s="1"/>
  <c r="CD17" i="225"/>
  <c r="CL17" i="225" s="1"/>
  <c r="CB17" i="225"/>
  <c r="BZ17" i="225"/>
  <c r="BX17" i="225"/>
  <c r="BY17" i="225" s="1"/>
  <c r="BV17" i="225"/>
  <c r="BC17" i="225"/>
  <c r="BD17" i="225" s="1"/>
  <c r="AX17" i="225"/>
  <c r="AY17" i="225" s="1"/>
  <c r="AV17" i="225"/>
  <c r="AW17" i="225" s="1"/>
  <c r="AT17" i="225"/>
  <c r="AU17" i="225" s="1"/>
  <c r="AR17" i="225"/>
  <c r="AP17" i="225"/>
  <c r="AN17" i="225"/>
  <c r="AK17" i="225"/>
  <c r="AI17" i="225"/>
  <c r="AG17" i="225"/>
  <c r="AE17" i="225"/>
  <c r="DM16" i="225"/>
  <c r="DL16" i="225"/>
  <c r="DK16" i="225"/>
  <c r="DJ16" i="225"/>
  <c r="CY16" i="225"/>
  <c r="DI16" i="225" s="1"/>
  <c r="CW16" i="225"/>
  <c r="CS16" i="225"/>
  <c r="CO16" i="225"/>
  <c r="CG16" i="225"/>
  <c r="DF16" i="225" s="1"/>
  <c r="CD16" i="225"/>
  <c r="CL16" i="225" s="1"/>
  <c r="CB16" i="225"/>
  <c r="BZ16" i="225"/>
  <c r="BX16" i="225"/>
  <c r="BY16" i="225" s="1"/>
  <c r="BV16" i="225"/>
  <c r="BC16" i="225"/>
  <c r="AX16" i="225"/>
  <c r="AY16" i="225" s="1"/>
  <c r="AV16" i="225"/>
  <c r="AW16" i="225" s="1"/>
  <c r="AT16" i="225"/>
  <c r="AU16" i="225" s="1"/>
  <c r="AR16" i="225"/>
  <c r="AP16" i="225"/>
  <c r="AN16" i="225"/>
  <c r="AK16" i="225"/>
  <c r="AI16" i="225"/>
  <c r="AG16" i="225"/>
  <c r="AE16" i="225"/>
  <c r="DM15" i="225"/>
  <c r="DL15" i="225"/>
  <c r="DK15" i="225"/>
  <c r="DJ15" i="225"/>
  <c r="CY15" i="225"/>
  <c r="DA15" i="225" s="1"/>
  <c r="DH15" i="225" s="1"/>
  <c r="CW15" i="225"/>
  <c r="CS15" i="225"/>
  <c r="CO15" i="225"/>
  <c r="CG15" i="225"/>
  <c r="CD15" i="225"/>
  <c r="CL15" i="225" s="1"/>
  <c r="CB15" i="225"/>
  <c r="BZ15" i="225"/>
  <c r="BX15" i="225"/>
  <c r="BY15" i="225" s="1"/>
  <c r="BV15" i="225"/>
  <c r="BC15" i="225"/>
  <c r="AX15" i="225"/>
  <c r="AY15" i="225" s="1"/>
  <c r="AV15" i="225"/>
  <c r="AW15" i="225" s="1"/>
  <c r="AT15" i="225"/>
  <c r="AU15" i="225" s="1"/>
  <c r="AR15" i="225"/>
  <c r="AP15" i="225"/>
  <c r="AN15" i="225"/>
  <c r="AK15" i="225"/>
  <c r="AI15" i="225"/>
  <c r="AG15" i="225"/>
  <c r="AE15" i="225"/>
  <c r="DM14" i="225"/>
  <c r="DL14" i="225"/>
  <c r="DK14" i="225"/>
  <c r="DJ14" i="225"/>
  <c r="CY14" i="225"/>
  <c r="EC14" i="225" s="1"/>
  <c r="CW14" i="225"/>
  <c r="CS14" i="225"/>
  <c r="CO14" i="225"/>
  <c r="CG14" i="225"/>
  <c r="CD14" i="225"/>
  <c r="CL14" i="225" s="1"/>
  <c r="CB14" i="225"/>
  <c r="BZ14" i="225"/>
  <c r="BX14" i="225"/>
  <c r="BY14" i="225" s="1"/>
  <c r="BV14" i="225"/>
  <c r="BC14" i="225"/>
  <c r="AX14" i="225"/>
  <c r="AY14" i="225" s="1"/>
  <c r="AV14" i="225"/>
  <c r="AW14" i="225" s="1"/>
  <c r="AT14" i="225"/>
  <c r="AU14" i="225" s="1"/>
  <c r="AR14" i="225"/>
  <c r="AP14" i="225"/>
  <c r="AN14" i="225"/>
  <c r="AK14" i="225"/>
  <c r="AI14" i="225"/>
  <c r="AG14" i="225"/>
  <c r="AE14" i="225"/>
  <c r="DM13" i="225"/>
  <c r="DL13" i="225"/>
  <c r="DK13" i="225"/>
  <c r="DJ13" i="225"/>
  <c r="CY13" i="225"/>
  <c r="DI13" i="225" s="1"/>
  <c r="CW13" i="225"/>
  <c r="CS13" i="225"/>
  <c r="CO13" i="225"/>
  <c r="CG13" i="225"/>
  <c r="DF13" i="225" s="1"/>
  <c r="CD13" i="225"/>
  <c r="CL13" i="225" s="1"/>
  <c r="CB13" i="225"/>
  <c r="BZ13" i="225"/>
  <c r="BX13" i="225"/>
  <c r="BY13" i="225" s="1"/>
  <c r="BV13" i="225"/>
  <c r="BC13" i="225"/>
  <c r="AX13" i="225"/>
  <c r="AY13" i="225" s="1"/>
  <c r="AV13" i="225"/>
  <c r="AW13" i="225" s="1"/>
  <c r="AT13" i="225"/>
  <c r="AU13" i="225" s="1"/>
  <c r="AR13" i="225"/>
  <c r="AP13" i="225"/>
  <c r="AN13" i="225"/>
  <c r="AK13" i="225"/>
  <c r="AI13" i="225"/>
  <c r="AG13" i="225"/>
  <c r="AE13" i="225"/>
  <c r="DM12" i="225"/>
  <c r="DL12" i="225"/>
  <c r="DK12" i="225"/>
  <c r="DJ12" i="225"/>
  <c r="CY12" i="225"/>
  <c r="DI12" i="225" s="1"/>
  <c r="CW12" i="225"/>
  <c r="CS12" i="225"/>
  <c r="CO12" i="225"/>
  <c r="CG12" i="225"/>
  <c r="DD12" i="225" s="1"/>
  <c r="CD12" i="225"/>
  <c r="CB12" i="225"/>
  <c r="BZ12" i="225"/>
  <c r="BX12" i="225"/>
  <c r="BY12" i="225" s="1"/>
  <c r="BV12" i="225"/>
  <c r="BC12" i="225"/>
  <c r="BD12" i="225" s="1"/>
  <c r="AX12" i="225"/>
  <c r="AY12" i="225" s="1"/>
  <c r="AV12" i="225"/>
  <c r="AW12" i="225" s="1"/>
  <c r="AT12" i="225"/>
  <c r="AU12" i="225" s="1"/>
  <c r="AR12" i="225"/>
  <c r="AP12" i="225"/>
  <c r="AN12" i="225"/>
  <c r="AK12" i="225"/>
  <c r="AI12" i="225"/>
  <c r="AG12" i="225"/>
  <c r="AE12" i="225"/>
  <c r="DM11" i="225"/>
  <c r="DL11" i="225"/>
  <c r="DK11" i="225"/>
  <c r="DJ11" i="225"/>
  <c r="CY11" i="225"/>
  <c r="DI11" i="225" s="1"/>
  <c r="CW11" i="225"/>
  <c r="CX11" i="225" s="1"/>
  <c r="CS11" i="225"/>
  <c r="CO11" i="225"/>
  <c r="CG11" i="225"/>
  <c r="DD11" i="225" s="1"/>
  <c r="CD11" i="225"/>
  <c r="CV11" i="225" s="1"/>
  <c r="CB11" i="225"/>
  <c r="BZ11" i="225"/>
  <c r="BX11" i="225"/>
  <c r="BV11" i="225"/>
  <c r="BC11" i="225"/>
  <c r="AX11" i="225"/>
  <c r="AY11" i="225" s="1"/>
  <c r="AV11" i="225"/>
  <c r="AW11" i="225" s="1"/>
  <c r="AT11" i="225"/>
  <c r="AU11" i="225" s="1"/>
  <c r="AR11" i="225"/>
  <c r="AP11" i="225"/>
  <c r="AN11" i="225"/>
  <c r="AI11" i="225"/>
  <c r="AG11" i="225"/>
  <c r="AE11" i="225"/>
  <c r="J11" i="225"/>
  <c r="K11" i="225" s="1"/>
  <c r="DM10" i="225"/>
  <c r="DL10" i="225"/>
  <c r="DK10" i="225"/>
  <c r="DJ10" i="225"/>
  <c r="CY10" i="225"/>
  <c r="DI10" i="225" s="1"/>
  <c r="CW10" i="225"/>
  <c r="CS10" i="225"/>
  <c r="CO10" i="225"/>
  <c r="CG10" i="225"/>
  <c r="DD10" i="225" s="1"/>
  <c r="CD10" i="225"/>
  <c r="CB10" i="225"/>
  <c r="BZ10" i="225"/>
  <c r="BX10" i="225"/>
  <c r="BY10" i="225" s="1"/>
  <c r="BV10" i="225"/>
  <c r="BE10" i="225"/>
  <c r="BK10" i="225" s="1"/>
  <c r="BC10" i="225"/>
  <c r="AX10" i="225"/>
  <c r="AY10" i="225" s="1"/>
  <c r="AV10" i="225"/>
  <c r="AW10" i="225" s="1"/>
  <c r="AT10" i="225"/>
  <c r="AU10" i="225" s="1"/>
  <c r="AR10" i="225"/>
  <c r="AP10" i="225"/>
  <c r="AN10" i="225"/>
  <c r="AI10" i="225"/>
  <c r="AG10" i="225"/>
  <c r="AE10" i="225"/>
  <c r="J10" i="225"/>
  <c r="K10" i="225" s="1"/>
  <c r="DM9" i="225"/>
  <c r="DL9" i="225"/>
  <c r="DK9" i="225"/>
  <c r="DJ9" i="225"/>
  <c r="CY9" i="225"/>
  <c r="CW9" i="225"/>
  <c r="CV9" i="225"/>
  <c r="CS9" i="225"/>
  <c r="CO9" i="225"/>
  <c r="CP9" i="225" s="1"/>
  <c r="CG9" i="225"/>
  <c r="DF9" i="225" s="1"/>
  <c r="DG9" i="225" s="1"/>
  <c r="CD9" i="225"/>
  <c r="CL9" i="225" s="1"/>
  <c r="CB9" i="225"/>
  <c r="BZ9" i="225"/>
  <c r="BX9" i="225"/>
  <c r="BY9" i="225" s="1"/>
  <c r="BV9" i="225"/>
  <c r="BC9" i="225"/>
  <c r="BD9" i="225" s="1"/>
  <c r="AX9" i="225"/>
  <c r="AY9" i="225" s="1"/>
  <c r="AV9" i="225"/>
  <c r="AW9" i="225" s="1"/>
  <c r="AT9" i="225"/>
  <c r="AU9" i="225" s="1"/>
  <c r="AR9" i="225"/>
  <c r="AP9" i="225"/>
  <c r="AN9" i="225"/>
  <c r="AI9" i="225"/>
  <c r="AG9" i="225"/>
  <c r="AE9" i="225"/>
  <c r="DM8" i="225"/>
  <c r="DL8" i="225"/>
  <c r="DK8" i="225"/>
  <c r="DJ8" i="225"/>
  <c r="CY8" i="225"/>
  <c r="EC8" i="225" s="1"/>
  <c r="CW8" i="225"/>
  <c r="CX8" i="225" s="1"/>
  <c r="CS8" i="225"/>
  <c r="CT8" i="225" s="1"/>
  <c r="CO8" i="225"/>
  <c r="CG8" i="225"/>
  <c r="DD8" i="225" s="1"/>
  <c r="CD8" i="225"/>
  <c r="CL8" i="225" s="1"/>
  <c r="CB8" i="225"/>
  <c r="BZ8" i="225"/>
  <c r="BX8" i="225"/>
  <c r="BY8" i="225" s="1"/>
  <c r="BV8" i="225"/>
  <c r="BE8" i="225"/>
  <c r="BK8" i="225" s="1"/>
  <c r="BC8" i="225"/>
  <c r="BD8" i="225" s="1"/>
  <c r="AX8" i="225"/>
  <c r="AY8" i="225" s="1"/>
  <c r="AV8" i="225"/>
  <c r="AW8" i="225" s="1"/>
  <c r="AT8" i="225"/>
  <c r="AU8" i="225" s="1"/>
  <c r="AR8" i="225"/>
  <c r="AP8" i="225"/>
  <c r="AN8" i="225"/>
  <c r="AK8" i="225"/>
  <c r="AI8" i="225"/>
  <c r="AG8" i="225"/>
  <c r="AE8" i="225"/>
  <c r="DM7" i="225"/>
  <c r="DL7" i="225"/>
  <c r="DK7" i="225"/>
  <c r="DJ7" i="225"/>
  <c r="CY7" i="225"/>
  <c r="EC7" i="225" s="1"/>
  <c r="CW7" i="225"/>
  <c r="CS7" i="225"/>
  <c r="CO7" i="225"/>
  <c r="CG7" i="225"/>
  <c r="CD7" i="225"/>
  <c r="CL7" i="225" s="1"/>
  <c r="CB7" i="225"/>
  <c r="BZ7" i="225"/>
  <c r="BX7" i="225"/>
  <c r="BY7" i="225" s="1"/>
  <c r="BV7" i="225"/>
  <c r="BC7" i="225"/>
  <c r="AX7" i="225"/>
  <c r="AY7" i="225" s="1"/>
  <c r="AV7" i="225"/>
  <c r="AW7" i="225" s="1"/>
  <c r="AT7" i="225"/>
  <c r="AU7" i="225" s="1"/>
  <c r="AR7" i="225"/>
  <c r="AP7" i="225"/>
  <c r="AN7" i="225"/>
  <c r="AK7" i="225"/>
  <c r="AI7" i="225"/>
  <c r="AG7" i="225"/>
  <c r="AE7" i="225"/>
  <c r="DM6" i="225"/>
  <c r="DL6" i="225"/>
  <c r="DJ6" i="225"/>
  <c r="CY6" i="225"/>
  <c r="DA6" i="225" s="1"/>
  <c r="DH6" i="225" s="1"/>
  <c r="CW6" i="225"/>
  <c r="CS6" i="225"/>
  <c r="CO6" i="225"/>
  <c r="CG6" i="225"/>
  <c r="DD6" i="225" s="1"/>
  <c r="CD6" i="225"/>
  <c r="CL6" i="225" s="1"/>
  <c r="CB6" i="225"/>
  <c r="BZ6" i="225"/>
  <c r="BX6" i="225"/>
  <c r="BY6" i="225" s="1"/>
  <c r="BV6" i="225"/>
  <c r="BC6" i="225"/>
  <c r="BD6" i="225" s="1"/>
  <c r="AX6" i="225"/>
  <c r="AY6" i="225" s="1"/>
  <c r="AV6" i="225"/>
  <c r="AW6" i="225" s="1"/>
  <c r="AQ6" i="225"/>
  <c r="DK6" i="225" s="1"/>
  <c r="AP6" i="225"/>
  <c r="AN6" i="225"/>
  <c r="AI6" i="225"/>
  <c r="AG6" i="225"/>
  <c r="AE6" i="225"/>
  <c r="DM5" i="225"/>
  <c r="DL5" i="225"/>
  <c r="DK5" i="225"/>
  <c r="DJ5" i="225"/>
  <c r="CY5" i="225"/>
  <c r="EC5" i="225" s="1"/>
  <c r="CW5" i="225"/>
  <c r="CX5" i="225" s="1"/>
  <c r="CS5" i="225"/>
  <c r="CO5" i="225"/>
  <c r="CG5" i="225"/>
  <c r="CD5" i="225"/>
  <c r="CL5" i="225" s="1"/>
  <c r="CB5" i="225"/>
  <c r="BZ5" i="225"/>
  <c r="BX5" i="225"/>
  <c r="BY5" i="225" s="1"/>
  <c r="BV5" i="225"/>
  <c r="BC5" i="225"/>
  <c r="BD5" i="225" s="1"/>
  <c r="AX5" i="225"/>
  <c r="AY5" i="225" s="1"/>
  <c r="AV5" i="225"/>
  <c r="AW5" i="225" s="1"/>
  <c r="AT5" i="225"/>
  <c r="AU5" i="225" s="1"/>
  <c r="AR5" i="225"/>
  <c r="AP5" i="225"/>
  <c r="AN5" i="225"/>
  <c r="AI5" i="225"/>
  <c r="AG5" i="225"/>
  <c r="AE5" i="225"/>
  <c r="CP18" i="225" l="1"/>
  <c r="DO37" i="225"/>
  <c r="CT52" i="225"/>
  <c r="CT60" i="225"/>
  <c r="BE5" i="225"/>
  <c r="BT5" i="225" s="1"/>
  <c r="BE6" i="225"/>
  <c r="BK6" i="225" s="1"/>
  <c r="DE35" i="225"/>
  <c r="CX36" i="225"/>
  <c r="CX60" i="225"/>
  <c r="CX14" i="225"/>
  <c r="CX18" i="225"/>
  <c r="CX23" i="225"/>
  <c r="CL35" i="225"/>
  <c r="BE41" i="225"/>
  <c r="BK41" i="225" s="1"/>
  <c r="DA42" i="225"/>
  <c r="DH42" i="225" s="1"/>
  <c r="CX49" i="225"/>
  <c r="CX51" i="225"/>
  <c r="DE58" i="225"/>
  <c r="BD79" i="225"/>
  <c r="DA26" i="225"/>
  <c r="DH26" i="225" s="1"/>
  <c r="AR41" i="225"/>
  <c r="AT65" i="225"/>
  <c r="AU65" i="225" s="1"/>
  <c r="CX65" i="225"/>
  <c r="CX67" i="225"/>
  <c r="BE74" i="225"/>
  <c r="BI74" i="225" s="1"/>
  <c r="BD14" i="225"/>
  <c r="BE34" i="225"/>
  <c r="BD35" i="225"/>
  <c r="CX41" i="225"/>
  <c r="CX54" i="225"/>
  <c r="CP41" i="225"/>
  <c r="DE47" i="225"/>
  <c r="DK51" i="225"/>
  <c r="BD58" i="225"/>
  <c r="CR58" i="225"/>
  <c r="CZ69" i="225"/>
  <c r="CP77" i="225"/>
  <c r="BD11" i="225"/>
  <c r="DE11" i="225"/>
  <c r="CN14" i="225"/>
  <c r="DB19" i="225"/>
  <c r="AT24" i="225"/>
  <c r="AU24" i="225" s="1"/>
  <c r="BD31" i="225"/>
  <c r="CJ41" i="225"/>
  <c r="DK41" i="225"/>
  <c r="CX44" i="225"/>
  <c r="BD55" i="225"/>
  <c r="CP58" i="225"/>
  <c r="BD64" i="225"/>
  <c r="CH71" i="225"/>
  <c r="DC72" i="225"/>
  <c r="CP73" i="225"/>
  <c r="CX75" i="225"/>
  <c r="BD77" i="225"/>
  <c r="CT5" i="225"/>
  <c r="CP21" i="225"/>
  <c r="CH55" i="225"/>
  <c r="BU56" i="225"/>
  <c r="BV56" i="225" s="1"/>
  <c r="BD62" i="225"/>
  <c r="EC12" i="225"/>
  <c r="DE21" i="225"/>
  <c r="CP24" i="225"/>
  <c r="DC36" i="225"/>
  <c r="BE43" i="225"/>
  <c r="BT43" i="225" s="1"/>
  <c r="AR50" i="225"/>
  <c r="BD56" i="225"/>
  <c r="CP69" i="225"/>
  <c r="AT71" i="225"/>
  <c r="AU71" i="225" s="1"/>
  <c r="DA80" i="225"/>
  <c r="DH80" i="225" s="1"/>
  <c r="CX55" i="225"/>
  <c r="DF62" i="225"/>
  <c r="BM6" i="225"/>
  <c r="DE6" i="225"/>
  <c r="CN9" i="225"/>
  <c r="CZ9" i="225"/>
  <c r="CT10" i="225"/>
  <c r="DA11" i="225"/>
  <c r="DH11" i="225" s="1"/>
  <c r="CT17" i="225"/>
  <c r="CP20" i="225"/>
  <c r="DB21" i="225"/>
  <c r="CX27" i="225"/>
  <c r="CX28" i="225"/>
  <c r="CR30" i="225"/>
  <c r="BE33" i="225"/>
  <c r="BM33" i="225" s="1"/>
  <c r="CV34" i="225"/>
  <c r="BE36" i="225"/>
  <c r="BI36" i="225" s="1"/>
  <c r="CL38" i="225"/>
  <c r="CT42" i="225"/>
  <c r="AT44" i="225"/>
  <c r="AU44" i="225" s="1"/>
  <c r="CT46" i="225"/>
  <c r="BD50" i="225"/>
  <c r="CN50" i="225"/>
  <c r="BD53" i="225"/>
  <c r="CX58" i="225"/>
  <c r="AR63" i="225"/>
  <c r="CJ63" i="225"/>
  <c r="BD67" i="225"/>
  <c r="BD68" i="225"/>
  <c r="DO69" i="225"/>
  <c r="CJ69" i="225"/>
  <c r="CT72" i="225"/>
  <c r="BD74" i="225"/>
  <c r="CZ75" i="225"/>
  <c r="CX79" i="225"/>
  <c r="CX81" i="225"/>
  <c r="CV18" i="225"/>
  <c r="DF43" i="225"/>
  <c r="DG43" i="225" s="1"/>
  <c r="CJ9" i="225"/>
  <c r="CX9" i="225"/>
  <c r="CP10" i="225"/>
  <c r="EC11" i="225"/>
  <c r="DA13" i="225"/>
  <c r="DH13" i="225" s="1"/>
  <c r="AR18" i="225"/>
  <c r="DF18" i="225"/>
  <c r="DG18" i="225" s="1"/>
  <c r="AT19" i="225"/>
  <c r="AU19" i="225" s="1"/>
  <c r="CR19" i="225"/>
  <c r="DE20" i="225"/>
  <c r="CT28" i="225"/>
  <c r="DI30" i="225"/>
  <c r="CJ31" i="225"/>
  <c r="DA33" i="225"/>
  <c r="DH33" i="225" s="1"/>
  <c r="CP44" i="225"/>
  <c r="CP51" i="225"/>
  <c r="BD52" i="225"/>
  <c r="CZ54" i="225"/>
  <c r="CP55" i="225"/>
  <c r="AR58" i="225"/>
  <c r="AR60" i="225"/>
  <c r="DF60" i="225"/>
  <c r="DG60" i="225" s="1"/>
  <c r="DA61" i="225"/>
  <c r="DH61" i="225" s="1"/>
  <c r="CT64" i="225"/>
  <c r="CP67" i="225"/>
  <c r="BD69" i="225"/>
  <c r="CH69" i="225"/>
  <c r="BE71" i="225"/>
  <c r="BV71" i="225" s="1"/>
  <c r="CP72" i="225"/>
  <c r="AR78" i="225"/>
  <c r="AR79" i="225"/>
  <c r="CP27" i="225"/>
  <c r="CN30" i="225"/>
  <c r="DF31" i="225"/>
  <c r="DG31" i="225" s="1"/>
  <c r="BD57" i="225"/>
  <c r="CR64" i="225"/>
  <c r="CN74" i="225"/>
  <c r="CX6" i="225"/>
  <c r="CX7" i="225"/>
  <c r="DI17" i="225"/>
  <c r="CN18" i="225"/>
  <c r="CH19" i="225"/>
  <c r="CJ27" i="225"/>
  <c r="CJ30" i="225"/>
  <c r="CX30" i="225"/>
  <c r="DF32" i="225"/>
  <c r="DG32" i="225" s="1"/>
  <c r="CL34" i="225"/>
  <c r="BD40" i="225"/>
  <c r="CJ40" i="225"/>
  <c r="CZ53" i="225"/>
  <c r="CP57" i="225"/>
  <c r="CX61" i="225"/>
  <c r="CZ62" i="225"/>
  <c r="CV63" i="225"/>
  <c r="CH74" i="225"/>
  <c r="DF76" i="225"/>
  <c r="DG76" i="225" s="1"/>
  <c r="CT6" i="225"/>
  <c r="DA8" i="225"/>
  <c r="DH8" i="225" s="1"/>
  <c r="CT16" i="225"/>
  <c r="BD18" i="225"/>
  <c r="DE18" i="225"/>
  <c r="DF27" i="225"/>
  <c r="DG27" i="225" s="1"/>
  <c r="DA28" i="225"/>
  <c r="DH28" i="225" s="1"/>
  <c r="AR29" i="225"/>
  <c r="BD30" i="225"/>
  <c r="CV30" i="225"/>
  <c r="DD32" i="225"/>
  <c r="BD39" i="225"/>
  <c r="DF40" i="225"/>
  <c r="DG40" i="225" s="1"/>
  <c r="CH43" i="225"/>
  <c r="AR52" i="225"/>
  <c r="BE64" i="225"/>
  <c r="BT64" i="225" s="1"/>
  <c r="DA64" i="225"/>
  <c r="DH64" i="225" s="1"/>
  <c r="AT68" i="225"/>
  <c r="AU68" i="225" s="1"/>
  <c r="CV68" i="225"/>
  <c r="BT74" i="225"/>
  <c r="DE74" i="225"/>
  <c r="BE80" i="225"/>
  <c r="BM80" i="225" s="1"/>
  <c r="CZ81" i="225"/>
  <c r="EC70" i="225"/>
  <c r="CT80" i="225"/>
  <c r="CP5" i="225"/>
  <c r="CA6" i="225"/>
  <c r="CT7" i="225"/>
  <c r="CA8" i="225"/>
  <c r="CT9" i="225"/>
  <c r="CH10" i="225"/>
  <c r="CN11" i="225"/>
  <c r="DA17" i="225"/>
  <c r="DH17" i="225" s="1"/>
  <c r="CP19" i="225"/>
  <c r="BD23" i="225"/>
  <c r="CV23" i="225"/>
  <c r="BD24" i="225"/>
  <c r="DE24" i="225"/>
  <c r="CN27" i="225"/>
  <c r="CA28" i="225"/>
  <c r="CR28" i="225"/>
  <c r="DO31" i="225"/>
  <c r="DC31" i="225"/>
  <c r="DO32" i="225"/>
  <c r="BD33" i="225"/>
  <c r="AR34" i="225"/>
  <c r="CH35" i="225"/>
  <c r="K38" i="225"/>
  <c r="DF38" i="225"/>
  <c r="DG38" i="225" s="1"/>
  <c r="DA40" i="225"/>
  <c r="DH40" i="225" s="1"/>
  <c r="CR42" i="225"/>
  <c r="BK43" i="225"/>
  <c r="DE43" i="225"/>
  <c r="DC44" i="225"/>
  <c r="AT51" i="225"/>
  <c r="AU51" i="225" s="1"/>
  <c r="CX53" i="225"/>
  <c r="BD54" i="225"/>
  <c r="DF55" i="225"/>
  <c r="AT56" i="225"/>
  <c r="AU56" i="225" s="1"/>
  <c r="CL56" i="225"/>
  <c r="DE57" i="225"/>
  <c r="CP60" i="225"/>
  <c r="DB60" i="225"/>
  <c r="BX60" i="225" s="1"/>
  <c r="BU62" i="225"/>
  <c r="BV62" i="225" s="1"/>
  <c r="CL64" i="225"/>
  <c r="CH67" i="225"/>
  <c r="DC69" i="225"/>
  <c r="CX69" i="225"/>
  <c r="CX74" i="225"/>
  <c r="CT75" i="225"/>
  <c r="CX78" i="225"/>
  <c r="AR80" i="225"/>
  <c r="BD80" i="225"/>
  <c r="CT81" i="225"/>
  <c r="CA33" i="225"/>
  <c r="CP42" i="225"/>
  <c r="CZ42" i="225"/>
  <c r="CX43" i="225"/>
  <c r="AT46" i="225"/>
  <c r="AU46" i="225" s="1"/>
  <c r="CL46" i="225"/>
  <c r="CT47" i="225"/>
  <c r="AT48" i="225"/>
  <c r="AU48" i="225" s="1"/>
  <c r="AT49" i="225"/>
  <c r="AU49" i="225" s="1"/>
  <c r="CR49" i="225"/>
  <c r="CX50" i="225"/>
  <c r="AR51" i="225"/>
  <c r="DI52" i="225"/>
  <c r="AR53" i="225"/>
  <c r="DI54" i="225"/>
  <c r="CZ56" i="225"/>
  <c r="CN60" i="225"/>
  <c r="CZ60" i="225"/>
  <c r="CT61" i="225"/>
  <c r="CX64" i="225"/>
  <c r="DF68" i="225"/>
  <c r="DG68" i="225" s="1"/>
  <c r="CT69" i="225"/>
  <c r="CT74" i="225"/>
  <c r="CP75" i="225"/>
  <c r="DF75" i="225"/>
  <c r="CJ76" i="225"/>
  <c r="CT78" i="225"/>
  <c r="CP80" i="225"/>
  <c r="AT81" i="225"/>
  <c r="AU81" i="225" s="1"/>
  <c r="CP81" i="225"/>
  <c r="DF81" i="225"/>
  <c r="DB41" i="225"/>
  <c r="DC41" i="225" s="1"/>
  <c r="DE42" i="225"/>
  <c r="DF12" i="225"/>
  <c r="DG12" i="225" s="1"/>
  <c r="CP15" i="225"/>
  <c r="BK5" i="225"/>
  <c r="CP6" i="225"/>
  <c r="CP8" i="225"/>
  <c r="DA12" i="225"/>
  <c r="DH12" i="225" s="1"/>
  <c r="EC13" i="225"/>
  <c r="CZ15" i="225"/>
  <c r="DA16" i="225"/>
  <c r="DH16" i="225" s="1"/>
  <c r="EC16" i="225"/>
  <c r="AT18" i="225"/>
  <c r="AU18" i="225" s="1"/>
  <c r="CJ18" i="225"/>
  <c r="BD19" i="225"/>
  <c r="DE19" i="225"/>
  <c r="CR20" i="225"/>
  <c r="CP22" i="225"/>
  <c r="CP23" i="225"/>
  <c r="CZ25" i="225"/>
  <c r="BD27" i="225"/>
  <c r="DE27" i="225"/>
  <c r="CV27" i="225"/>
  <c r="CH28" i="225"/>
  <c r="CZ29" i="225"/>
  <c r="BE30" i="225"/>
  <c r="BK30" i="225" s="1"/>
  <c r="CP30" i="225"/>
  <c r="CZ30" i="225"/>
  <c r="CX31" i="225"/>
  <c r="CT33" i="225"/>
  <c r="BR35" i="225"/>
  <c r="BD36" i="225"/>
  <c r="CC36" i="225"/>
  <c r="CT36" i="225"/>
  <c r="EC37" i="225"/>
  <c r="CP39" i="225"/>
  <c r="DK39" i="225"/>
  <c r="AT40" i="225"/>
  <c r="AU40" i="225" s="1"/>
  <c r="CX40" i="225"/>
  <c r="CT41" i="225"/>
  <c r="CN42" i="225"/>
  <c r="BD43" i="225"/>
  <c r="CC43" i="225"/>
  <c r="CP49" i="225"/>
  <c r="BD51" i="225"/>
  <c r="CL52" i="225"/>
  <c r="CJ60" i="225"/>
  <c r="CP61" i="225"/>
  <c r="DC65" i="225"/>
  <c r="CJ68" i="225"/>
  <c r="DB68" i="225"/>
  <c r="EE68" i="225" s="1"/>
  <c r="CN71" i="225"/>
  <c r="CZ72" i="225"/>
  <c r="AT73" i="225"/>
  <c r="AU73" i="225" s="1"/>
  <c r="CC74" i="225"/>
  <c r="CR74" i="225"/>
  <c r="CJ75" i="225"/>
  <c r="DA75" i="225"/>
  <c r="DH75" i="225" s="1"/>
  <c r="DC77" i="225"/>
  <c r="CP78" i="225"/>
  <c r="DF78" i="225"/>
  <c r="AT79" i="225"/>
  <c r="AU79" i="225" s="1"/>
  <c r="CJ79" i="225"/>
  <c r="DF79" i="225"/>
  <c r="DG79" i="225" s="1"/>
  <c r="CJ81" i="225"/>
  <c r="DA81" i="225"/>
  <c r="DH81" i="225" s="1"/>
  <c r="BD13" i="225"/>
  <c r="CN13" i="225"/>
  <c r="DI14" i="225"/>
  <c r="CJ15" i="225"/>
  <c r="EC15" i="225"/>
  <c r="DF22" i="225"/>
  <c r="CN23" i="225"/>
  <c r="CT27" i="225"/>
  <c r="CT31" i="225"/>
  <c r="CR36" i="225"/>
  <c r="CT37" i="225"/>
  <c r="CJ42" i="225"/>
  <c r="CX42" i="225"/>
  <c r="CP43" i="225"/>
  <c r="DF53" i="225"/>
  <c r="DG53" i="225" s="1"/>
  <c r="DF58" i="225"/>
  <c r="DG58" i="225" s="1"/>
  <c r="BD60" i="225"/>
  <c r="CH60" i="225"/>
  <c r="DA65" i="225"/>
  <c r="DH65" i="225" s="1"/>
  <c r="AT72" i="225"/>
  <c r="AU72" i="225" s="1"/>
  <c r="DA74" i="225"/>
  <c r="DH74" i="225" s="1"/>
  <c r="CX76" i="225"/>
  <c r="CJ78" i="225"/>
  <c r="DA78" i="225"/>
  <c r="DH78" i="225" s="1"/>
  <c r="CL80" i="225"/>
  <c r="CX80" i="225"/>
  <c r="CX13" i="225"/>
  <c r="CV15" i="225"/>
  <c r="CA5" i="225"/>
  <c r="DA14" i="225"/>
  <c r="DH14" i="225" s="1"/>
  <c r="BD15" i="225"/>
  <c r="CH15" i="225"/>
  <c r="CX15" i="225"/>
  <c r="CT18" i="225"/>
  <c r="CH20" i="225"/>
  <c r="DO21" i="225"/>
  <c r="DB22" i="225"/>
  <c r="DO22" i="225" s="1"/>
  <c r="DC23" i="225"/>
  <c r="CR24" i="225"/>
  <c r="BK33" i="225"/>
  <c r="CZ36" i="225"/>
  <c r="DD39" i="225"/>
  <c r="DI40" i="225"/>
  <c r="BE42" i="225"/>
  <c r="BI42" i="225" s="1"/>
  <c r="CH42" i="225"/>
  <c r="DF42" i="225"/>
  <c r="DG42" i="225" s="1"/>
  <c r="CL43" i="225"/>
  <c r="CT44" i="225"/>
  <c r="CH58" i="225"/>
  <c r="DE60" i="225"/>
  <c r="CV60" i="225"/>
  <c r="DF63" i="225"/>
  <c r="DG63" i="225" s="1"/>
  <c r="DA70" i="225"/>
  <c r="DH70" i="225" s="1"/>
  <c r="AR72" i="225"/>
  <c r="CZ74" i="225"/>
  <c r="CX77" i="225"/>
  <c r="CZ78" i="225"/>
  <c r="DE80" i="225"/>
  <c r="BD16" i="225"/>
  <c r="BO5" i="225"/>
  <c r="EC6" i="225"/>
  <c r="BE7" i="225"/>
  <c r="BI7" i="225" s="1"/>
  <c r="CP7" i="225"/>
  <c r="BM8" i="225"/>
  <c r="DE8" i="225"/>
  <c r="BD10" i="225"/>
  <c r="CC10" i="225"/>
  <c r="CP12" i="225"/>
  <c r="CJ13" i="225"/>
  <c r="DG13" i="225"/>
  <c r="CJ14" i="225"/>
  <c r="CP16" i="225"/>
  <c r="CZ16" i="225"/>
  <c r="CP17" i="225"/>
  <c r="CZ17" i="225"/>
  <c r="DF19" i="225"/>
  <c r="DG19" i="225" s="1"/>
  <c r="CH21" i="225"/>
  <c r="CH22" i="225"/>
  <c r="CT23" i="225"/>
  <c r="DA23" i="225"/>
  <c r="DH23" i="225" s="1"/>
  <c r="CX24" i="225"/>
  <c r="CX25" i="225"/>
  <c r="EC25" i="225"/>
  <c r="CN29" i="225"/>
  <c r="CX29" i="225"/>
  <c r="DI29" i="225"/>
  <c r="DI32" i="225"/>
  <c r="CJ34" i="225"/>
  <c r="CT34" i="225"/>
  <c r="DB34" i="225"/>
  <c r="DO34" i="225" s="1"/>
  <c r="BM35" i="225"/>
  <c r="CA35" i="225"/>
  <c r="DB35" i="225"/>
  <c r="DA37" i="225"/>
  <c r="DH37" i="225" s="1"/>
  <c r="CH38" i="225"/>
  <c r="CZ38" i="225"/>
  <c r="BE40" i="225"/>
  <c r="CH40" i="225"/>
  <c r="CT40" i="225"/>
  <c r="DE40" i="225"/>
  <c r="BD41" i="225"/>
  <c r="CH41" i="225"/>
  <c r="CR41" i="225"/>
  <c r="BR43" i="225"/>
  <c r="CN44" i="225"/>
  <c r="AT45" i="225"/>
  <c r="AU45" i="225" s="1"/>
  <c r="CJ46" i="225"/>
  <c r="CZ46" i="225"/>
  <c r="BD47" i="225"/>
  <c r="CL47" i="225"/>
  <c r="BD49" i="225"/>
  <c r="CZ49" i="225"/>
  <c r="CJ50" i="225"/>
  <c r="CV50" i="225"/>
  <c r="CT51" i="225"/>
  <c r="CJ52" i="225"/>
  <c r="DK53" i="225"/>
  <c r="AT55" i="225"/>
  <c r="AU55" i="225" s="1"/>
  <c r="CJ56" i="225"/>
  <c r="CX57" i="225"/>
  <c r="CN58" i="225"/>
  <c r="CR59" i="225"/>
  <c r="DF59" i="225"/>
  <c r="CR60" i="225"/>
  <c r="BD61" i="225"/>
  <c r="CL61" i="225"/>
  <c r="CX62" i="225"/>
  <c r="CH63" i="225"/>
  <c r="CT63" i="225"/>
  <c r="DB63" i="225"/>
  <c r="DC63" i="225" s="1"/>
  <c r="CP64" i="225"/>
  <c r="BE65" i="225"/>
  <c r="BO65" i="225" s="1"/>
  <c r="CL65" i="225"/>
  <c r="CZ65" i="225"/>
  <c r="CH68" i="225"/>
  <c r="CT68" i="225"/>
  <c r="BD71" i="225"/>
  <c r="CL71" i="225"/>
  <c r="CX71" i="225"/>
  <c r="DO72" i="225"/>
  <c r="CJ72" i="225"/>
  <c r="CX72" i="225"/>
  <c r="CR73" i="225"/>
  <c r="CL74" i="225"/>
  <c r="CV74" i="225"/>
  <c r="DF74" i="225"/>
  <c r="DG74" i="225" s="1"/>
  <c r="CH75" i="225"/>
  <c r="CR75" i="225"/>
  <c r="CH76" i="225"/>
  <c r="BE78" i="225"/>
  <c r="CC78" i="225" s="1"/>
  <c r="CH78" i="225"/>
  <c r="CR78" i="225"/>
  <c r="CH79" i="225"/>
  <c r="CJ80" i="225"/>
  <c r="CZ80" i="225"/>
  <c r="CH81" i="225"/>
  <c r="CR81" i="225"/>
  <c r="CP53" i="225"/>
  <c r="BM5" i="225"/>
  <c r="CC5" i="225"/>
  <c r="BD7" i="225"/>
  <c r="CZ7" i="225"/>
  <c r="DE10" i="225"/>
  <c r="CH13" i="225"/>
  <c r="CV13" i="225"/>
  <c r="DD13" i="225"/>
  <c r="DE13" i="225" s="1"/>
  <c r="CH14" i="225"/>
  <c r="CV14" i="225"/>
  <c r="CN15" i="225"/>
  <c r="DI15" i="225"/>
  <c r="BY18" i="225"/>
  <c r="DO19" i="225"/>
  <c r="DB20" i="225"/>
  <c r="DC20" i="225" s="1"/>
  <c r="BD21" i="225"/>
  <c r="BD22" i="225"/>
  <c r="DE22" i="225"/>
  <c r="CZ23" i="225"/>
  <c r="CN25" i="225"/>
  <c r="BD26" i="225"/>
  <c r="DE26" i="225"/>
  <c r="DF26" i="225"/>
  <c r="DG26" i="225" s="1"/>
  <c r="EC27" i="225"/>
  <c r="CJ29" i="225"/>
  <c r="DI31" i="225"/>
  <c r="CX32" i="225"/>
  <c r="CC33" i="225"/>
  <c r="AT34" i="225"/>
  <c r="AU34" i="225" s="1"/>
  <c r="DE34" i="225"/>
  <c r="CR34" i="225"/>
  <c r="CZ34" i="225"/>
  <c r="DA35" i="225"/>
  <c r="DH35" i="225" s="1"/>
  <c r="BO36" i="225"/>
  <c r="CR37" i="225"/>
  <c r="CZ37" i="225"/>
  <c r="DE38" i="225"/>
  <c r="AT39" i="225"/>
  <c r="AU39" i="225" s="1"/>
  <c r="DF39" i="225"/>
  <c r="DG39" i="225" s="1"/>
  <c r="DB40" i="225"/>
  <c r="DC40" i="225" s="1"/>
  <c r="DG41" i="225"/>
  <c r="BO43" i="225"/>
  <c r="CT43" i="225"/>
  <c r="CJ44" i="225"/>
  <c r="CV44" i="225"/>
  <c r="DF44" i="225"/>
  <c r="DG44" i="225" s="1"/>
  <c r="CH46" i="225"/>
  <c r="CR46" i="225"/>
  <c r="CZ47" i="225"/>
  <c r="CN48" i="225"/>
  <c r="CV48" i="225"/>
  <c r="CT50" i="225"/>
  <c r="DK52" i="225"/>
  <c r="CR52" i="225"/>
  <c r="CZ52" i="225"/>
  <c r="CN53" i="225"/>
  <c r="CT54" i="225"/>
  <c r="CR56" i="225"/>
  <c r="CJ58" i="225"/>
  <c r="CV58" i="225"/>
  <c r="AT59" i="225"/>
  <c r="AU59" i="225" s="1"/>
  <c r="CP59" i="225"/>
  <c r="DB59" i="225"/>
  <c r="DC59" i="225" s="1"/>
  <c r="CT62" i="225"/>
  <c r="EC62" i="225"/>
  <c r="AT63" i="225"/>
  <c r="AU63" i="225" s="1"/>
  <c r="DE63" i="225"/>
  <c r="CR63" i="225"/>
  <c r="CZ63" i="225"/>
  <c r="BD65" i="225"/>
  <c r="DO65" i="225"/>
  <c r="CH65" i="225"/>
  <c r="CD66" i="225"/>
  <c r="CX66" i="225" s="1"/>
  <c r="BE68" i="225"/>
  <c r="CC68" i="225" s="1"/>
  <c r="DE68" i="225"/>
  <c r="DA68" i="225"/>
  <c r="DH68" i="225" s="1"/>
  <c r="CR69" i="225"/>
  <c r="DF69" i="225"/>
  <c r="DG69" i="225" s="1"/>
  <c r="CJ71" i="225"/>
  <c r="CV71" i="225"/>
  <c r="DF71" i="225"/>
  <c r="DG71" i="225" s="1"/>
  <c r="BD72" i="225"/>
  <c r="CH72" i="225"/>
  <c r="DB74" i="225"/>
  <c r="DC74" i="225" s="1"/>
  <c r="DE75" i="225"/>
  <c r="DE76" i="225"/>
  <c r="CT76" i="225"/>
  <c r="CH77" i="225"/>
  <c r="BD78" i="225"/>
  <c r="DE78" i="225"/>
  <c r="DE79" i="225"/>
  <c r="CT79" i="225"/>
  <c r="CH80" i="225"/>
  <c r="CR80" i="225"/>
  <c r="BE81" i="225"/>
  <c r="CA81" i="225" s="1"/>
  <c r="DE81" i="225"/>
  <c r="DC37" i="225"/>
  <c r="CP48" i="225"/>
  <c r="EC49" i="225"/>
  <c r="DK69" i="225"/>
  <c r="CX70" i="225"/>
  <c r="CT73" i="225"/>
  <c r="CL10" i="225"/>
  <c r="CZ10" i="225"/>
  <c r="CT13" i="225"/>
  <c r="CT14" i="225"/>
  <c r="CN16" i="225"/>
  <c r="CX16" i="225"/>
  <c r="CN17" i="225"/>
  <c r="CX17" i="225"/>
  <c r="CX21" i="225"/>
  <c r="CX22" i="225"/>
  <c r="DF24" i="225"/>
  <c r="CL25" i="225"/>
  <c r="CV25" i="225"/>
  <c r="DE25" i="225"/>
  <c r="DF29" i="225"/>
  <c r="DG29" i="225" s="1"/>
  <c r="EC29" i="225"/>
  <c r="EC31" i="225"/>
  <c r="CP34" i="225"/>
  <c r="BE37" i="225"/>
  <c r="CC37" i="225" s="1"/>
  <c r="CP37" i="225"/>
  <c r="CV38" i="225"/>
  <c r="CR40" i="225"/>
  <c r="BT41" i="225"/>
  <c r="DI43" i="225"/>
  <c r="DD44" i="225"/>
  <c r="DE44" i="225" s="1"/>
  <c r="BD45" i="225"/>
  <c r="CP46" i="225"/>
  <c r="CX46" i="225"/>
  <c r="CX47" i="225"/>
  <c r="CL48" i="225"/>
  <c r="CT48" i="225"/>
  <c r="CN49" i="225"/>
  <c r="DK49" i="225"/>
  <c r="CR50" i="225"/>
  <c r="CZ50" i="225"/>
  <c r="CP52" i="225"/>
  <c r="CX52" i="225"/>
  <c r="CJ53" i="225"/>
  <c r="CV53" i="225"/>
  <c r="DI53" i="225"/>
  <c r="CP54" i="225"/>
  <c r="EC54" i="225"/>
  <c r="CP56" i="225"/>
  <c r="CX56" i="225"/>
  <c r="BU57" i="225"/>
  <c r="DI57" i="225" s="1"/>
  <c r="CN59" i="225"/>
  <c r="CP62" i="225"/>
  <c r="DG62" i="225"/>
  <c r="CP63" i="225"/>
  <c r="CP68" i="225"/>
  <c r="CZ68" i="225"/>
  <c r="CP70" i="225"/>
  <c r="BT71" i="225"/>
  <c r="DB71" i="225"/>
  <c r="DO71" i="225" s="1"/>
  <c r="DG75" i="225"/>
  <c r="CR76" i="225"/>
  <c r="DG78" i="225"/>
  <c r="CR79" i="225"/>
  <c r="DF23" i="225"/>
  <c r="DG23" i="225" s="1"/>
  <c r="BD25" i="225"/>
  <c r="DO41" i="225"/>
  <c r="CT45" i="225"/>
  <c r="CX10" i="225"/>
  <c r="CP13" i="225"/>
  <c r="CZ13" i="225"/>
  <c r="CP14" i="225"/>
  <c r="CZ14" i="225"/>
  <c r="DF15" i="225"/>
  <c r="DG15" i="225" s="1"/>
  <c r="CJ16" i="225"/>
  <c r="DG16" i="225"/>
  <c r="CJ17" i="225"/>
  <c r="DB18" i="225"/>
  <c r="DC18" i="225" s="1"/>
  <c r="DI23" i="225"/>
  <c r="CJ25" i="225"/>
  <c r="CT25" i="225"/>
  <c r="DA25" i="225"/>
  <c r="DH25" i="225" s="1"/>
  <c r="DB27" i="225"/>
  <c r="DC27" i="225" s="1"/>
  <c r="CT29" i="225"/>
  <c r="DA29" i="225"/>
  <c r="DH29" i="225" s="1"/>
  <c r="DF33" i="225"/>
  <c r="DG33" i="225" s="1"/>
  <c r="BD34" i="225"/>
  <c r="CX34" i="225"/>
  <c r="BD37" i="225"/>
  <c r="CJ37" i="225"/>
  <c r="CX37" i="225"/>
  <c r="BE38" i="225"/>
  <c r="BO38" i="225" s="1"/>
  <c r="CT38" i="225"/>
  <c r="CZ40" i="225"/>
  <c r="BO41" i="225"/>
  <c r="CC41" i="225"/>
  <c r="CN41" i="225"/>
  <c r="CV41" i="225"/>
  <c r="CA43" i="225"/>
  <c r="CR44" i="225"/>
  <c r="CZ44" i="225"/>
  <c r="CJ48" i="225"/>
  <c r="CJ49" i="225"/>
  <c r="CV49" i="225"/>
  <c r="CP50" i="225"/>
  <c r="CH53" i="225"/>
  <c r="CT53" i="225"/>
  <c r="EC53" i="225"/>
  <c r="CJ54" i="225"/>
  <c r="DB55" i="225"/>
  <c r="DC55" i="225" s="1"/>
  <c r="DF57" i="225"/>
  <c r="DG57" i="225" s="1"/>
  <c r="DB58" i="225"/>
  <c r="BX58" i="225" s="1"/>
  <c r="BD59" i="225"/>
  <c r="CH59" i="225"/>
  <c r="CX59" i="225"/>
  <c r="CR61" i="225"/>
  <c r="CJ62" i="225"/>
  <c r="DA62" i="225"/>
  <c r="CX63" i="225"/>
  <c r="AT64" i="225"/>
  <c r="AU64" i="225" s="1"/>
  <c r="DK64" i="225"/>
  <c r="CT65" i="225"/>
  <c r="EE65" i="225"/>
  <c r="AT67" i="225"/>
  <c r="AU67" i="225" s="1"/>
  <c r="CN68" i="225"/>
  <c r="DK68" i="225"/>
  <c r="AT69" i="225"/>
  <c r="AU69" i="225" s="1"/>
  <c r="BD70" i="225"/>
  <c r="BR71" i="225"/>
  <c r="DA71" i="225"/>
  <c r="DH71" i="225" s="1"/>
  <c r="CR72" i="225"/>
  <c r="DF72" i="225"/>
  <c r="DG72" i="225" s="1"/>
  <c r="BD73" i="225"/>
  <c r="CH73" i="225"/>
  <c r="CX73" i="225"/>
  <c r="BE75" i="225"/>
  <c r="BT75" i="225" s="1"/>
  <c r="CN75" i="225"/>
  <c r="CV75" i="225"/>
  <c r="CP76" i="225"/>
  <c r="CZ76" i="225"/>
  <c r="CT77" i="225"/>
  <c r="CN78" i="225"/>
  <c r="CV78" i="225"/>
  <c r="CP79" i="225"/>
  <c r="CZ79" i="225"/>
  <c r="CN81" i="225"/>
  <c r="CV81" i="225"/>
  <c r="DG81" i="225"/>
  <c r="CP25" i="225"/>
  <c r="CX48" i="225"/>
  <c r="CZ5" i="225"/>
  <c r="CR9" i="225"/>
  <c r="BO10" i="225"/>
  <c r="CT15" i="225"/>
  <c r="CH16" i="225"/>
  <c r="CV16" i="225"/>
  <c r="DD16" i="225"/>
  <c r="DE16" i="225" s="1"/>
  <c r="DG17" i="225"/>
  <c r="CV17" i="225"/>
  <c r="CR18" i="225"/>
  <c r="CZ18" i="225"/>
  <c r="CX19" i="225"/>
  <c r="DK19" i="225"/>
  <c r="DF20" i="225"/>
  <c r="CR21" i="225"/>
  <c r="DF21" i="225"/>
  <c r="DG21" i="225" s="1"/>
  <c r="CR22" i="225"/>
  <c r="CJ23" i="225"/>
  <c r="CH24" i="225"/>
  <c r="DB24" i="225"/>
  <c r="DO24" i="225" s="1"/>
  <c r="BE25" i="225"/>
  <c r="BK25" i="225" s="1"/>
  <c r="CX26" i="225"/>
  <c r="CR27" i="225"/>
  <c r="CZ27" i="225"/>
  <c r="CL28" i="225"/>
  <c r="CT30" i="225"/>
  <c r="EC30" i="225"/>
  <c r="CN31" i="225"/>
  <c r="CH33" i="225"/>
  <c r="DB33" i="225"/>
  <c r="DO33" i="225" s="1"/>
  <c r="CV35" i="225"/>
  <c r="DF35" i="225"/>
  <c r="DG35" i="225" s="1"/>
  <c r="DO36" i="225"/>
  <c r="CP36" i="225"/>
  <c r="EC36" i="225"/>
  <c r="K39" i="225"/>
  <c r="BD38" i="225"/>
  <c r="DB38" i="225"/>
  <c r="DC38" i="225" s="1"/>
  <c r="CN40" i="225"/>
  <c r="BI41" i="225"/>
  <c r="CA41" i="225"/>
  <c r="DD41" i="225"/>
  <c r="DE41" i="225" s="1"/>
  <c r="CL42" i="225"/>
  <c r="DB42" i="225"/>
  <c r="DC42" i="225" s="1"/>
  <c r="CZ43" i="225"/>
  <c r="DE45" i="225"/>
  <c r="CX45" i="225"/>
  <c r="CN46" i="225"/>
  <c r="DD46" i="225"/>
  <c r="DE46" i="225" s="1"/>
  <c r="AR47" i="225"/>
  <c r="DK48" i="225"/>
  <c r="CR48" i="225"/>
  <c r="BV49" i="225"/>
  <c r="CH49" i="225"/>
  <c r="CT49" i="225"/>
  <c r="CZ51" i="225"/>
  <c r="CN52" i="225"/>
  <c r="DE53" i="225"/>
  <c r="CR53" i="225"/>
  <c r="CN56" i="225"/>
  <c r="DE59" i="225"/>
  <c r="CV59" i="225"/>
  <c r="CN63" i="225"/>
  <c r="CR65" i="225"/>
  <c r="DD65" i="225"/>
  <c r="DE65" i="225" s="1"/>
  <c r="AT66" i="225"/>
  <c r="AU66" i="225" s="1"/>
  <c r="CL68" i="225"/>
  <c r="CX68" i="225"/>
  <c r="CZ70" i="225"/>
  <c r="BI71" i="225"/>
  <c r="CC71" i="225"/>
  <c r="CP71" i="225"/>
  <c r="CZ71" i="225"/>
  <c r="CP74" i="225"/>
  <c r="CR77" i="225"/>
  <c r="CC80" i="225"/>
  <c r="CN80" i="225"/>
  <c r="DF80" i="225"/>
  <c r="DG80" i="225" s="1"/>
  <c r="CL12" i="225"/>
  <c r="BE12" i="225"/>
  <c r="CR12" i="225"/>
  <c r="CZ22" i="225"/>
  <c r="DA22" i="225"/>
  <c r="DH22" i="225" s="1"/>
  <c r="EC22" i="225"/>
  <c r="DI22" i="225"/>
  <c r="DO39" i="225"/>
  <c r="BY39" i="225"/>
  <c r="AR43" i="225"/>
  <c r="AT43" i="225"/>
  <c r="AU43" i="225" s="1"/>
  <c r="DK46" i="225"/>
  <c r="EC46" i="225"/>
  <c r="BV46" i="225"/>
  <c r="BX48" i="225"/>
  <c r="DC48" i="225"/>
  <c r="CV5" i="225"/>
  <c r="CN5" i="225"/>
  <c r="CJ5" i="225"/>
  <c r="CV7" i="225"/>
  <c r="CN7" i="225"/>
  <c r="CJ7" i="225"/>
  <c r="CZ21" i="225"/>
  <c r="DA21" i="225"/>
  <c r="DH21" i="225" s="1"/>
  <c r="EC21" i="225"/>
  <c r="DI21" i="225"/>
  <c r="CH25" i="225"/>
  <c r="DF25" i="225"/>
  <c r="DG25" i="225" s="1"/>
  <c r="DB25" i="225"/>
  <c r="DC25" i="225" s="1"/>
  <c r="DO29" i="225"/>
  <c r="DC29" i="225"/>
  <c r="DC34" i="225"/>
  <c r="DB51" i="225"/>
  <c r="DF51" i="225"/>
  <c r="DG51" i="225" s="1"/>
  <c r="DD51" i="225"/>
  <c r="DE51" i="225" s="1"/>
  <c r="CH51" i="225"/>
  <c r="DF52" i="225"/>
  <c r="DG52" i="225" s="1"/>
  <c r="CH52" i="225"/>
  <c r="DD52" i="225"/>
  <c r="DE52" i="225" s="1"/>
  <c r="DB52" i="225"/>
  <c r="CT12" i="225"/>
  <c r="CR5" i="225"/>
  <c r="DA5" i="225"/>
  <c r="DH5" i="225" s="1"/>
  <c r="AT6" i="225"/>
  <c r="AU6" i="225" s="1"/>
  <c r="CR7" i="225"/>
  <c r="DA7" i="225"/>
  <c r="DH7" i="225" s="1"/>
  <c r="DD9" i="225"/>
  <c r="DE9" i="225" s="1"/>
  <c r="BM10" i="225"/>
  <c r="CA10" i="225"/>
  <c r="EC10" i="225"/>
  <c r="CJ11" i="225"/>
  <c r="CZ12" i="225"/>
  <c r="DF14" i="225"/>
  <c r="DG14" i="225" s="1"/>
  <c r="DD15" i="225"/>
  <c r="DE15" i="225" s="1"/>
  <c r="DB16" i="225"/>
  <c r="DO28" i="225"/>
  <c r="DE39" i="225"/>
  <c r="DB5" i="225"/>
  <c r="DC5" i="225" s="1"/>
  <c r="DF5" i="225"/>
  <c r="DG5" i="225" s="1"/>
  <c r="DB7" i="225"/>
  <c r="DC7" i="225" s="1"/>
  <c r="DF7" i="225"/>
  <c r="DG7" i="225" s="1"/>
  <c r="BI6" i="225"/>
  <c r="BR6" i="225"/>
  <c r="BI8" i="225"/>
  <c r="BR8" i="225"/>
  <c r="CZ24" i="225"/>
  <c r="DA24" i="225"/>
  <c r="DH24" i="225" s="1"/>
  <c r="EC24" i="225"/>
  <c r="DB30" i="225"/>
  <c r="CH30" i="225"/>
  <c r="DD30" i="225"/>
  <c r="DE30" i="225" s="1"/>
  <c r="DF30" i="225"/>
  <c r="DG30" i="225" s="1"/>
  <c r="AR38" i="225"/>
  <c r="DK38" i="225"/>
  <c r="AT38" i="225"/>
  <c r="AU38" i="225" s="1"/>
  <c r="BX55" i="225"/>
  <c r="DI5" i="225"/>
  <c r="AR6" i="225"/>
  <c r="CH6" i="225"/>
  <c r="DI7" i="225"/>
  <c r="CH8" i="225"/>
  <c r="CH9" i="225"/>
  <c r="DB9" i="225"/>
  <c r="BY11" i="225"/>
  <c r="CH11" i="225"/>
  <c r="DB11" i="225"/>
  <c r="DC11" i="225" s="1"/>
  <c r="DD14" i="225"/>
  <c r="DE14" i="225" s="1"/>
  <c r="DB15" i="225"/>
  <c r="CP26" i="225"/>
  <c r="DC39" i="225"/>
  <c r="DB8" i="225"/>
  <c r="DC8" i="225" s="1"/>
  <c r="DF8" i="225"/>
  <c r="DG8" i="225" s="1"/>
  <c r="DB17" i="225"/>
  <c r="CH17" i="225"/>
  <c r="CZ20" i="225"/>
  <c r="DA20" i="225"/>
  <c r="DH20" i="225" s="1"/>
  <c r="EC20" i="225"/>
  <c r="DI20" i="225"/>
  <c r="CL39" i="225"/>
  <c r="BE39" i="225"/>
  <c r="CA39" i="225" s="1"/>
  <c r="CR39" i="225"/>
  <c r="CH39" i="225"/>
  <c r="CV39" i="225"/>
  <c r="CJ39" i="225"/>
  <c r="CN39" i="225"/>
  <c r="DA39" i="225"/>
  <c r="DH39" i="225" s="1"/>
  <c r="CZ39" i="225"/>
  <c r="EC39" i="225"/>
  <c r="DI39" i="225"/>
  <c r="CZ45" i="225"/>
  <c r="DA45" i="225"/>
  <c r="DH45" i="225" s="1"/>
  <c r="BU45" i="225"/>
  <c r="DI45" i="225" s="1"/>
  <c r="DB50" i="225"/>
  <c r="CH50" i="225"/>
  <c r="DD50" i="225"/>
  <c r="DE50" i="225" s="1"/>
  <c r="DF50" i="225"/>
  <c r="DG50" i="225" s="1"/>
  <c r="DC70" i="225"/>
  <c r="EE70" i="225"/>
  <c r="CN12" i="225"/>
  <c r="DB14" i="225"/>
  <c r="DD17" i="225"/>
  <c r="DE17" i="225" s="1"/>
  <c r="DK43" i="225"/>
  <c r="DO44" i="225"/>
  <c r="DB6" i="225"/>
  <c r="DC6" i="225" s="1"/>
  <c r="DF6" i="225"/>
  <c r="DG6" i="225" s="1"/>
  <c r="BI10" i="225"/>
  <c r="BR10" i="225"/>
  <c r="CV6" i="225"/>
  <c r="CN6" i="225"/>
  <c r="CJ6" i="225"/>
  <c r="EC9" i="225"/>
  <c r="DI9" i="225"/>
  <c r="DA9" i="225"/>
  <c r="DH9" i="225" s="1"/>
  <c r="CR26" i="225"/>
  <c r="CH26" i="225"/>
  <c r="CJ26" i="225"/>
  <c r="CT26" i="225"/>
  <c r="CL26" i="225"/>
  <c r="BE26" i="225"/>
  <c r="CA26" i="225" s="1"/>
  <c r="CV26" i="225"/>
  <c r="CN26" i="225"/>
  <c r="BI28" i="225"/>
  <c r="BK28" i="225"/>
  <c r="BM28" i="225"/>
  <c r="BO28" i="225"/>
  <c r="BR28" i="225"/>
  <c r="BK34" i="225"/>
  <c r="BI34" i="225"/>
  <c r="BM34" i="225"/>
  <c r="BO34" i="225"/>
  <c r="CA34" i="225"/>
  <c r="BR34" i="225"/>
  <c r="BT34" i="225"/>
  <c r="DK36" i="225"/>
  <c r="AR36" i="225"/>
  <c r="AT36" i="225"/>
  <c r="AU36" i="225" s="1"/>
  <c r="CT11" i="225"/>
  <c r="CX12" i="225"/>
  <c r="BT6" i="225"/>
  <c r="CR6" i="225"/>
  <c r="CJ12" i="225"/>
  <c r="DE12" i="225"/>
  <c r="K18" i="225"/>
  <c r="DO23" i="225"/>
  <c r="CC34" i="225"/>
  <c r="CX39" i="225"/>
  <c r="CL11" i="225"/>
  <c r="BE11" i="225"/>
  <c r="CR11" i="225"/>
  <c r="CV8" i="225"/>
  <c r="CN8" i="225"/>
  <c r="CJ8" i="225"/>
  <c r="DB10" i="225"/>
  <c r="DC10" i="225" s="1"/>
  <c r="DF10" i="225"/>
  <c r="DG10" i="225" s="1"/>
  <c r="BI5" i="225"/>
  <c r="BR5" i="225"/>
  <c r="BR7" i="225"/>
  <c r="CV10" i="225"/>
  <c r="CN10" i="225"/>
  <c r="CJ10" i="225"/>
  <c r="CZ19" i="225"/>
  <c r="DA19" i="225"/>
  <c r="DH19" i="225" s="1"/>
  <c r="EC19" i="225"/>
  <c r="DI19" i="225"/>
  <c r="EC41" i="225"/>
  <c r="DI41" i="225"/>
  <c r="CZ41" i="225"/>
  <c r="DA41" i="225"/>
  <c r="DH41" i="225" s="1"/>
  <c r="BV51" i="225"/>
  <c r="EC51" i="225"/>
  <c r="CH56" i="225"/>
  <c r="DF56" i="225"/>
  <c r="DG56" i="225" s="1"/>
  <c r="DB56" i="225"/>
  <c r="DD56" i="225"/>
  <c r="DE56" i="225" s="1"/>
  <c r="DC64" i="225"/>
  <c r="EE64" i="225"/>
  <c r="BT8" i="225"/>
  <c r="CR8" i="225"/>
  <c r="CP11" i="225"/>
  <c r="CZ11" i="225"/>
  <c r="DB13" i="225"/>
  <c r="CH5" i="225"/>
  <c r="DD5" i="225"/>
  <c r="DE5" i="225" s="1"/>
  <c r="BO6" i="225"/>
  <c r="CC6" i="225"/>
  <c r="CZ6" i="225"/>
  <c r="DI6" i="225"/>
  <c r="CH7" i="225"/>
  <c r="DD7" i="225"/>
  <c r="DE7" i="225" s="1"/>
  <c r="BO8" i="225"/>
  <c r="CC8" i="225"/>
  <c r="CZ8" i="225"/>
  <c r="DI8" i="225"/>
  <c r="BT10" i="225"/>
  <c r="CR10" i="225"/>
  <c r="DA10" i="225"/>
  <c r="DH10" i="225" s="1"/>
  <c r="DF11" i="225"/>
  <c r="DG11" i="225" s="1"/>
  <c r="CH12" i="225"/>
  <c r="CV12" i="225"/>
  <c r="DB12" i="225"/>
  <c r="DC12" i="225" s="1"/>
  <c r="K19" i="225"/>
  <c r="CC28" i="225"/>
  <c r="CV43" i="225"/>
  <c r="CN43" i="225"/>
  <c r="DA50" i="225"/>
  <c r="DH50" i="225" s="1"/>
  <c r="BU50" i="225"/>
  <c r="DI50" i="225" s="1"/>
  <c r="CV51" i="225"/>
  <c r="CN51" i="225"/>
  <c r="CJ51" i="225"/>
  <c r="CZ55" i="225"/>
  <c r="DA55" i="225"/>
  <c r="DH55" i="225" s="1"/>
  <c r="BU55" i="225"/>
  <c r="DK55" i="225" s="1"/>
  <c r="BE9" i="225"/>
  <c r="CA9" i="225" s="1"/>
  <c r="CR13" i="225"/>
  <c r="CR14" i="225"/>
  <c r="CR15" i="225"/>
  <c r="CR16" i="225"/>
  <c r="CR17" i="225"/>
  <c r="BE18" i="225"/>
  <c r="DA18" i="225"/>
  <c r="DH18" i="225" s="1"/>
  <c r="BY19" i="225"/>
  <c r="BY20" i="225"/>
  <c r="BY21" i="225"/>
  <c r="BY22" i="225"/>
  <c r="CH23" i="225"/>
  <c r="CR23" i="225"/>
  <c r="BY24" i="225"/>
  <c r="DB26" i="225"/>
  <c r="DC26" i="225" s="1"/>
  <c r="BE27" i="225"/>
  <c r="CJ28" i="225"/>
  <c r="CZ28" i="225"/>
  <c r="DF28" i="225"/>
  <c r="DG28" i="225" s="1"/>
  <c r="AT29" i="225"/>
  <c r="AU29" i="225" s="1"/>
  <c r="CH29" i="225"/>
  <c r="CR29" i="225"/>
  <c r="CL31" i="225"/>
  <c r="CV31" i="225"/>
  <c r="CH32" i="225"/>
  <c r="CZ32" i="225"/>
  <c r="BI33" i="225"/>
  <c r="CR33" i="225"/>
  <c r="CZ33" i="225"/>
  <c r="BO35" i="225"/>
  <c r="CJ35" i="225"/>
  <c r="BM36" i="225"/>
  <c r="BY36" i="225"/>
  <c r="CH36" i="225"/>
  <c r="DA36" i="225"/>
  <c r="DH36" i="225" s="1"/>
  <c r="DD37" i="225"/>
  <c r="DE37" i="225" s="1"/>
  <c r="CJ38" i="225"/>
  <c r="DI38" i="225"/>
  <c r="EC38" i="225"/>
  <c r="AR40" i="225"/>
  <c r="BR40" i="225"/>
  <c r="CL40" i="225"/>
  <c r="BM41" i="225"/>
  <c r="DO42" i="225"/>
  <c r="CR43" i="225"/>
  <c r="DA43" i="225"/>
  <c r="DH43" i="225" s="1"/>
  <c r="DB46" i="225"/>
  <c r="CH47" i="225"/>
  <c r="DI48" i="225"/>
  <c r="EC48" i="225"/>
  <c r="DF49" i="225"/>
  <c r="DG49" i="225" s="1"/>
  <c r="CR51" i="225"/>
  <c r="DA51" i="225"/>
  <c r="DH51" i="225" s="1"/>
  <c r="BV52" i="225"/>
  <c r="CN55" i="225"/>
  <c r="CT57" i="225"/>
  <c r="DI61" i="225"/>
  <c r="DO70" i="225"/>
  <c r="DB47" i="225"/>
  <c r="DF47" i="225"/>
  <c r="DG47" i="225" s="1"/>
  <c r="DF48" i="225"/>
  <c r="DG48" i="225" s="1"/>
  <c r="CH48" i="225"/>
  <c r="DD48" i="225"/>
  <c r="DE48" i="225" s="1"/>
  <c r="DK56" i="225"/>
  <c r="EC56" i="225"/>
  <c r="BV61" i="225"/>
  <c r="EC61" i="225"/>
  <c r="DK61" i="225"/>
  <c r="BI64" i="225"/>
  <c r="BK64" i="225"/>
  <c r="BM64" i="225"/>
  <c r="BO64" i="225"/>
  <c r="BR64" i="225"/>
  <c r="DB66" i="225"/>
  <c r="CH66" i="225"/>
  <c r="DF66" i="225"/>
  <c r="DC19" i="225"/>
  <c r="DC21" i="225"/>
  <c r="DC22" i="225"/>
  <c r="DD23" i="225"/>
  <c r="DE23" i="225" s="1"/>
  <c r="DD29" i="225"/>
  <c r="DE29" i="225" s="1"/>
  <c r="CP32" i="225"/>
  <c r="CP33" i="225"/>
  <c r="DK47" i="225"/>
  <c r="DI51" i="225"/>
  <c r="CC64" i="225"/>
  <c r="EC34" i="225"/>
  <c r="DI34" i="225"/>
  <c r="CV36" i="225"/>
  <c r="CN36" i="225"/>
  <c r="CV47" i="225"/>
  <c r="CN47" i="225"/>
  <c r="CJ47" i="225"/>
  <c r="AR57" i="225"/>
  <c r="AT57" i="225"/>
  <c r="AU57" i="225" s="1"/>
  <c r="CH18" i="225"/>
  <c r="CN19" i="225"/>
  <c r="CV19" i="225"/>
  <c r="CN20" i="225"/>
  <c r="CN21" i="225"/>
  <c r="CV21" i="225"/>
  <c r="CN22" i="225"/>
  <c r="CV22" i="225"/>
  <c r="CN24" i="225"/>
  <c r="CV24" i="225"/>
  <c r="CZ26" i="225"/>
  <c r="CH27" i="225"/>
  <c r="BY28" i="225"/>
  <c r="DD28" i="225"/>
  <c r="DE28" i="225" s="1"/>
  <c r="CH31" i="225"/>
  <c r="CZ31" i="225"/>
  <c r="BE32" i="225"/>
  <c r="CC32" i="225" s="1"/>
  <c r="DE32" i="225"/>
  <c r="AT33" i="225"/>
  <c r="AU33" i="225" s="1"/>
  <c r="BT33" i="225"/>
  <c r="CN33" i="225"/>
  <c r="CX33" i="225"/>
  <c r="DE33" i="225"/>
  <c r="DK33" i="225"/>
  <c r="CH34" i="225"/>
  <c r="DF34" i="225"/>
  <c r="DG34" i="225" s="1"/>
  <c r="BI35" i="225"/>
  <c r="CR35" i="225"/>
  <c r="CZ35" i="225"/>
  <c r="DF36" i="225"/>
  <c r="DG36" i="225" s="1"/>
  <c r="BY37" i="225"/>
  <c r="CH37" i="225"/>
  <c r="BI38" i="225"/>
  <c r="CR38" i="225"/>
  <c r="CH44" i="225"/>
  <c r="CH45" i="225"/>
  <c r="CR47" i="225"/>
  <c r="DA47" i="225"/>
  <c r="DH47" i="225" s="1"/>
  <c r="BV48" i="225"/>
  <c r="CA64" i="225"/>
  <c r="DB45" i="225"/>
  <c r="DF45" i="225"/>
  <c r="DG45" i="225" s="1"/>
  <c r="DD49" i="225"/>
  <c r="DE49" i="225" s="1"/>
  <c r="DB49" i="225"/>
  <c r="DK54" i="225"/>
  <c r="AT54" i="225"/>
  <c r="AU54" i="225" s="1"/>
  <c r="DB54" i="225"/>
  <c r="CH54" i="225"/>
  <c r="CJ55" i="225"/>
  <c r="DG55" i="225"/>
  <c r="CT55" i="225"/>
  <c r="CL55" i="225"/>
  <c r="CR57" i="225"/>
  <c r="CH57" i="225"/>
  <c r="CZ57" i="225"/>
  <c r="CJ57" i="225"/>
  <c r="CL57" i="225"/>
  <c r="CV57" i="225"/>
  <c r="CN57" i="225"/>
  <c r="CZ59" i="225"/>
  <c r="DA59" i="225"/>
  <c r="DH59" i="225" s="1"/>
  <c r="BU59" i="225"/>
  <c r="DI59" i="225" s="1"/>
  <c r="DC61" i="225"/>
  <c r="BX61" i="225"/>
  <c r="BE19" i="225"/>
  <c r="CC19" i="225" s="1"/>
  <c r="CL19" i="225"/>
  <c r="CT19" i="225"/>
  <c r="BE20" i="225"/>
  <c r="CC20" i="225" s="1"/>
  <c r="CL20" i="225"/>
  <c r="CT20" i="225"/>
  <c r="DG20" i="225"/>
  <c r="BE21" i="225"/>
  <c r="CC21" i="225" s="1"/>
  <c r="CL21" i="225"/>
  <c r="CT21" i="225"/>
  <c r="BE22" i="225"/>
  <c r="CA22" i="225" s="1"/>
  <c r="CL22" i="225"/>
  <c r="CT22" i="225"/>
  <c r="DG22" i="225"/>
  <c r="BE24" i="225"/>
  <c r="CA24" i="225" s="1"/>
  <c r="CL24" i="225"/>
  <c r="CT24" i="225"/>
  <c r="DG24" i="225"/>
  <c r="DI28" i="225"/>
  <c r="CP31" i="225"/>
  <c r="BD32" i="225"/>
  <c r="CN32" i="225"/>
  <c r="DC32" i="225"/>
  <c r="BR33" i="225"/>
  <c r="CL33" i="225"/>
  <c r="CV33" i="225"/>
  <c r="CP35" i="225"/>
  <c r="CP38" i="225"/>
  <c r="CT39" i="225"/>
  <c r="BY40" i="225"/>
  <c r="BT42" i="225"/>
  <c r="DI46" i="225"/>
  <c r="DI47" i="225"/>
  <c r="DF54" i="225"/>
  <c r="DG54" i="225" s="1"/>
  <c r="DE55" i="225"/>
  <c r="DD66" i="225"/>
  <c r="CV37" i="225"/>
  <c r="CN37" i="225"/>
  <c r="BM43" i="225"/>
  <c r="BI43" i="225"/>
  <c r="BY43" i="225"/>
  <c r="EC44" i="225"/>
  <c r="DI44" i="225"/>
  <c r="DA44" i="225"/>
  <c r="DH44" i="225" s="1"/>
  <c r="CV45" i="225"/>
  <c r="CN45" i="225"/>
  <c r="CJ45" i="225"/>
  <c r="CL54" i="225"/>
  <c r="CV54" i="225"/>
  <c r="CN54" i="225"/>
  <c r="CR54" i="225"/>
  <c r="DC62" i="225"/>
  <c r="BX62" i="225"/>
  <c r="BY62" i="225" s="1"/>
  <c r="BE13" i="225"/>
  <c r="BE14" i="225"/>
  <c r="BE15" i="225"/>
  <c r="BE16" i="225"/>
  <c r="BE17" i="225"/>
  <c r="DI18" i="225"/>
  <c r="CN28" i="225"/>
  <c r="BE29" i="225"/>
  <c r="BE31" i="225"/>
  <c r="CC31" i="225" s="1"/>
  <c r="DD31" i="225"/>
  <c r="DE31" i="225" s="1"/>
  <c r="CL32" i="225"/>
  <c r="CV32" i="225"/>
  <c r="BO33" i="225"/>
  <c r="DI33" i="225"/>
  <c r="BT35" i="225"/>
  <c r="CX35" i="225"/>
  <c r="BR36" i="225"/>
  <c r="CL36" i="225"/>
  <c r="DD36" i="225"/>
  <c r="DE36" i="225" s="1"/>
  <c r="DF37" i="225"/>
  <c r="DG37" i="225" s="1"/>
  <c r="BT38" i="225"/>
  <c r="CX38" i="225"/>
  <c r="BV40" i="225"/>
  <c r="CP40" i="225"/>
  <c r="BR41" i="225"/>
  <c r="BR42" i="225"/>
  <c r="CR45" i="225"/>
  <c r="DF46" i="225"/>
  <c r="DG46" i="225" s="1"/>
  <c r="EC47" i="225"/>
  <c r="DD54" i="225"/>
  <c r="DE54" i="225" s="1"/>
  <c r="CR55" i="225"/>
  <c r="DO64" i="225"/>
  <c r="CZ67" i="225"/>
  <c r="DA67" i="225"/>
  <c r="DH67" i="225" s="1"/>
  <c r="BU67" i="225"/>
  <c r="DK67" i="225" s="1"/>
  <c r="EC69" i="225"/>
  <c r="DI69" i="225"/>
  <c r="DA69" i="225"/>
  <c r="DH69" i="225" s="1"/>
  <c r="EC72" i="225"/>
  <c r="DI72" i="225"/>
  <c r="DA72" i="225"/>
  <c r="DH72" i="225" s="1"/>
  <c r="DB73" i="225"/>
  <c r="DC73" i="225" s="1"/>
  <c r="DF73" i="225"/>
  <c r="DG73" i="225" s="1"/>
  <c r="DI42" i="225"/>
  <c r="DB43" i="225"/>
  <c r="DC43" i="225" s="1"/>
  <c r="BE44" i="225"/>
  <c r="DB53" i="225"/>
  <c r="DB57" i="225"/>
  <c r="BU58" i="225"/>
  <c r="DA58" i="225"/>
  <c r="DH58" i="225" s="1"/>
  <c r="BU60" i="225"/>
  <c r="DA60" i="225"/>
  <c r="DH60" i="225" s="1"/>
  <c r="CJ61" i="225"/>
  <c r="CZ61" i="225"/>
  <c r="DF61" i="225"/>
  <c r="DG61" i="225" s="1"/>
  <c r="AT62" i="225"/>
  <c r="AU62" i="225" s="1"/>
  <c r="CH62" i="225"/>
  <c r="CR62" i="225"/>
  <c r="BE63" i="225"/>
  <c r="DA63" i="225"/>
  <c r="DH63" i="225" s="1"/>
  <c r="CJ64" i="225"/>
  <c r="CZ64" i="225"/>
  <c r="DF64" i="225"/>
  <c r="DG64" i="225" s="1"/>
  <c r="AR66" i="225"/>
  <c r="DO74" i="225"/>
  <c r="EC66" i="225"/>
  <c r="DI66" i="225"/>
  <c r="DA66" i="225"/>
  <c r="DH66" i="225" s="1"/>
  <c r="BO68" i="225"/>
  <c r="BK68" i="225"/>
  <c r="BM68" i="225"/>
  <c r="BO74" i="225"/>
  <c r="CA74" i="225"/>
  <c r="BR74" i="225"/>
  <c r="BK74" i="225"/>
  <c r="BM74" i="225"/>
  <c r="CZ58" i="225"/>
  <c r="BX59" i="225"/>
  <c r="CH61" i="225"/>
  <c r="DD62" i="225"/>
  <c r="DE62" i="225" s="1"/>
  <c r="CH64" i="225"/>
  <c r="BY65" i="225"/>
  <c r="DO77" i="225"/>
  <c r="DB67" i="225"/>
  <c r="DF67" i="225"/>
  <c r="DG67" i="225" s="1"/>
  <c r="DK70" i="225"/>
  <c r="AT70" i="225"/>
  <c r="AU70" i="225" s="1"/>
  <c r="DD61" i="225"/>
  <c r="DE61" i="225" s="1"/>
  <c r="DD64" i="225"/>
  <c r="DE64" i="225" s="1"/>
  <c r="CV65" i="225"/>
  <c r="CN65" i="225"/>
  <c r="CV67" i="225"/>
  <c r="CN67" i="225"/>
  <c r="CJ67" i="225"/>
  <c r="CL67" i="225"/>
  <c r="CH70" i="225"/>
  <c r="DF70" i="225"/>
  <c r="DG70" i="225" s="1"/>
  <c r="CL59" i="225"/>
  <c r="CT59" i="225"/>
  <c r="DG59" i="225"/>
  <c r="CN62" i="225"/>
  <c r="CV62" i="225"/>
  <c r="DI64" i="225"/>
  <c r="CP65" i="225"/>
  <c r="DF65" i="225"/>
  <c r="DG65" i="225" s="1"/>
  <c r="CT67" i="225"/>
  <c r="BV68" i="225"/>
  <c r="EE69" i="225"/>
  <c r="DD70" i="225"/>
  <c r="DE70" i="225" s="1"/>
  <c r="CT70" i="225"/>
  <c r="CL70" i="225"/>
  <c r="BE70" i="225"/>
  <c r="CA70" i="225" s="1"/>
  <c r="CR70" i="225"/>
  <c r="CJ70" i="225"/>
  <c r="BO71" i="225"/>
  <c r="BK71" i="225"/>
  <c r="BM71" i="225"/>
  <c r="EC73" i="225"/>
  <c r="DI73" i="225"/>
  <c r="CZ73" i="225"/>
  <c r="DA73" i="225"/>
  <c r="DH73" i="225" s="1"/>
  <c r="CN61" i="225"/>
  <c r="DI63" i="225"/>
  <c r="CN64" i="225"/>
  <c r="BT65" i="225"/>
  <c r="CC65" i="225"/>
  <c r="BY66" i="225"/>
  <c r="CR67" i="225"/>
  <c r="DD67" i="225"/>
  <c r="DE67" i="225" s="1"/>
  <c r="BT68" i="225"/>
  <c r="DD69" i="225"/>
  <c r="DE69" i="225" s="1"/>
  <c r="CV70" i="225"/>
  <c r="DD72" i="225"/>
  <c r="DE72" i="225" s="1"/>
  <c r="CN66" i="225"/>
  <c r="BY68" i="225"/>
  <c r="CN69" i="225"/>
  <c r="CV69" i="225"/>
  <c r="AR71" i="225"/>
  <c r="BY71" i="225"/>
  <c r="DD71" i="225"/>
  <c r="DE71" i="225" s="1"/>
  <c r="CN72" i="225"/>
  <c r="CV72" i="225"/>
  <c r="BE73" i="225"/>
  <c r="CA73" i="225" s="1"/>
  <c r="CL73" i="225"/>
  <c r="BY74" i="225"/>
  <c r="DI75" i="225"/>
  <c r="CN76" i="225"/>
  <c r="CV76" i="225"/>
  <c r="DB76" i="225"/>
  <c r="DO76" i="225" s="1"/>
  <c r="BE77" i="225"/>
  <c r="CA77" i="225" s="1"/>
  <c r="CL77" i="225"/>
  <c r="DA77" i="225"/>
  <c r="DH77" i="225" s="1"/>
  <c r="DI78" i="225"/>
  <c r="CN79" i="225"/>
  <c r="CV79" i="225"/>
  <c r="DB79" i="225"/>
  <c r="DC79" i="225" s="1"/>
  <c r="BK80" i="225"/>
  <c r="DI80" i="225"/>
  <c r="BI81" i="225"/>
  <c r="DI68" i="225"/>
  <c r="BE69" i="225"/>
  <c r="CC69" i="225" s="1"/>
  <c r="DI71" i="225"/>
  <c r="BE72" i="225"/>
  <c r="CA72" i="225" s="1"/>
  <c r="CJ73" i="225"/>
  <c r="DI74" i="225"/>
  <c r="DB75" i="225"/>
  <c r="BE76" i="225"/>
  <c r="CC76" i="225" s="1"/>
  <c r="DA76" i="225"/>
  <c r="DH76" i="225" s="1"/>
  <c r="CJ77" i="225"/>
  <c r="CZ77" i="225"/>
  <c r="DF77" i="225"/>
  <c r="DG77" i="225" s="1"/>
  <c r="AT78" i="225"/>
  <c r="AU78" i="225" s="1"/>
  <c r="DB78" i="225"/>
  <c r="BE79" i="225"/>
  <c r="CC79" i="225" s="1"/>
  <c r="DA79" i="225"/>
  <c r="DH79" i="225" s="1"/>
  <c r="BI80" i="225"/>
  <c r="DB80" i="225"/>
  <c r="DC80" i="225" s="1"/>
  <c r="DB81" i="225"/>
  <c r="DC81" i="225" s="1"/>
  <c r="BT80" i="225"/>
  <c r="DD77" i="225"/>
  <c r="DE77" i="225" s="1"/>
  <c r="BR80" i="225"/>
  <c r="CA80" i="225"/>
  <c r="DI77" i="225"/>
  <c r="BO80" i="225"/>
  <c r="CN73" i="225"/>
  <c r="DI76" i="225"/>
  <c r="CN77" i="225"/>
  <c r="DI79" i="225"/>
  <c r="F92" i="176"/>
  <c r="D98" i="176"/>
  <c r="DO68" i="225" l="1"/>
  <c r="BO75" i="225"/>
  <c r="CA38" i="225"/>
  <c r="EE74" i="225"/>
  <c r="BI68" i="225"/>
  <c r="BT25" i="225"/>
  <c r="DK57" i="225"/>
  <c r="DO20" i="225"/>
  <c r="DC71" i="225"/>
  <c r="DO5" i="225"/>
  <c r="EE71" i="225"/>
  <c r="BT30" i="225"/>
  <c r="DG66" i="225"/>
  <c r="BO42" i="225"/>
  <c r="DO7" i="225"/>
  <c r="DI56" i="225"/>
  <c r="CA75" i="225"/>
  <c r="DE66" i="225"/>
  <c r="DC60" i="225"/>
  <c r="DC58" i="225"/>
  <c r="CC24" i="225"/>
  <c r="BT36" i="225"/>
  <c r="DO63" i="225"/>
  <c r="CA71" i="225"/>
  <c r="BI75" i="225"/>
  <c r="CC26" i="225"/>
  <c r="DO10" i="225"/>
  <c r="CC38" i="225"/>
  <c r="BK36" i="225"/>
  <c r="BK75" i="225"/>
  <c r="DC33" i="225"/>
  <c r="DC66" i="225"/>
  <c r="CA36" i="225"/>
  <c r="DC68" i="225"/>
  <c r="DC24" i="225"/>
  <c r="BR37" i="225"/>
  <c r="BM75" i="225"/>
  <c r="CZ66" i="225"/>
  <c r="BO30" i="225"/>
  <c r="CC30" i="225"/>
  <c r="BI30" i="225"/>
  <c r="CC75" i="225"/>
  <c r="BR75" i="225"/>
  <c r="CA42" i="225"/>
  <c r="BK42" i="225"/>
  <c r="DI55" i="225"/>
  <c r="DO40" i="225"/>
  <c r="CA37" i="225"/>
  <c r="BR30" i="225"/>
  <c r="CC7" i="225"/>
  <c r="CA30" i="225"/>
  <c r="BM30" i="225"/>
  <c r="CA7" i="225"/>
  <c r="CC42" i="225"/>
  <c r="BM42" i="225"/>
  <c r="DO12" i="225"/>
  <c r="DO27" i="225"/>
  <c r="CV66" i="225"/>
  <c r="CL66" i="225"/>
  <c r="BE66" i="225"/>
  <c r="CP66" i="225"/>
  <c r="CR66" i="225"/>
  <c r="CJ66" i="225"/>
  <c r="BD66" i="225"/>
  <c r="DO80" i="225"/>
  <c r="DO38" i="225"/>
  <c r="CT66" i="225"/>
  <c r="DO18" i="225"/>
  <c r="BI37" i="225"/>
  <c r="BT37" i="225"/>
  <c r="BO37" i="225"/>
  <c r="BK37" i="225"/>
  <c r="BM37" i="225"/>
  <c r="BT7" i="225"/>
  <c r="BM7" i="225"/>
  <c r="BO7" i="225"/>
  <c r="BK7" i="225"/>
  <c r="CC22" i="225"/>
  <c r="DO6" i="225"/>
  <c r="BR78" i="225"/>
  <c r="BO78" i="225"/>
  <c r="BT78" i="225"/>
  <c r="BM38" i="225"/>
  <c r="BK38" i="225"/>
  <c r="BR38" i="225"/>
  <c r="BI65" i="225"/>
  <c r="BM65" i="225"/>
  <c r="BR65" i="225"/>
  <c r="BK65" i="225"/>
  <c r="CA65" i="225"/>
  <c r="BM40" i="225"/>
  <c r="BK40" i="225"/>
  <c r="CC40" i="225"/>
  <c r="BO40" i="225"/>
  <c r="BT40" i="225"/>
  <c r="BI40" i="225"/>
  <c r="CA40" i="225"/>
  <c r="DO35" i="225"/>
  <c r="DC35" i="225"/>
  <c r="BO25" i="225"/>
  <c r="BI25" i="225"/>
  <c r="CA25" i="225"/>
  <c r="BM25" i="225"/>
  <c r="BR25" i="225"/>
  <c r="CC25" i="225"/>
  <c r="BV57" i="225"/>
  <c r="EC57" i="225"/>
  <c r="BT81" i="225"/>
  <c r="BO81" i="225"/>
  <c r="BR81" i="225"/>
  <c r="BM81" i="225"/>
  <c r="BK81" i="225"/>
  <c r="CA68" i="225"/>
  <c r="BR68" i="225"/>
  <c r="CA78" i="225"/>
  <c r="EC58" i="225"/>
  <c r="DK58" i="225"/>
  <c r="BV58" i="225"/>
  <c r="BY60" i="225"/>
  <c r="DO60" i="225"/>
  <c r="BX54" i="225"/>
  <c r="DC54" i="225"/>
  <c r="DC45" i="225"/>
  <c r="BX45" i="225"/>
  <c r="DC47" i="225"/>
  <c r="BX47" i="225"/>
  <c r="BY58" i="225"/>
  <c r="DO58" i="225"/>
  <c r="BT11" i="225"/>
  <c r="BO11" i="225"/>
  <c r="BR11" i="225"/>
  <c r="CC11" i="225"/>
  <c r="BI11" i="225"/>
  <c r="CA11" i="225"/>
  <c r="BK11" i="225"/>
  <c r="BM11" i="225"/>
  <c r="DO17" i="225"/>
  <c r="DC17" i="225"/>
  <c r="DC30" i="225"/>
  <c r="DO30" i="225"/>
  <c r="BK72" i="225"/>
  <c r="BT72" i="225"/>
  <c r="BV72" i="225"/>
  <c r="BI72" i="225"/>
  <c r="BR72" i="225"/>
  <c r="BY72" i="225"/>
  <c r="BM72" i="225"/>
  <c r="BO72" i="225"/>
  <c r="BT13" i="225"/>
  <c r="BK13" i="225"/>
  <c r="BO13" i="225"/>
  <c r="BI13" i="225"/>
  <c r="CA13" i="225"/>
  <c r="BM13" i="225"/>
  <c r="CC13" i="225"/>
  <c r="BR13" i="225"/>
  <c r="BR24" i="225"/>
  <c r="BT24" i="225"/>
  <c r="BI24" i="225"/>
  <c r="BK24" i="225"/>
  <c r="BM24" i="225"/>
  <c r="BO24" i="225"/>
  <c r="BR20" i="225"/>
  <c r="BT20" i="225"/>
  <c r="BI20" i="225"/>
  <c r="BK20" i="225"/>
  <c r="BM20" i="225"/>
  <c r="BO20" i="225"/>
  <c r="DC46" i="225"/>
  <c r="BX46" i="225"/>
  <c r="BV45" i="225"/>
  <c r="DK45" i="225"/>
  <c r="EC45" i="225"/>
  <c r="BT39" i="225"/>
  <c r="BK39" i="225"/>
  <c r="BM39" i="225"/>
  <c r="BO39" i="225"/>
  <c r="BR39" i="225"/>
  <c r="CC39" i="225"/>
  <c r="BI39" i="225"/>
  <c r="BX51" i="225"/>
  <c r="DC51" i="225"/>
  <c r="DO81" i="225"/>
  <c r="DO79" i="225"/>
  <c r="CC72" i="225"/>
  <c r="DO25" i="225"/>
  <c r="DO8" i="225"/>
  <c r="CA20" i="225"/>
  <c r="BT29" i="225"/>
  <c r="CC29" i="225"/>
  <c r="BI29" i="225"/>
  <c r="BK29" i="225"/>
  <c r="BM29" i="225"/>
  <c r="BO29" i="225"/>
  <c r="CA29" i="225"/>
  <c r="BR29" i="225"/>
  <c r="DC14" i="225"/>
  <c r="DO14" i="225"/>
  <c r="DC50" i="225"/>
  <c r="BX50" i="225"/>
  <c r="BY55" i="225"/>
  <c r="DO55" i="225"/>
  <c r="BX52" i="225"/>
  <c r="DC52" i="225"/>
  <c r="DO26" i="225"/>
  <c r="BX67" i="225"/>
  <c r="DC67" i="225"/>
  <c r="EC60" i="225"/>
  <c r="DK60" i="225"/>
  <c r="BV60" i="225"/>
  <c r="BT14" i="225"/>
  <c r="BK14" i="225"/>
  <c r="BO14" i="225"/>
  <c r="CC14" i="225"/>
  <c r="BI14" i="225"/>
  <c r="BR14" i="225"/>
  <c r="CA14" i="225"/>
  <c r="BM14" i="225"/>
  <c r="DO61" i="225"/>
  <c r="BY61" i="225"/>
  <c r="DC76" i="225"/>
  <c r="EE76" i="225"/>
  <c r="CC73" i="225"/>
  <c r="BV73" i="225"/>
  <c r="BI73" i="225"/>
  <c r="BK73" i="225"/>
  <c r="BR73" i="225"/>
  <c r="BT73" i="225"/>
  <c r="BY73" i="225"/>
  <c r="BM73" i="225"/>
  <c r="BO73" i="225"/>
  <c r="BT70" i="225"/>
  <c r="BO70" i="225"/>
  <c r="BR70" i="225"/>
  <c r="BV70" i="225"/>
  <c r="BY70" i="225"/>
  <c r="BI70" i="225"/>
  <c r="BK70" i="225"/>
  <c r="CC70" i="225"/>
  <c r="BM70" i="225"/>
  <c r="BK44" i="225"/>
  <c r="BT44" i="225"/>
  <c r="BI44" i="225"/>
  <c r="BM44" i="225"/>
  <c r="CA44" i="225"/>
  <c r="BO44" i="225"/>
  <c r="BR44" i="225"/>
  <c r="CC44" i="225"/>
  <c r="BO31" i="225"/>
  <c r="BI31" i="225"/>
  <c r="BK31" i="225"/>
  <c r="BM31" i="225"/>
  <c r="CA31" i="225"/>
  <c r="BR31" i="225"/>
  <c r="BT31" i="225"/>
  <c r="BT15" i="225"/>
  <c r="BK15" i="225"/>
  <c r="BO15" i="225"/>
  <c r="BR15" i="225"/>
  <c r="CC15" i="225"/>
  <c r="CA15" i="225"/>
  <c r="BI15" i="225"/>
  <c r="BM15" i="225"/>
  <c r="BR22" i="225"/>
  <c r="BT22" i="225"/>
  <c r="BI22" i="225"/>
  <c r="BK22" i="225"/>
  <c r="BM22" i="225"/>
  <c r="BO22" i="225"/>
  <c r="BR19" i="225"/>
  <c r="BT19" i="225"/>
  <c r="BI19" i="225"/>
  <c r="BK19" i="225"/>
  <c r="BM19" i="225"/>
  <c r="BO19" i="225"/>
  <c r="BV59" i="225"/>
  <c r="EC59" i="225"/>
  <c r="DK59" i="225"/>
  <c r="BX49" i="225"/>
  <c r="DC49" i="225"/>
  <c r="BO32" i="225"/>
  <c r="CA32" i="225"/>
  <c r="BR32" i="225"/>
  <c r="BT32" i="225"/>
  <c r="BI32" i="225"/>
  <c r="BK32" i="225"/>
  <c r="BM32" i="225"/>
  <c r="BK27" i="225"/>
  <c r="BM27" i="225"/>
  <c r="BO27" i="225"/>
  <c r="CA27" i="225"/>
  <c r="BR27" i="225"/>
  <c r="BT27" i="225"/>
  <c r="CC27" i="225"/>
  <c r="BI27" i="225"/>
  <c r="DC56" i="225"/>
  <c r="BX56" i="225"/>
  <c r="DO43" i="225"/>
  <c r="DO66" i="225"/>
  <c r="DO11" i="225"/>
  <c r="CC77" i="225"/>
  <c r="BI77" i="225"/>
  <c r="BK77" i="225"/>
  <c r="BM77" i="225"/>
  <c r="BO77" i="225"/>
  <c r="BR77" i="225"/>
  <c r="BT77" i="225"/>
  <c r="BX53" i="225"/>
  <c r="DC53" i="225"/>
  <c r="BV67" i="225"/>
  <c r="EC67" i="225"/>
  <c r="DI67" i="225"/>
  <c r="BT16" i="225"/>
  <c r="BK16" i="225"/>
  <c r="BO16" i="225"/>
  <c r="CA16" i="225"/>
  <c r="BM16" i="225"/>
  <c r="BR16" i="225"/>
  <c r="CC16" i="225"/>
  <c r="BI16" i="225"/>
  <c r="BK18" i="225"/>
  <c r="BM18" i="225"/>
  <c r="BO18" i="225"/>
  <c r="BT18" i="225"/>
  <c r="CA18" i="225"/>
  <c r="BI18" i="225"/>
  <c r="BR18" i="225"/>
  <c r="CC18" i="225"/>
  <c r="BK9" i="225"/>
  <c r="BT9" i="225"/>
  <c r="CC9" i="225"/>
  <c r="BI9" i="225"/>
  <c r="BM9" i="225"/>
  <c r="BR9" i="225"/>
  <c r="BO9" i="225"/>
  <c r="BV55" i="225"/>
  <c r="EC55" i="225"/>
  <c r="EC50" i="225"/>
  <c r="DK50" i="225"/>
  <c r="BV50" i="225"/>
  <c r="DC13" i="225"/>
  <c r="DO13" i="225"/>
  <c r="DC15" i="225"/>
  <c r="DO15" i="225"/>
  <c r="DC9" i="225"/>
  <c r="DO9" i="225"/>
  <c r="BT12" i="225"/>
  <c r="BO12" i="225"/>
  <c r="BI12" i="225"/>
  <c r="BM12" i="225"/>
  <c r="BK12" i="225"/>
  <c r="CA12" i="225"/>
  <c r="BR12" i="225"/>
  <c r="CC12" i="225"/>
  <c r="DI58" i="225"/>
  <c r="DI60" i="225"/>
  <c r="CA21" i="225"/>
  <c r="BK79" i="225"/>
  <c r="BM79" i="225"/>
  <c r="BO79" i="225"/>
  <c r="CA79" i="225"/>
  <c r="BR79" i="225"/>
  <c r="BT79" i="225"/>
  <c r="BI79" i="225"/>
  <c r="EE75" i="225"/>
  <c r="DO75" i="225"/>
  <c r="DC75" i="225"/>
  <c r="DO78" i="225"/>
  <c r="DC78" i="225"/>
  <c r="BK76" i="225"/>
  <c r="BM76" i="225"/>
  <c r="BO76" i="225"/>
  <c r="CA76" i="225"/>
  <c r="BR76" i="225"/>
  <c r="BT76" i="225"/>
  <c r="BI76" i="225"/>
  <c r="BK69" i="225"/>
  <c r="BT69" i="225"/>
  <c r="BV69" i="225"/>
  <c r="BI69" i="225"/>
  <c r="BR69" i="225"/>
  <c r="BY69" i="225"/>
  <c r="BM69" i="225"/>
  <c r="BO69" i="225"/>
  <c r="DO59" i="225"/>
  <c r="BY59" i="225"/>
  <c r="BK63" i="225"/>
  <c r="BM63" i="225"/>
  <c r="BO63" i="225"/>
  <c r="CA63" i="225"/>
  <c r="BR63" i="225"/>
  <c r="BT63" i="225"/>
  <c r="CC63" i="225"/>
  <c r="BI63" i="225"/>
  <c r="DC57" i="225"/>
  <c r="BX57" i="225"/>
  <c r="BT17" i="225"/>
  <c r="CC17" i="225"/>
  <c r="BI17" i="225"/>
  <c r="BK17" i="225"/>
  <c r="BO17" i="225"/>
  <c r="BR17" i="225"/>
  <c r="CA17" i="225"/>
  <c r="BM17" i="225"/>
  <c r="BR21" i="225"/>
  <c r="BT21" i="225"/>
  <c r="BI21" i="225"/>
  <c r="BK21" i="225"/>
  <c r="BM21" i="225"/>
  <c r="BO21" i="225"/>
  <c r="BM26" i="225"/>
  <c r="BO26" i="225"/>
  <c r="BR26" i="225"/>
  <c r="BT26" i="225"/>
  <c r="BI26" i="225"/>
  <c r="BK26" i="225"/>
  <c r="DO16" i="225"/>
  <c r="DC16" i="225"/>
  <c r="DO48" i="225"/>
  <c r="BY48" i="225"/>
  <c r="DO73" i="225"/>
  <c r="CA69" i="225"/>
  <c r="CA19" i="225"/>
  <c r="K10" i="216"/>
  <c r="BT66" i="225" l="1"/>
  <c r="CA66" i="225"/>
  <c r="BK66" i="225"/>
  <c r="BM66" i="225"/>
  <c r="BO66" i="225"/>
  <c r="BR66" i="225"/>
  <c r="BI66" i="225"/>
  <c r="CC66" i="225"/>
  <c r="BY57" i="225"/>
  <c r="DO57" i="225"/>
  <c r="DO49" i="225"/>
  <c r="BY49" i="225"/>
  <c r="DO46" i="225"/>
  <c r="BY46" i="225"/>
  <c r="DO52" i="225"/>
  <c r="BY52" i="225"/>
  <c r="DO51" i="225"/>
  <c r="BY51" i="225"/>
  <c r="DO45" i="225"/>
  <c r="BY45" i="225"/>
  <c r="BY53" i="225"/>
  <c r="DO53" i="225"/>
  <c r="DO56" i="225"/>
  <c r="BY56" i="225"/>
  <c r="DO50" i="225"/>
  <c r="BY50" i="225"/>
  <c r="DO47" i="225"/>
  <c r="BY47" i="225"/>
  <c r="DO67" i="225"/>
  <c r="BY67" i="225"/>
  <c r="DO54" i="225"/>
  <c r="BY54" i="225"/>
  <c r="EC114" i="223" l="1"/>
  <c r="EC113" i="223"/>
  <c r="CD110" i="223"/>
  <c r="BE110" i="223"/>
  <c r="X110" i="223"/>
  <c r="N110" i="223"/>
  <c r="I110" i="223"/>
  <c r="H110" i="223"/>
  <c r="DM109" i="223"/>
  <c r="DL109" i="223"/>
  <c r="DK109" i="223"/>
  <c r="DJ109" i="223"/>
  <c r="DF109" i="223"/>
  <c r="DG109" i="223" s="1"/>
  <c r="DD109" i="223"/>
  <c r="DE109" i="223" s="1"/>
  <c r="DB109" i="223"/>
  <c r="DC109" i="223" s="1"/>
  <c r="CY109" i="223"/>
  <c r="CZ109" i="223" s="1"/>
  <c r="CW109" i="223"/>
  <c r="CX109" i="223" s="1"/>
  <c r="CV109" i="223"/>
  <c r="CS109" i="223"/>
  <c r="CT109" i="223" s="1"/>
  <c r="CR109" i="223"/>
  <c r="CO109" i="223"/>
  <c r="CP109" i="223" s="1"/>
  <c r="CN109" i="223"/>
  <c r="CL109" i="223"/>
  <c r="CJ109" i="223"/>
  <c r="CH109" i="223"/>
  <c r="CB109" i="223"/>
  <c r="CC109" i="223" s="1"/>
  <c r="BZ109" i="223"/>
  <c r="CA109" i="223" s="1"/>
  <c r="BX109" i="223"/>
  <c r="BV109" i="223"/>
  <c r="BT109" i="223"/>
  <c r="BR109" i="223"/>
  <c r="BO109" i="223"/>
  <c r="BM109" i="223"/>
  <c r="BK109" i="223"/>
  <c r="BI109" i="223"/>
  <c r="BC109" i="223"/>
  <c r="BD109" i="223" s="1"/>
  <c r="AX109" i="223"/>
  <c r="AY109" i="223" s="1"/>
  <c r="AV109" i="223"/>
  <c r="AW109" i="223" s="1"/>
  <c r="AT109" i="223"/>
  <c r="AU109" i="223" s="1"/>
  <c r="AR109" i="223"/>
  <c r="AP109" i="223"/>
  <c r="AN109" i="223"/>
  <c r="AK109" i="223"/>
  <c r="AI109" i="223"/>
  <c r="AG109" i="223"/>
  <c r="AE109" i="223"/>
  <c r="DM108" i="223"/>
  <c r="DL108" i="223"/>
  <c r="DK108" i="223"/>
  <c r="DJ108" i="223"/>
  <c r="DF108" i="223"/>
  <c r="DG108" i="223" s="1"/>
  <c r="DD108" i="223"/>
  <c r="DE108" i="223" s="1"/>
  <c r="DB108" i="223"/>
  <c r="DC108" i="223" s="1"/>
  <c r="CY108" i="223"/>
  <c r="DI108" i="223" s="1"/>
  <c r="CW108" i="223"/>
  <c r="CX108" i="223" s="1"/>
  <c r="CV108" i="223"/>
  <c r="CS108" i="223"/>
  <c r="CT108" i="223" s="1"/>
  <c r="CR108" i="223"/>
  <c r="CO108" i="223"/>
  <c r="CP108" i="223" s="1"/>
  <c r="CN108" i="223"/>
  <c r="CL108" i="223"/>
  <c r="CJ108" i="223"/>
  <c r="CH108" i="223"/>
  <c r="CB108" i="223"/>
  <c r="CC108" i="223" s="1"/>
  <c r="BZ108" i="223"/>
  <c r="CA108" i="223" s="1"/>
  <c r="BX108" i="223"/>
  <c r="BY108" i="223" s="1"/>
  <c r="BV108" i="223"/>
  <c r="BT108" i="223"/>
  <c r="BR108" i="223"/>
  <c r="BO108" i="223"/>
  <c r="BM108" i="223"/>
  <c r="BK108" i="223"/>
  <c r="BI108" i="223"/>
  <c r="BC108" i="223"/>
  <c r="BD108" i="223" s="1"/>
  <c r="AX108" i="223"/>
  <c r="AY108" i="223" s="1"/>
  <c r="AV108" i="223"/>
  <c r="AW108" i="223" s="1"/>
  <c r="AT108" i="223"/>
  <c r="AU108" i="223" s="1"/>
  <c r="AR108" i="223"/>
  <c r="AP108" i="223"/>
  <c r="AN108" i="223"/>
  <c r="AK108" i="223"/>
  <c r="AI108" i="223"/>
  <c r="AG108" i="223"/>
  <c r="AE108" i="223"/>
  <c r="EC107" i="223"/>
  <c r="EC106" i="223"/>
  <c r="EC105" i="223"/>
  <c r="EC104" i="223"/>
  <c r="CB104" i="223"/>
  <c r="CC104" i="223" s="1"/>
  <c r="BZ104" i="223"/>
  <c r="CA104" i="223" s="1"/>
  <c r="BX104" i="223"/>
  <c r="BY104" i="223" s="1"/>
  <c r="BV104" i="223"/>
  <c r="BT104" i="223"/>
  <c r="BR104" i="223"/>
  <c r="BO104" i="223"/>
  <c r="BM104" i="223"/>
  <c r="BK104" i="223"/>
  <c r="BI104" i="223"/>
  <c r="EC103" i="223"/>
  <c r="CB103" i="223"/>
  <c r="CC103" i="223" s="1"/>
  <c r="BZ103" i="223"/>
  <c r="CA103" i="223" s="1"/>
  <c r="BX103" i="223"/>
  <c r="BY103" i="223" s="1"/>
  <c r="BV103" i="223"/>
  <c r="BT103" i="223"/>
  <c r="BR103" i="223"/>
  <c r="BO103" i="223"/>
  <c r="BM103" i="223"/>
  <c r="BK103" i="223"/>
  <c r="BI103" i="223"/>
  <c r="EC102" i="223"/>
  <c r="DO102" i="223"/>
  <c r="EC101" i="223"/>
  <c r="DO101" i="223"/>
  <c r="EC100" i="223"/>
  <c r="EC99" i="223"/>
  <c r="CB99" i="223"/>
  <c r="CC99" i="223" s="1"/>
  <c r="BZ99" i="223"/>
  <c r="CA99" i="223" s="1"/>
  <c r="BX99" i="223"/>
  <c r="BY99" i="223" s="1"/>
  <c r="BV99" i="223"/>
  <c r="BT99" i="223"/>
  <c r="BR99" i="223"/>
  <c r="BO99" i="223"/>
  <c r="BM99" i="223"/>
  <c r="BK99" i="223"/>
  <c r="BI99" i="223"/>
  <c r="EC98" i="223"/>
  <c r="CB98" i="223"/>
  <c r="CC98" i="223" s="1"/>
  <c r="BZ98" i="223"/>
  <c r="CA98" i="223" s="1"/>
  <c r="BX98" i="223"/>
  <c r="BY98" i="223" s="1"/>
  <c r="BV98" i="223"/>
  <c r="BT98" i="223"/>
  <c r="BR98" i="223"/>
  <c r="BO98" i="223"/>
  <c r="BM98" i="223"/>
  <c r="BK98" i="223"/>
  <c r="BI98" i="223"/>
  <c r="L97" i="223"/>
  <c r="Y96" i="223"/>
  <c r="DG95" i="223"/>
  <c r="DE95" i="223"/>
  <c r="CD95" i="223"/>
  <c r="BE95" i="223"/>
  <c r="BD95" i="223"/>
  <c r="AC95" i="223"/>
  <c r="Y95" i="223"/>
  <c r="Y97" i="223" s="1"/>
  <c r="X95" i="223"/>
  <c r="N95" i="223"/>
  <c r="I95" i="223"/>
  <c r="H95" i="223"/>
  <c r="DM94" i="223"/>
  <c r="DL94" i="223"/>
  <c r="DK94" i="223"/>
  <c r="DJ94" i="223"/>
  <c r="DB94" i="223"/>
  <c r="DC94" i="223" s="1"/>
  <c r="CY94" i="223"/>
  <c r="CZ94" i="223" s="1"/>
  <c r="CW94" i="223"/>
  <c r="CX94" i="223" s="1"/>
  <c r="CV94" i="223"/>
  <c r="CS94" i="223"/>
  <c r="CT94" i="223" s="1"/>
  <c r="CR94" i="223"/>
  <c r="CO94" i="223"/>
  <c r="CP94" i="223" s="1"/>
  <c r="CN94" i="223"/>
  <c r="CL94" i="223"/>
  <c r="CJ94" i="223"/>
  <c r="CH94" i="223"/>
  <c r="CB94" i="223"/>
  <c r="CC94" i="223" s="1"/>
  <c r="CC95" i="223" s="1"/>
  <c r="BZ94" i="223"/>
  <c r="CA94" i="223" s="1"/>
  <c r="CA95" i="223" s="1"/>
  <c r="BX94" i="223"/>
  <c r="BY94" i="223" s="1"/>
  <c r="BY95" i="223" s="1"/>
  <c r="BV94" i="223"/>
  <c r="BV95" i="223" s="1"/>
  <c r="BT94" i="223"/>
  <c r="BT95" i="223" s="1"/>
  <c r="BR94" i="223"/>
  <c r="BR95" i="223" s="1"/>
  <c r="BQ95" i="223" s="1"/>
  <c r="BO94" i="223"/>
  <c r="BO95" i="223" s="1"/>
  <c r="BM94" i="223"/>
  <c r="BM95" i="223" s="1"/>
  <c r="BL95" i="223" s="1"/>
  <c r="BK94" i="223"/>
  <c r="BK95" i="223" s="1"/>
  <c r="BJ95" i="223" s="1"/>
  <c r="BI94" i="223"/>
  <c r="BI95" i="223" s="1"/>
  <c r="BH95" i="223" s="1"/>
  <c r="BC94" i="223"/>
  <c r="AX94" i="223"/>
  <c r="AY94" i="223" s="1"/>
  <c r="AV94" i="223"/>
  <c r="AW94" i="223" s="1"/>
  <c r="AT94" i="223"/>
  <c r="AU94" i="223" s="1"/>
  <c r="AR94" i="223"/>
  <c r="AP94" i="223"/>
  <c r="AN94" i="223"/>
  <c r="AK94" i="223"/>
  <c r="AI94" i="223"/>
  <c r="AG94" i="223"/>
  <c r="AE94" i="223"/>
  <c r="DM93" i="223"/>
  <c r="DL93" i="223"/>
  <c r="DK93" i="223"/>
  <c r="DJ93" i="223"/>
  <c r="DB93" i="223"/>
  <c r="DC93" i="223" s="1"/>
  <c r="DC95" i="223" s="1"/>
  <c r="CY93" i="223"/>
  <c r="CZ93" i="223" s="1"/>
  <c r="CZ95" i="223" s="1"/>
  <c r="CW93" i="223"/>
  <c r="CX93" i="223" s="1"/>
  <c r="CX95" i="223" s="1"/>
  <c r="CW95" i="223" s="1"/>
  <c r="CV93" i="223"/>
  <c r="CV95" i="223" s="1"/>
  <c r="CS93" i="223"/>
  <c r="CT93" i="223" s="1"/>
  <c r="CT95" i="223" s="1"/>
  <c r="CR93" i="223"/>
  <c r="CR95" i="223" s="1"/>
  <c r="CQ95" i="223" s="1"/>
  <c r="CO93" i="223"/>
  <c r="CP93" i="223" s="1"/>
  <c r="CP95" i="223" s="1"/>
  <c r="CN93" i="223"/>
  <c r="CN95" i="223" s="1"/>
  <c r="CM95" i="223" s="1"/>
  <c r="CL93" i="223"/>
  <c r="CL95" i="223" s="1"/>
  <c r="CK95" i="223" s="1"/>
  <c r="CJ93" i="223"/>
  <c r="CJ95" i="223" s="1"/>
  <c r="CH93" i="223"/>
  <c r="CH95" i="223" s="1"/>
  <c r="CB93" i="223"/>
  <c r="CC93" i="223" s="1"/>
  <c r="BZ93" i="223"/>
  <c r="CA93" i="223" s="1"/>
  <c r="BX93" i="223"/>
  <c r="BV93" i="223"/>
  <c r="BT93" i="223"/>
  <c r="BR93" i="223"/>
  <c r="BO93" i="223"/>
  <c r="BM93" i="223"/>
  <c r="BK93" i="223"/>
  <c r="BI93" i="223"/>
  <c r="BC93" i="223"/>
  <c r="BD93" i="223" s="1"/>
  <c r="BD96" i="223" s="1"/>
  <c r="AX93" i="223"/>
  <c r="AY93" i="223" s="1"/>
  <c r="AY95" i="223" s="1"/>
  <c r="AV93" i="223"/>
  <c r="AW93" i="223" s="1"/>
  <c r="AW95" i="223" s="1"/>
  <c r="AT93" i="223"/>
  <c r="AU93" i="223" s="1"/>
  <c r="AU95" i="223" s="1"/>
  <c r="AR93" i="223"/>
  <c r="AR95" i="223" s="1"/>
  <c r="AP93" i="223"/>
  <c r="AP95" i="223" s="1"/>
  <c r="AN93" i="223"/>
  <c r="AN95" i="223" s="1"/>
  <c r="AK93" i="223"/>
  <c r="AK95" i="223" s="1"/>
  <c r="AI93" i="223"/>
  <c r="AI95" i="223" s="1"/>
  <c r="AG93" i="223"/>
  <c r="AG95" i="223" s="1"/>
  <c r="AE93" i="223"/>
  <c r="AE95" i="223" s="1"/>
  <c r="DM92" i="223"/>
  <c r="AC92" i="223"/>
  <c r="X92" i="223"/>
  <c r="N92" i="223"/>
  <c r="I92" i="223"/>
  <c r="W92" i="223" s="1"/>
  <c r="H92" i="223"/>
  <c r="H96" i="223" s="1"/>
  <c r="CY91" i="223"/>
  <c r="EC91" i="223" s="1"/>
  <c r="CW91" i="223"/>
  <c r="CS91" i="223"/>
  <c r="CO91" i="223"/>
  <c r="CG91" i="223"/>
  <c r="DD91" i="223" s="1"/>
  <c r="CD91" i="223"/>
  <c r="CB91" i="223"/>
  <c r="BZ91" i="223"/>
  <c r="BX91" i="223"/>
  <c r="BV91" i="223"/>
  <c r="BC91" i="223"/>
  <c r="AX91" i="223"/>
  <c r="AY91" i="223" s="1"/>
  <c r="AV91" i="223"/>
  <c r="AW91" i="223" s="1"/>
  <c r="AQ91" i="223"/>
  <c r="AT91" i="223" s="1"/>
  <c r="AU91" i="223" s="1"/>
  <c r="AP91" i="223"/>
  <c r="AN91" i="223"/>
  <c r="AK91" i="223"/>
  <c r="AI91" i="223"/>
  <c r="AG91" i="223"/>
  <c r="AE91" i="223"/>
  <c r="DM90" i="223"/>
  <c r="DL90" i="223"/>
  <c r="DJ90" i="223"/>
  <c r="CY90" i="223"/>
  <c r="DI90" i="223" s="1"/>
  <c r="CW90" i="223"/>
  <c r="CS90" i="223"/>
  <c r="CO90" i="223"/>
  <c r="CG90" i="223"/>
  <c r="DD90" i="223" s="1"/>
  <c r="DE90" i="223" s="1"/>
  <c r="CD90" i="223"/>
  <c r="CB90" i="223"/>
  <c r="BZ90" i="223"/>
  <c r="BX90" i="223"/>
  <c r="BV90" i="223"/>
  <c r="BE90" i="223"/>
  <c r="BK90" i="223" s="1"/>
  <c r="BC90" i="223"/>
  <c r="BD90" i="223" s="1"/>
  <c r="AX90" i="223"/>
  <c r="AY90" i="223" s="1"/>
  <c r="AV90" i="223"/>
  <c r="AW90" i="223" s="1"/>
  <c r="AQ90" i="223"/>
  <c r="AR90" i="223" s="1"/>
  <c r="AP90" i="223"/>
  <c r="AP92" i="223" s="1"/>
  <c r="AO92" i="223" s="1"/>
  <c r="AN90" i="223"/>
  <c r="AK90" i="223"/>
  <c r="AI90" i="223"/>
  <c r="AG90" i="223"/>
  <c r="AE90" i="223"/>
  <c r="EC89" i="223"/>
  <c r="DO89" i="223"/>
  <c r="DM89" i="223"/>
  <c r="DL89" i="223"/>
  <c r="AC87" i="223"/>
  <c r="X87" i="223"/>
  <c r="N87" i="223"/>
  <c r="I87" i="223"/>
  <c r="W87" i="223" s="1"/>
  <c r="H87" i="223"/>
  <c r="DM86" i="223"/>
  <c r="DL86" i="223"/>
  <c r="DJ86" i="223"/>
  <c r="CY86" i="223"/>
  <c r="CW86" i="223"/>
  <c r="CS86" i="223"/>
  <c r="CO86" i="223"/>
  <c r="CG86" i="223"/>
  <c r="DB86" i="223" s="1"/>
  <c r="CD86" i="223"/>
  <c r="CN86" i="223" s="1"/>
  <c r="CB86" i="223"/>
  <c r="BZ86" i="223"/>
  <c r="BX86" i="223"/>
  <c r="BY86" i="223" s="1"/>
  <c r="BV86" i="223"/>
  <c r="BC86" i="223"/>
  <c r="AX86" i="223"/>
  <c r="AY86" i="223" s="1"/>
  <c r="AV86" i="223"/>
  <c r="AW86" i="223" s="1"/>
  <c r="AQ86" i="223"/>
  <c r="AR86" i="223" s="1"/>
  <c r="AP86" i="223"/>
  <c r="AN86" i="223"/>
  <c r="AK86" i="223"/>
  <c r="AI86" i="223"/>
  <c r="AG86" i="223"/>
  <c r="AE86" i="223"/>
  <c r="DM85" i="223"/>
  <c r="DL85" i="223"/>
  <c r="DJ85" i="223"/>
  <c r="CY85" i="223"/>
  <c r="DA85" i="223" s="1"/>
  <c r="DH85" i="223" s="1"/>
  <c r="CW85" i="223"/>
  <c r="CS85" i="223"/>
  <c r="CO85" i="223"/>
  <c r="CG85" i="223"/>
  <c r="DD85" i="223" s="1"/>
  <c r="CD85" i="223"/>
  <c r="BE85" i="223" s="1"/>
  <c r="CB85" i="223"/>
  <c r="BZ85" i="223"/>
  <c r="BX85" i="223"/>
  <c r="BY85" i="223" s="1"/>
  <c r="BV85" i="223"/>
  <c r="BC85" i="223"/>
  <c r="AX85" i="223"/>
  <c r="AY85" i="223" s="1"/>
  <c r="AV85" i="223"/>
  <c r="AW85" i="223" s="1"/>
  <c r="AQ85" i="223"/>
  <c r="DK85" i="223" s="1"/>
  <c r="AP85" i="223"/>
  <c r="AN85" i="223"/>
  <c r="AK85" i="223"/>
  <c r="AI85" i="223"/>
  <c r="AG85" i="223"/>
  <c r="AE85" i="223"/>
  <c r="DM84" i="223"/>
  <c r="DL84" i="223"/>
  <c r="DJ84" i="223"/>
  <c r="CY84" i="223"/>
  <c r="DI84" i="223" s="1"/>
  <c r="CW84" i="223"/>
  <c r="CS84" i="223"/>
  <c r="CO84" i="223"/>
  <c r="CG84" i="223"/>
  <c r="DB84" i="223" s="1"/>
  <c r="CD84" i="223"/>
  <c r="CL84" i="223" s="1"/>
  <c r="CB84" i="223"/>
  <c r="BZ84" i="223"/>
  <c r="BX84" i="223"/>
  <c r="BV84" i="223"/>
  <c r="BE84" i="223"/>
  <c r="BI84" i="223" s="1"/>
  <c r="BC84" i="223"/>
  <c r="AX84" i="223"/>
  <c r="AY84" i="223" s="1"/>
  <c r="AV84" i="223"/>
  <c r="AW84" i="223" s="1"/>
  <c r="AT84" i="223"/>
  <c r="AU84" i="223" s="1"/>
  <c r="AP84" i="223"/>
  <c r="AN84" i="223"/>
  <c r="AK84" i="223"/>
  <c r="AI84" i="223"/>
  <c r="AG84" i="223"/>
  <c r="AE84" i="223"/>
  <c r="EC83" i="223"/>
  <c r="DM83" i="223"/>
  <c r="DL83" i="223"/>
  <c r="DJ83" i="223"/>
  <c r="CY83" i="223"/>
  <c r="DI83" i="223" s="1"/>
  <c r="CW83" i="223"/>
  <c r="CS83" i="223"/>
  <c r="CT83" i="223" s="1"/>
  <c r="CO83" i="223"/>
  <c r="CG83" i="223"/>
  <c r="DD83" i="223" s="1"/>
  <c r="CD83" i="223"/>
  <c r="CN83" i="223" s="1"/>
  <c r="CB83" i="223"/>
  <c r="BZ83" i="223"/>
  <c r="BX83" i="223"/>
  <c r="BV83" i="223"/>
  <c r="BC83" i="223"/>
  <c r="AX83" i="223"/>
  <c r="AY83" i="223" s="1"/>
  <c r="AV83" i="223"/>
  <c r="AW83" i="223" s="1"/>
  <c r="AR83" i="223"/>
  <c r="AP83" i="223"/>
  <c r="AN83" i="223"/>
  <c r="AK83" i="223"/>
  <c r="AI83" i="223"/>
  <c r="AG83" i="223"/>
  <c r="AE83" i="223"/>
  <c r="DM82" i="223"/>
  <c r="DL82" i="223"/>
  <c r="DJ82" i="223"/>
  <c r="CY82" i="223"/>
  <c r="CW82" i="223"/>
  <c r="CS82" i="223"/>
  <c r="CO82" i="223"/>
  <c r="CG82" i="223"/>
  <c r="DF82" i="223" s="1"/>
  <c r="CD82" i="223"/>
  <c r="CJ82" i="223" s="1"/>
  <c r="CB82" i="223"/>
  <c r="BZ82" i="223"/>
  <c r="BX82" i="223"/>
  <c r="BY82" i="223" s="1"/>
  <c r="BV82" i="223"/>
  <c r="BC82" i="223"/>
  <c r="AX82" i="223"/>
  <c r="AY82" i="223" s="1"/>
  <c r="AV82" i="223"/>
  <c r="AW82" i="223" s="1"/>
  <c r="DK82" i="223"/>
  <c r="AP82" i="223"/>
  <c r="AN82" i="223"/>
  <c r="AK82" i="223"/>
  <c r="AI82" i="223"/>
  <c r="AG82" i="223"/>
  <c r="AE82" i="223"/>
  <c r="DM81" i="223"/>
  <c r="DL81" i="223"/>
  <c r="DJ81" i="223"/>
  <c r="CY81" i="223"/>
  <c r="CW81" i="223"/>
  <c r="CS81" i="223"/>
  <c r="CO81" i="223"/>
  <c r="CG81" i="223"/>
  <c r="DB81" i="223" s="1"/>
  <c r="CD81" i="223"/>
  <c r="CL81" i="223" s="1"/>
  <c r="CB81" i="223"/>
  <c r="BZ81" i="223"/>
  <c r="BX81" i="223"/>
  <c r="BY81" i="223" s="1"/>
  <c r="BV81" i="223"/>
  <c r="BC81" i="223"/>
  <c r="AX81" i="223"/>
  <c r="AY81" i="223" s="1"/>
  <c r="AV81" i="223"/>
  <c r="AW81" i="223" s="1"/>
  <c r="DK81" i="223"/>
  <c r="AP81" i="223"/>
  <c r="AN81" i="223"/>
  <c r="AK81" i="223"/>
  <c r="AI81" i="223"/>
  <c r="AG81" i="223"/>
  <c r="AE81" i="223"/>
  <c r="EC80" i="223"/>
  <c r="DO80" i="223"/>
  <c r="AC78" i="223"/>
  <c r="X78" i="223"/>
  <c r="N78" i="223"/>
  <c r="I78" i="223"/>
  <c r="W78" i="223" s="1"/>
  <c r="H78" i="223"/>
  <c r="DM77" i="223"/>
  <c r="DL77" i="223"/>
  <c r="DJ77" i="223"/>
  <c r="CY77" i="223"/>
  <c r="DA77" i="223" s="1"/>
  <c r="DH77" i="223" s="1"/>
  <c r="CW77" i="223"/>
  <c r="CS77" i="223"/>
  <c r="CO77" i="223"/>
  <c r="CG77" i="223"/>
  <c r="DF77" i="223" s="1"/>
  <c r="CD77" i="223"/>
  <c r="CB77" i="223"/>
  <c r="BZ77" i="223"/>
  <c r="BX77" i="223"/>
  <c r="BC77" i="223"/>
  <c r="AX77" i="223"/>
  <c r="AY77" i="223" s="1"/>
  <c r="AV77" i="223"/>
  <c r="AW77" i="223" s="1"/>
  <c r="AQ77" i="223"/>
  <c r="DK77" i="223" s="1"/>
  <c r="AP77" i="223"/>
  <c r="AN77" i="223"/>
  <c r="AK77" i="223"/>
  <c r="AI77" i="223"/>
  <c r="AG77" i="223"/>
  <c r="AE77" i="223"/>
  <c r="DM76" i="223"/>
  <c r="DL76" i="223"/>
  <c r="DJ76" i="223"/>
  <c r="CY76" i="223"/>
  <c r="DA76" i="223" s="1"/>
  <c r="DH76" i="223" s="1"/>
  <c r="CW76" i="223"/>
  <c r="CS76" i="223"/>
  <c r="CO76" i="223"/>
  <c r="CG76" i="223"/>
  <c r="DF76" i="223" s="1"/>
  <c r="CD76" i="223"/>
  <c r="CR76" i="223" s="1"/>
  <c r="CB76" i="223"/>
  <c r="BZ76" i="223"/>
  <c r="BX76" i="223"/>
  <c r="BC76" i="223"/>
  <c r="AX76" i="223"/>
  <c r="AY76" i="223" s="1"/>
  <c r="AV76" i="223"/>
  <c r="AW76" i="223" s="1"/>
  <c r="AQ76" i="223"/>
  <c r="DK76" i="223" s="1"/>
  <c r="AP76" i="223"/>
  <c r="AN76" i="223"/>
  <c r="AK76" i="223"/>
  <c r="AI76" i="223"/>
  <c r="AG76" i="223"/>
  <c r="AE76" i="223"/>
  <c r="DM75" i="223"/>
  <c r="DL75" i="223"/>
  <c r="DJ75" i="223"/>
  <c r="CY75" i="223"/>
  <c r="CW75" i="223"/>
  <c r="CS75" i="223"/>
  <c r="CO75" i="223"/>
  <c r="CG75" i="223"/>
  <c r="DB75" i="223" s="1"/>
  <c r="CD75" i="223"/>
  <c r="CJ75" i="223" s="1"/>
  <c r="CB75" i="223"/>
  <c r="BZ75" i="223"/>
  <c r="BX75" i="223"/>
  <c r="BC75" i="223"/>
  <c r="BD75" i="223" s="1"/>
  <c r="AX75" i="223"/>
  <c r="AY75" i="223" s="1"/>
  <c r="AV75" i="223"/>
  <c r="AW75" i="223" s="1"/>
  <c r="AQ75" i="223"/>
  <c r="AP75" i="223"/>
  <c r="AN75" i="223"/>
  <c r="AK75" i="223"/>
  <c r="AI75" i="223"/>
  <c r="AG75" i="223"/>
  <c r="AE75" i="223"/>
  <c r="DM74" i="223"/>
  <c r="DL74" i="223"/>
  <c r="DJ74" i="223"/>
  <c r="CY74" i="223"/>
  <c r="CW74" i="223"/>
  <c r="CS74" i="223"/>
  <c r="CO74" i="223"/>
  <c r="CG74" i="223"/>
  <c r="CD74" i="223"/>
  <c r="CR74" i="223" s="1"/>
  <c r="CB74" i="223"/>
  <c r="BZ74" i="223"/>
  <c r="BX74" i="223"/>
  <c r="BC74" i="223"/>
  <c r="AX74" i="223"/>
  <c r="AY74" i="223" s="1"/>
  <c r="AV74" i="223"/>
  <c r="AW74" i="223" s="1"/>
  <c r="AQ74" i="223"/>
  <c r="AR74" i="223" s="1"/>
  <c r="AP74" i="223"/>
  <c r="AN74" i="223"/>
  <c r="AK74" i="223"/>
  <c r="AI74" i="223"/>
  <c r="AG74" i="223"/>
  <c r="AE74" i="223"/>
  <c r="DM73" i="223"/>
  <c r="DL73" i="223"/>
  <c r="DJ73" i="223"/>
  <c r="CY73" i="223"/>
  <c r="DA73" i="223" s="1"/>
  <c r="DH73" i="223" s="1"/>
  <c r="CW73" i="223"/>
  <c r="CS73" i="223"/>
  <c r="CO73" i="223"/>
  <c r="CG73" i="223"/>
  <c r="DD73" i="223" s="1"/>
  <c r="CD73" i="223"/>
  <c r="CR73" i="223" s="1"/>
  <c r="CB73" i="223"/>
  <c r="BZ73" i="223"/>
  <c r="BX73" i="223"/>
  <c r="BC73" i="223"/>
  <c r="BD73" i="223" s="1"/>
  <c r="AY73" i="223"/>
  <c r="AX73" i="223"/>
  <c r="AV73" i="223"/>
  <c r="AW73" i="223" s="1"/>
  <c r="AQ73" i="223"/>
  <c r="AT73" i="223" s="1"/>
  <c r="AU73" i="223" s="1"/>
  <c r="AP73" i="223"/>
  <c r="AN73" i="223"/>
  <c r="AK73" i="223"/>
  <c r="AI73" i="223"/>
  <c r="AG73" i="223"/>
  <c r="AE73" i="223"/>
  <c r="DM72" i="223"/>
  <c r="DL72" i="223"/>
  <c r="DJ72" i="223"/>
  <c r="CY72" i="223"/>
  <c r="CW72" i="223"/>
  <c r="CS72" i="223"/>
  <c r="CR72" i="223"/>
  <c r="CO72" i="223"/>
  <c r="CG72" i="223"/>
  <c r="DD72" i="223" s="1"/>
  <c r="CD72" i="223"/>
  <c r="CB72" i="223"/>
  <c r="CC72" i="223" s="1"/>
  <c r="BZ72" i="223"/>
  <c r="BX72" i="223"/>
  <c r="BE72" i="223"/>
  <c r="BC72" i="223"/>
  <c r="AX72" i="223"/>
  <c r="AY72" i="223" s="1"/>
  <c r="AV72" i="223"/>
  <c r="AW72" i="223" s="1"/>
  <c r="AQ72" i="223"/>
  <c r="AP72" i="223"/>
  <c r="AN72" i="223"/>
  <c r="AK72" i="223"/>
  <c r="AI72" i="223"/>
  <c r="AG72" i="223"/>
  <c r="AE72" i="223"/>
  <c r="DG71" i="223"/>
  <c r="DE71" i="223"/>
  <c r="DC71" i="223"/>
  <c r="CZ71" i="223"/>
  <c r="CX71" i="223"/>
  <c r="CV71" i="223"/>
  <c r="CT71" i="223"/>
  <c r="CR71" i="223"/>
  <c r="CP71" i="223"/>
  <c r="CN71" i="223"/>
  <c r="CL71" i="223"/>
  <c r="CJ71" i="223"/>
  <c r="CH71" i="223"/>
  <c r="CD71" i="223"/>
  <c r="CC71" i="223"/>
  <c r="CA71" i="223"/>
  <c r="BY71" i="223"/>
  <c r="BV71" i="223"/>
  <c r="BT71" i="223"/>
  <c r="BR71" i="223"/>
  <c r="BO71" i="223"/>
  <c r="BM71" i="223"/>
  <c r="BK71" i="223"/>
  <c r="BI71" i="223"/>
  <c r="BE71" i="223"/>
  <c r="BD71" i="223"/>
  <c r="AY71" i="223"/>
  <c r="AW71" i="223"/>
  <c r="AU71" i="223"/>
  <c r="AR71" i="223"/>
  <c r="AP71" i="223"/>
  <c r="AN71" i="223"/>
  <c r="AK71" i="223"/>
  <c r="AI71" i="223"/>
  <c r="AG71" i="223"/>
  <c r="AE71" i="223"/>
  <c r="AC71" i="223"/>
  <c r="AD71" i="223" s="1"/>
  <c r="X71" i="223"/>
  <c r="N71" i="223"/>
  <c r="I71" i="223"/>
  <c r="W71" i="223" s="1"/>
  <c r="H71" i="223"/>
  <c r="AC69" i="223"/>
  <c r="Y69" i="223"/>
  <c r="X69" i="223"/>
  <c r="DM68" i="223"/>
  <c r="DL68" i="223"/>
  <c r="DJ68" i="223"/>
  <c r="CY68" i="223"/>
  <c r="DA68" i="223" s="1"/>
  <c r="DH68" i="223" s="1"/>
  <c r="CW68" i="223"/>
  <c r="CS68" i="223"/>
  <c r="CO68" i="223"/>
  <c r="CG68" i="223"/>
  <c r="DF68" i="223" s="1"/>
  <c r="CD68" i="223"/>
  <c r="CB68" i="223"/>
  <c r="CC68" i="223" s="1"/>
  <c r="BZ68" i="223"/>
  <c r="CA68" i="223" s="1"/>
  <c r="BT68" i="223"/>
  <c r="BR68" i="223"/>
  <c r="BO68" i="223"/>
  <c r="BM68" i="223"/>
  <c r="BK68" i="223"/>
  <c r="BI68" i="223"/>
  <c r="BC68" i="223"/>
  <c r="AX68" i="223"/>
  <c r="AY68" i="223" s="1"/>
  <c r="AV68" i="223"/>
  <c r="AW68" i="223" s="1"/>
  <c r="AQ68" i="223"/>
  <c r="AR68" i="223" s="1"/>
  <c r="AP68" i="223"/>
  <c r="AN68" i="223"/>
  <c r="AK68" i="223"/>
  <c r="AI68" i="223"/>
  <c r="AG68" i="223"/>
  <c r="AE68" i="223"/>
  <c r="DM67" i="223"/>
  <c r="DL67" i="223"/>
  <c r="DJ67" i="223"/>
  <c r="CY67" i="223"/>
  <c r="CW67" i="223"/>
  <c r="CS67" i="223"/>
  <c r="CO67" i="223"/>
  <c r="CG67" i="223"/>
  <c r="DD67" i="223" s="1"/>
  <c r="CB67" i="223"/>
  <c r="BZ67" i="223"/>
  <c r="BX67" i="223"/>
  <c r="BC67" i="223"/>
  <c r="AX67" i="223"/>
  <c r="AY67" i="223" s="1"/>
  <c r="AV67" i="223"/>
  <c r="AW67" i="223" s="1"/>
  <c r="AQ67" i="223"/>
  <c r="DK67" i="223" s="1"/>
  <c r="AP67" i="223"/>
  <c r="AN67" i="223"/>
  <c r="AK67" i="223"/>
  <c r="AI67" i="223"/>
  <c r="AG67" i="223"/>
  <c r="AE67" i="223"/>
  <c r="N67" i="223"/>
  <c r="N69" i="223" s="1"/>
  <c r="I67" i="223"/>
  <c r="BV67" i="223" s="1"/>
  <c r="H67" i="223"/>
  <c r="H69" i="223" s="1"/>
  <c r="H88" i="223" s="1"/>
  <c r="CY66" i="223"/>
  <c r="CW66" i="223"/>
  <c r="CS66" i="223"/>
  <c r="CO66" i="223"/>
  <c r="CG66" i="223"/>
  <c r="DF66" i="223" s="1"/>
  <c r="DG66" i="223" s="1"/>
  <c r="CD66" i="223"/>
  <c r="CN66" i="223" s="1"/>
  <c r="CB66" i="223"/>
  <c r="BZ66" i="223"/>
  <c r="BX66" i="223"/>
  <c r="BY66" i="223" s="1"/>
  <c r="BV66" i="223"/>
  <c r="BC66" i="223"/>
  <c r="BD66" i="223" s="1"/>
  <c r="AX66" i="223"/>
  <c r="AY66" i="223" s="1"/>
  <c r="AV66" i="223"/>
  <c r="AW66" i="223" s="1"/>
  <c r="AQ66" i="223"/>
  <c r="AR66" i="223" s="1"/>
  <c r="AP66" i="223"/>
  <c r="AN66" i="223"/>
  <c r="AK66" i="223"/>
  <c r="AI66" i="223"/>
  <c r="AG66" i="223"/>
  <c r="AE66" i="223"/>
  <c r="DM65" i="223"/>
  <c r="DL65" i="223"/>
  <c r="DJ65" i="223"/>
  <c r="CY65" i="223"/>
  <c r="EC65" i="223" s="1"/>
  <c r="CW65" i="223"/>
  <c r="CS65" i="223"/>
  <c r="CO65" i="223"/>
  <c r="CG65" i="223"/>
  <c r="CD65" i="223"/>
  <c r="CB65" i="223"/>
  <c r="BZ65" i="223"/>
  <c r="BX65" i="223"/>
  <c r="BY65" i="223" s="1"/>
  <c r="BV65" i="223"/>
  <c r="BC65" i="223"/>
  <c r="BD65" i="223" s="1"/>
  <c r="AX65" i="223"/>
  <c r="AY65" i="223" s="1"/>
  <c r="AV65" i="223"/>
  <c r="AW65" i="223" s="1"/>
  <c r="AQ65" i="223"/>
  <c r="DK65" i="223" s="1"/>
  <c r="AP65" i="223"/>
  <c r="AN65" i="223"/>
  <c r="AK65" i="223"/>
  <c r="AI65" i="223"/>
  <c r="AG65" i="223"/>
  <c r="AE65" i="223"/>
  <c r="DM64" i="223"/>
  <c r="DL64" i="223"/>
  <c r="DJ64" i="223"/>
  <c r="CY64" i="223"/>
  <c r="EC64" i="223" s="1"/>
  <c r="CW64" i="223"/>
  <c r="CS64" i="223"/>
  <c r="CO64" i="223"/>
  <c r="CG64" i="223"/>
  <c r="DD64" i="223" s="1"/>
  <c r="CD64" i="223"/>
  <c r="CV64" i="223" s="1"/>
  <c r="CB64" i="223"/>
  <c r="BZ64" i="223"/>
  <c r="BX64" i="223"/>
  <c r="BY64" i="223" s="1"/>
  <c r="BV64" i="223"/>
  <c r="BC64" i="223"/>
  <c r="AX64" i="223"/>
  <c r="AY64" i="223" s="1"/>
  <c r="AV64" i="223"/>
  <c r="AW64" i="223" s="1"/>
  <c r="AQ64" i="223"/>
  <c r="AP64" i="223"/>
  <c r="AN64" i="223"/>
  <c r="AK64" i="223"/>
  <c r="AI64" i="223"/>
  <c r="AG64" i="223"/>
  <c r="AE64" i="223"/>
  <c r="DM63" i="223"/>
  <c r="DL63" i="223"/>
  <c r="DJ63" i="223"/>
  <c r="AC63" i="223"/>
  <c r="Y63" i="223"/>
  <c r="X63" i="223"/>
  <c r="N63" i="223"/>
  <c r="CY62" i="223"/>
  <c r="CW62" i="223"/>
  <c r="CS62" i="223"/>
  <c r="CO62" i="223"/>
  <c r="CG62" i="223"/>
  <c r="DB62" i="223" s="1"/>
  <c r="BX62" i="223" s="1"/>
  <c r="BY62" i="223" s="1"/>
  <c r="CD62" i="223"/>
  <c r="CB62" i="223"/>
  <c r="CC62" i="223" s="1"/>
  <c r="CA62" i="223"/>
  <c r="BZ62" i="223"/>
  <c r="BT62" i="223"/>
  <c r="BR62" i="223"/>
  <c r="BO62" i="223"/>
  <c r="BM62" i="223"/>
  <c r="BK62" i="223"/>
  <c r="BI62" i="223"/>
  <c r="BC62" i="223"/>
  <c r="BD62" i="223" s="1"/>
  <c r="AX62" i="223"/>
  <c r="AY62" i="223" s="1"/>
  <c r="AV62" i="223"/>
  <c r="AW62" i="223" s="1"/>
  <c r="AR62" i="223"/>
  <c r="AQ62" i="223"/>
  <c r="AT62" i="223" s="1"/>
  <c r="AU62" i="223" s="1"/>
  <c r="AP62" i="223"/>
  <c r="AN62" i="223"/>
  <c r="AK62" i="223"/>
  <c r="AI62" i="223"/>
  <c r="AG62" i="223"/>
  <c r="AE62" i="223"/>
  <c r="DM61" i="223"/>
  <c r="DL61" i="223"/>
  <c r="DJ61" i="223"/>
  <c r="CY61" i="223"/>
  <c r="DA61" i="223" s="1"/>
  <c r="DH61" i="223" s="1"/>
  <c r="CW61" i="223"/>
  <c r="CS61" i="223"/>
  <c r="CO61" i="223"/>
  <c r="CG61" i="223"/>
  <c r="DB61" i="223" s="1"/>
  <c r="CD61" i="223"/>
  <c r="CV61" i="223" s="1"/>
  <c r="CB61" i="223"/>
  <c r="CC61" i="223" s="1"/>
  <c r="BZ61" i="223"/>
  <c r="CA61" i="223" s="1"/>
  <c r="BT61" i="223"/>
  <c r="BR61" i="223"/>
  <c r="BO61" i="223"/>
  <c r="BM61" i="223"/>
  <c r="BK61" i="223"/>
  <c r="BI61" i="223"/>
  <c r="BC61" i="223"/>
  <c r="AX61" i="223"/>
  <c r="AY61" i="223" s="1"/>
  <c r="AV61" i="223"/>
  <c r="AW61" i="223" s="1"/>
  <c r="AQ61" i="223"/>
  <c r="AR61" i="223" s="1"/>
  <c r="AP61" i="223"/>
  <c r="AN61" i="223"/>
  <c r="AK61" i="223"/>
  <c r="AI61" i="223"/>
  <c r="AG61" i="223"/>
  <c r="AE61" i="223"/>
  <c r="DM60" i="223"/>
  <c r="DL60" i="223"/>
  <c r="DJ60" i="223"/>
  <c r="CY60" i="223"/>
  <c r="CW60" i="223"/>
  <c r="CS60" i="223"/>
  <c r="CO60" i="223"/>
  <c r="CG60" i="223"/>
  <c r="DD60" i="223" s="1"/>
  <c r="CD60" i="223"/>
  <c r="CB60" i="223"/>
  <c r="CC60" i="223" s="1"/>
  <c r="BZ60" i="223"/>
  <c r="CA60" i="223" s="1"/>
  <c r="BT60" i="223"/>
  <c r="BR60" i="223"/>
  <c r="BO60" i="223"/>
  <c r="BM60" i="223"/>
  <c r="BK60" i="223"/>
  <c r="BI60" i="223"/>
  <c r="BC60" i="223"/>
  <c r="AX60" i="223"/>
  <c r="AY60" i="223" s="1"/>
  <c r="AV60" i="223"/>
  <c r="AW60" i="223" s="1"/>
  <c r="AQ60" i="223"/>
  <c r="AR60" i="223" s="1"/>
  <c r="AP60" i="223"/>
  <c r="AN60" i="223"/>
  <c r="AK60" i="223"/>
  <c r="AI60" i="223"/>
  <c r="AG60" i="223"/>
  <c r="AE60" i="223"/>
  <c r="J60" i="223"/>
  <c r="K60" i="223" s="1"/>
  <c r="DM59" i="223"/>
  <c r="DL59" i="223"/>
  <c r="DJ59" i="223"/>
  <c r="CY59" i="223"/>
  <c r="CW59" i="223"/>
  <c r="CS59" i="223"/>
  <c r="CO59" i="223"/>
  <c r="CG59" i="223"/>
  <c r="DF59" i="223" s="1"/>
  <c r="CD59" i="223"/>
  <c r="CV59" i="223" s="1"/>
  <c r="CB59" i="223"/>
  <c r="CC59" i="223" s="1"/>
  <c r="BZ59" i="223"/>
  <c r="CA59" i="223" s="1"/>
  <c r="BT59" i="223"/>
  <c r="BR59" i="223"/>
  <c r="BO59" i="223"/>
  <c r="BM59" i="223"/>
  <c r="BK59" i="223"/>
  <c r="BI59" i="223"/>
  <c r="BC59" i="223"/>
  <c r="AX59" i="223"/>
  <c r="AY59" i="223" s="1"/>
  <c r="AV59" i="223"/>
  <c r="AW59" i="223" s="1"/>
  <c r="AQ59" i="223"/>
  <c r="AR59" i="223" s="1"/>
  <c r="AP59" i="223"/>
  <c r="AN59" i="223"/>
  <c r="AK59" i="223"/>
  <c r="AI59" i="223"/>
  <c r="AG59" i="223"/>
  <c r="AE59" i="223"/>
  <c r="J59" i="223"/>
  <c r="K59" i="223" s="1"/>
  <c r="DM58" i="223"/>
  <c r="DL58" i="223"/>
  <c r="DJ58" i="223"/>
  <c r="CY58" i="223"/>
  <c r="DA58" i="223" s="1"/>
  <c r="DH58" i="223" s="1"/>
  <c r="CW58" i="223"/>
  <c r="CS58" i="223"/>
  <c r="CO58" i="223"/>
  <c r="CG58" i="223"/>
  <c r="DD58" i="223" s="1"/>
  <c r="CD58" i="223"/>
  <c r="CR58" i="223" s="1"/>
  <c r="CB58" i="223"/>
  <c r="CC58" i="223" s="1"/>
  <c r="BZ58" i="223"/>
  <c r="CA58" i="223" s="1"/>
  <c r="BT58" i="223"/>
  <c r="BR58" i="223"/>
  <c r="BO58" i="223"/>
  <c r="BM58" i="223"/>
  <c r="BK58" i="223"/>
  <c r="BI58" i="223"/>
  <c r="BC58" i="223"/>
  <c r="BD58" i="223" s="1"/>
  <c r="AX58" i="223"/>
  <c r="AY58" i="223" s="1"/>
  <c r="AV58" i="223"/>
  <c r="AW58" i="223" s="1"/>
  <c r="AQ58" i="223"/>
  <c r="AR58" i="223" s="1"/>
  <c r="AP58" i="223"/>
  <c r="AN58" i="223"/>
  <c r="AK58" i="223"/>
  <c r="AI58" i="223"/>
  <c r="AG58" i="223"/>
  <c r="AE58" i="223"/>
  <c r="DM57" i="223"/>
  <c r="DL57" i="223"/>
  <c r="DJ57" i="223"/>
  <c r="CY57" i="223"/>
  <c r="BU57" i="223" s="1"/>
  <c r="EC57" i="223" s="1"/>
  <c r="CW57" i="223"/>
  <c r="CS57" i="223"/>
  <c r="CO57" i="223"/>
  <c r="CG57" i="223"/>
  <c r="DD57" i="223" s="1"/>
  <c r="DE57" i="223" s="1"/>
  <c r="CD57" i="223"/>
  <c r="CV57" i="223" s="1"/>
  <c r="CB57" i="223"/>
  <c r="CC57" i="223" s="1"/>
  <c r="BZ57" i="223"/>
  <c r="CA57" i="223" s="1"/>
  <c r="BT57" i="223"/>
  <c r="BR57" i="223"/>
  <c r="BO57" i="223"/>
  <c r="BM57" i="223"/>
  <c r="BK57" i="223"/>
  <c r="BI57" i="223"/>
  <c r="BC57" i="223"/>
  <c r="BD57" i="223" s="1"/>
  <c r="AX57" i="223"/>
  <c r="AY57" i="223" s="1"/>
  <c r="AV57" i="223"/>
  <c r="AW57" i="223" s="1"/>
  <c r="AQ57" i="223"/>
  <c r="AP57" i="223"/>
  <c r="AN57" i="223"/>
  <c r="AK57" i="223"/>
  <c r="AI57" i="223"/>
  <c r="AG57" i="223"/>
  <c r="AE57" i="223"/>
  <c r="DM56" i="223"/>
  <c r="DL56" i="223"/>
  <c r="DJ56" i="223"/>
  <c r="CY56" i="223"/>
  <c r="DA56" i="223" s="1"/>
  <c r="DH56" i="223" s="1"/>
  <c r="CW56" i="223"/>
  <c r="CS56" i="223"/>
  <c r="CO56" i="223"/>
  <c r="CG56" i="223"/>
  <c r="DD56" i="223" s="1"/>
  <c r="CD56" i="223"/>
  <c r="CV56" i="223" s="1"/>
  <c r="CB56" i="223"/>
  <c r="CC56" i="223" s="1"/>
  <c r="BZ56" i="223"/>
  <c r="CA56" i="223" s="1"/>
  <c r="BT56" i="223"/>
  <c r="BR56" i="223"/>
  <c r="BO56" i="223"/>
  <c r="BM56" i="223"/>
  <c r="BK56" i="223"/>
  <c r="BI56" i="223"/>
  <c r="BC56" i="223"/>
  <c r="AX56" i="223"/>
  <c r="AY56" i="223" s="1"/>
  <c r="AV56" i="223"/>
  <c r="AW56" i="223" s="1"/>
  <c r="AQ56" i="223"/>
  <c r="AR56" i="223" s="1"/>
  <c r="AP56" i="223"/>
  <c r="AN56" i="223"/>
  <c r="AK56" i="223"/>
  <c r="AI56" i="223"/>
  <c r="AG56" i="223"/>
  <c r="AE56" i="223"/>
  <c r="DM55" i="223"/>
  <c r="DL55" i="223"/>
  <c r="DJ55" i="223"/>
  <c r="CY55" i="223"/>
  <c r="CW55" i="223"/>
  <c r="CS55" i="223"/>
  <c r="CO55" i="223"/>
  <c r="CG55" i="223"/>
  <c r="DF55" i="223" s="1"/>
  <c r="CD55" i="223"/>
  <c r="CJ55" i="223" s="1"/>
  <c r="CB55" i="223"/>
  <c r="CC55" i="223" s="1"/>
  <c r="BZ55" i="223"/>
  <c r="CA55" i="223" s="1"/>
  <c r="BT55" i="223"/>
  <c r="BR55" i="223"/>
  <c r="BO55" i="223"/>
  <c r="BM55" i="223"/>
  <c r="BK55" i="223"/>
  <c r="BI55" i="223"/>
  <c r="BC55" i="223"/>
  <c r="AX55" i="223"/>
  <c r="AY55" i="223" s="1"/>
  <c r="AV55" i="223"/>
  <c r="AW55" i="223" s="1"/>
  <c r="AQ55" i="223"/>
  <c r="AT55" i="223" s="1"/>
  <c r="AU55" i="223" s="1"/>
  <c r="AP55" i="223"/>
  <c r="AN55" i="223"/>
  <c r="AK55" i="223"/>
  <c r="AI55" i="223"/>
  <c r="AG55" i="223"/>
  <c r="AE55" i="223"/>
  <c r="DM54" i="223"/>
  <c r="DL54" i="223"/>
  <c r="DJ54" i="223"/>
  <c r="CY54" i="223"/>
  <c r="CW54" i="223"/>
  <c r="CS54" i="223"/>
  <c r="CR54" i="223"/>
  <c r="CO54" i="223"/>
  <c r="CJ54" i="223"/>
  <c r="CG54" i="223"/>
  <c r="DF54" i="223" s="1"/>
  <c r="CD54" i="223"/>
  <c r="CL54" i="223" s="1"/>
  <c r="CB54" i="223"/>
  <c r="CC54" i="223" s="1"/>
  <c r="BZ54" i="223"/>
  <c r="CA54" i="223" s="1"/>
  <c r="BT54" i="223"/>
  <c r="BR54" i="223"/>
  <c r="BO54" i="223"/>
  <c r="BM54" i="223"/>
  <c r="BK54" i="223"/>
  <c r="BI54" i="223"/>
  <c r="BC54" i="223"/>
  <c r="BD54" i="223" s="1"/>
  <c r="AX54" i="223"/>
  <c r="AY54" i="223" s="1"/>
  <c r="AV54" i="223"/>
  <c r="AW54" i="223" s="1"/>
  <c r="AQ54" i="223"/>
  <c r="AR54" i="223" s="1"/>
  <c r="AP54" i="223"/>
  <c r="AN54" i="223"/>
  <c r="AK54" i="223"/>
  <c r="AI54" i="223"/>
  <c r="AG54" i="223"/>
  <c r="AE54" i="223"/>
  <c r="J54" i="223"/>
  <c r="K54" i="223" s="1"/>
  <c r="DM53" i="223"/>
  <c r="DL53" i="223"/>
  <c r="DJ53" i="223"/>
  <c r="BU53" i="223"/>
  <c r="CW53" i="223"/>
  <c r="CS53" i="223"/>
  <c r="CO53" i="223"/>
  <c r="CG53" i="223"/>
  <c r="DD53" i="223" s="1"/>
  <c r="CD53" i="223"/>
  <c r="CB53" i="223"/>
  <c r="CC53" i="223" s="1"/>
  <c r="BZ53" i="223"/>
  <c r="CA53" i="223" s="1"/>
  <c r="BT53" i="223"/>
  <c r="BR53" i="223"/>
  <c r="BO53" i="223"/>
  <c r="BM53" i="223"/>
  <c r="BK53" i="223"/>
  <c r="BI53" i="223"/>
  <c r="BC53" i="223"/>
  <c r="AX53" i="223"/>
  <c r="AY53" i="223" s="1"/>
  <c r="AV53" i="223"/>
  <c r="AW53" i="223" s="1"/>
  <c r="AQ53" i="223"/>
  <c r="AR53" i="223" s="1"/>
  <c r="AP53" i="223"/>
  <c r="AN53" i="223"/>
  <c r="AK53" i="223"/>
  <c r="AI53" i="223"/>
  <c r="AG53" i="223"/>
  <c r="AE53" i="223"/>
  <c r="J53" i="223"/>
  <c r="K53" i="223" s="1"/>
  <c r="DM52" i="223"/>
  <c r="DL52" i="223"/>
  <c r="DJ52" i="223"/>
  <c r="CW52" i="223"/>
  <c r="CS52" i="223"/>
  <c r="CO52" i="223"/>
  <c r="CG52" i="223"/>
  <c r="DF52" i="223" s="1"/>
  <c r="CD52" i="223"/>
  <c r="CB52" i="223"/>
  <c r="CC52" i="223" s="1"/>
  <c r="BZ52" i="223"/>
  <c r="CA52" i="223" s="1"/>
  <c r="BT52" i="223"/>
  <c r="BR52" i="223"/>
  <c r="BO52" i="223"/>
  <c r="BM52" i="223"/>
  <c r="BK52" i="223"/>
  <c r="BI52" i="223"/>
  <c r="BC52" i="223"/>
  <c r="AX52" i="223"/>
  <c r="AY52" i="223" s="1"/>
  <c r="AV52" i="223"/>
  <c r="AW52" i="223" s="1"/>
  <c r="AQ52" i="223"/>
  <c r="AT52" i="223" s="1"/>
  <c r="AU52" i="223" s="1"/>
  <c r="AP52" i="223"/>
  <c r="AN52" i="223"/>
  <c r="AK52" i="223"/>
  <c r="AI52" i="223"/>
  <c r="AG52" i="223"/>
  <c r="AE52" i="223"/>
  <c r="J52" i="223"/>
  <c r="K52" i="223" s="1"/>
  <c r="DM51" i="223"/>
  <c r="DL51" i="223"/>
  <c r="DJ51" i="223"/>
  <c r="CY51" i="223"/>
  <c r="BU51" i="223" s="1"/>
  <c r="CW51" i="223"/>
  <c r="CS51" i="223"/>
  <c r="CO51" i="223"/>
  <c r="CG51" i="223"/>
  <c r="DD51" i="223" s="1"/>
  <c r="CD51" i="223"/>
  <c r="CB51" i="223"/>
  <c r="CC51" i="223" s="1"/>
  <c r="BZ51" i="223"/>
  <c r="CA51" i="223" s="1"/>
  <c r="BT51" i="223"/>
  <c r="BR51" i="223"/>
  <c r="BO51" i="223"/>
  <c r="BM51" i="223"/>
  <c r="BK51" i="223"/>
  <c r="BI51" i="223"/>
  <c r="BC51" i="223"/>
  <c r="AX51" i="223"/>
  <c r="AY51" i="223" s="1"/>
  <c r="AV51" i="223"/>
  <c r="AW51" i="223" s="1"/>
  <c r="AQ51" i="223"/>
  <c r="AR51" i="223" s="1"/>
  <c r="AP51" i="223"/>
  <c r="AN51" i="223"/>
  <c r="AK51" i="223"/>
  <c r="AI51" i="223"/>
  <c r="AG51" i="223"/>
  <c r="AE51" i="223"/>
  <c r="DM50" i="223"/>
  <c r="DL50" i="223"/>
  <c r="DJ50" i="223"/>
  <c r="CY50" i="223"/>
  <c r="BU50" i="223" s="1"/>
  <c r="CW50" i="223"/>
  <c r="CV50" i="223"/>
  <c r="CS50" i="223"/>
  <c r="CO50" i="223"/>
  <c r="CG50" i="223"/>
  <c r="CD50" i="223"/>
  <c r="CB50" i="223"/>
  <c r="CC50" i="223" s="1"/>
  <c r="BZ50" i="223"/>
  <c r="CA50" i="223" s="1"/>
  <c r="BT50" i="223"/>
  <c r="BR50" i="223"/>
  <c r="BO50" i="223"/>
  <c r="BM50" i="223"/>
  <c r="BK50" i="223"/>
  <c r="BI50" i="223"/>
  <c r="BC50" i="223"/>
  <c r="AX50" i="223"/>
  <c r="AY50" i="223" s="1"/>
  <c r="AV50" i="223"/>
  <c r="AW50" i="223" s="1"/>
  <c r="AQ50" i="223"/>
  <c r="AR50" i="223" s="1"/>
  <c r="AP50" i="223"/>
  <c r="AN50" i="223"/>
  <c r="AK50" i="223"/>
  <c r="AI50" i="223"/>
  <c r="AG50" i="223"/>
  <c r="AE50" i="223"/>
  <c r="DM49" i="223"/>
  <c r="DL49" i="223"/>
  <c r="DJ49" i="223"/>
  <c r="CW49" i="223"/>
  <c r="CS49" i="223"/>
  <c r="CO49" i="223"/>
  <c r="CG49" i="223"/>
  <c r="DF49" i="223" s="1"/>
  <c r="CD49" i="223"/>
  <c r="CJ49" i="223" s="1"/>
  <c r="CB49" i="223"/>
  <c r="CC49" i="223" s="1"/>
  <c r="BZ49" i="223"/>
  <c r="CA49" i="223" s="1"/>
  <c r="BT49" i="223"/>
  <c r="BR49" i="223"/>
  <c r="BO49" i="223"/>
  <c r="BM49" i="223"/>
  <c r="BK49" i="223"/>
  <c r="BI49" i="223"/>
  <c r="BC49" i="223"/>
  <c r="AX49" i="223"/>
  <c r="AY49" i="223" s="1"/>
  <c r="AV49" i="223"/>
  <c r="AW49" i="223" s="1"/>
  <c r="AQ49" i="223"/>
  <c r="AP49" i="223"/>
  <c r="AN49" i="223"/>
  <c r="AK49" i="223"/>
  <c r="AI49" i="223"/>
  <c r="AG49" i="223"/>
  <c r="AE49" i="223"/>
  <c r="K49" i="223"/>
  <c r="J49" i="223"/>
  <c r="DM48" i="223"/>
  <c r="DL48" i="223"/>
  <c r="DJ48" i="223"/>
  <c r="DA48" i="223"/>
  <c r="DH48" i="223" s="1"/>
  <c r="CW48" i="223"/>
  <c r="CS48" i="223"/>
  <c r="CO48" i="223"/>
  <c r="CG48" i="223"/>
  <c r="DB48" i="223" s="1"/>
  <c r="CD48" i="223"/>
  <c r="CJ48" i="223" s="1"/>
  <c r="CB48" i="223"/>
  <c r="CC48" i="223" s="1"/>
  <c r="CA48" i="223"/>
  <c r="BZ48" i="223"/>
  <c r="BT48" i="223"/>
  <c r="BR48" i="223"/>
  <c r="BO48" i="223"/>
  <c r="BM48" i="223"/>
  <c r="BK48" i="223"/>
  <c r="BI48" i="223"/>
  <c r="BC48" i="223"/>
  <c r="AX48" i="223"/>
  <c r="AY48" i="223" s="1"/>
  <c r="AW48" i="223"/>
  <c r="AV48" i="223"/>
  <c r="AQ48" i="223"/>
  <c r="AT48" i="223" s="1"/>
  <c r="AU48" i="223" s="1"/>
  <c r="AP48" i="223"/>
  <c r="AN48" i="223"/>
  <c r="AK48" i="223"/>
  <c r="AI48" i="223"/>
  <c r="AG48" i="223"/>
  <c r="AE48" i="223"/>
  <c r="J48" i="223"/>
  <c r="K48" i="223" s="1"/>
  <c r="DM47" i="223"/>
  <c r="DL47" i="223"/>
  <c r="DJ47" i="223"/>
  <c r="CY47" i="223"/>
  <c r="DA47" i="223" s="1"/>
  <c r="DH47" i="223" s="1"/>
  <c r="CW47" i="223"/>
  <c r="CS47" i="223"/>
  <c r="CO47" i="223"/>
  <c r="CG47" i="223"/>
  <c r="DF47" i="223" s="1"/>
  <c r="CD47" i="223"/>
  <c r="CJ47" i="223" s="1"/>
  <c r="CC47" i="223"/>
  <c r="CB47" i="223"/>
  <c r="BZ47" i="223"/>
  <c r="CA47" i="223" s="1"/>
  <c r="BT47" i="223"/>
  <c r="BR47" i="223"/>
  <c r="BO47" i="223"/>
  <c r="BM47" i="223"/>
  <c r="BK47" i="223"/>
  <c r="BI47" i="223"/>
  <c r="BC47" i="223"/>
  <c r="AX47" i="223"/>
  <c r="AY47" i="223" s="1"/>
  <c r="AV47" i="223"/>
  <c r="AW47" i="223" s="1"/>
  <c r="AT47" i="223"/>
  <c r="AU47" i="223" s="1"/>
  <c r="AQ47" i="223"/>
  <c r="AR47" i="223" s="1"/>
  <c r="AP47" i="223"/>
  <c r="AN47" i="223"/>
  <c r="AK47" i="223"/>
  <c r="AI47" i="223"/>
  <c r="AG47" i="223"/>
  <c r="AE47" i="223"/>
  <c r="J47" i="223"/>
  <c r="K47" i="223" s="1"/>
  <c r="DM46" i="223"/>
  <c r="DL46" i="223"/>
  <c r="DJ46" i="223"/>
  <c r="CY46" i="223"/>
  <c r="DA46" i="223" s="1"/>
  <c r="DH46" i="223" s="1"/>
  <c r="CW46" i="223"/>
  <c r="CS46" i="223"/>
  <c r="CO46" i="223"/>
  <c r="CG46" i="223"/>
  <c r="DD46" i="223" s="1"/>
  <c r="CD46" i="223"/>
  <c r="CR46" i="223" s="1"/>
  <c r="CB46" i="223"/>
  <c r="CC46" i="223" s="1"/>
  <c r="BZ46" i="223"/>
  <c r="CA46" i="223" s="1"/>
  <c r="BT46" i="223"/>
  <c r="BR46" i="223"/>
  <c r="BO46" i="223"/>
  <c r="BM46" i="223"/>
  <c r="BK46" i="223"/>
  <c r="BI46" i="223"/>
  <c r="BC46" i="223"/>
  <c r="AX46" i="223"/>
  <c r="AY46" i="223" s="1"/>
  <c r="AV46" i="223"/>
  <c r="AW46" i="223" s="1"/>
  <c r="AQ46" i="223"/>
  <c r="AT46" i="223" s="1"/>
  <c r="AU46" i="223" s="1"/>
  <c r="AP46" i="223"/>
  <c r="AN46" i="223"/>
  <c r="AK46" i="223"/>
  <c r="AI46" i="223"/>
  <c r="AG46" i="223"/>
  <c r="AE46" i="223"/>
  <c r="J46" i="223"/>
  <c r="K46" i="223" s="1"/>
  <c r="DM45" i="223"/>
  <c r="DL45" i="223"/>
  <c r="DJ45" i="223"/>
  <c r="CY45" i="223"/>
  <c r="DA45" i="223" s="1"/>
  <c r="DH45" i="223" s="1"/>
  <c r="CW45" i="223"/>
  <c r="CS45" i="223"/>
  <c r="CO45" i="223"/>
  <c r="CG45" i="223"/>
  <c r="DF45" i="223" s="1"/>
  <c r="CD45" i="223"/>
  <c r="CJ45" i="223" s="1"/>
  <c r="CB45" i="223"/>
  <c r="CC45" i="223" s="1"/>
  <c r="BZ45" i="223"/>
  <c r="CA45" i="223" s="1"/>
  <c r="BT45" i="223"/>
  <c r="BR45" i="223"/>
  <c r="BO45" i="223"/>
  <c r="BM45" i="223"/>
  <c r="BK45" i="223"/>
  <c r="BI45" i="223"/>
  <c r="BC45" i="223"/>
  <c r="AX45" i="223"/>
  <c r="AY45" i="223" s="1"/>
  <c r="AV45" i="223"/>
  <c r="AW45" i="223" s="1"/>
  <c r="AQ45" i="223"/>
  <c r="AR45" i="223" s="1"/>
  <c r="AP45" i="223"/>
  <c r="AN45" i="223"/>
  <c r="AK45" i="223"/>
  <c r="AI45" i="223"/>
  <c r="AG45" i="223"/>
  <c r="AE45" i="223"/>
  <c r="DM44" i="223"/>
  <c r="DL44" i="223"/>
  <c r="DJ44" i="223"/>
  <c r="CY44" i="223"/>
  <c r="DA44" i="223" s="1"/>
  <c r="DH44" i="223" s="1"/>
  <c r="CW44" i="223"/>
  <c r="CS44" i="223"/>
  <c r="CO44" i="223"/>
  <c r="CG44" i="223"/>
  <c r="DF44" i="223" s="1"/>
  <c r="CD44" i="223"/>
  <c r="CR44" i="223" s="1"/>
  <c r="CB44" i="223"/>
  <c r="BZ44" i="223"/>
  <c r="BX44" i="223"/>
  <c r="BY44" i="223" s="1"/>
  <c r="BV44" i="223"/>
  <c r="BC44" i="223"/>
  <c r="AX44" i="223"/>
  <c r="AY44" i="223" s="1"/>
  <c r="AV44" i="223"/>
  <c r="AW44" i="223" s="1"/>
  <c r="AQ44" i="223"/>
  <c r="AR44" i="223" s="1"/>
  <c r="AP44" i="223"/>
  <c r="AN44" i="223"/>
  <c r="AK44" i="223"/>
  <c r="AI44" i="223"/>
  <c r="AG44" i="223"/>
  <c r="AE44" i="223"/>
  <c r="DM43" i="223"/>
  <c r="DL43" i="223"/>
  <c r="DJ43" i="223"/>
  <c r="CY43" i="223"/>
  <c r="EC43" i="223" s="1"/>
  <c r="CW43" i="223"/>
  <c r="CS43" i="223"/>
  <c r="CO43" i="223"/>
  <c r="CJ43" i="223"/>
  <c r="CG43" i="223"/>
  <c r="DB43" i="223" s="1"/>
  <c r="CD43" i="223"/>
  <c r="CR43" i="223" s="1"/>
  <c r="CB43" i="223"/>
  <c r="BZ43" i="223"/>
  <c r="BX43" i="223"/>
  <c r="DO43" i="223" s="1"/>
  <c r="BV43" i="223"/>
  <c r="BC43" i="223"/>
  <c r="BD43" i="223" s="1"/>
  <c r="AX43" i="223"/>
  <c r="AY43" i="223" s="1"/>
  <c r="AV43" i="223"/>
  <c r="AW43" i="223" s="1"/>
  <c r="AQ43" i="223"/>
  <c r="AT43" i="223" s="1"/>
  <c r="AU43" i="223" s="1"/>
  <c r="AP43" i="223"/>
  <c r="AN43" i="223"/>
  <c r="AK43" i="223"/>
  <c r="AI43" i="223"/>
  <c r="AG43" i="223"/>
  <c r="AE43" i="223"/>
  <c r="DM42" i="223"/>
  <c r="DL42" i="223"/>
  <c r="DK42" i="223"/>
  <c r="DJ42" i="223"/>
  <c r="CY42" i="223"/>
  <c r="DA42" i="223" s="1"/>
  <c r="DH42" i="223" s="1"/>
  <c r="CW42" i="223"/>
  <c r="CS42" i="223"/>
  <c r="CO42" i="223"/>
  <c r="CG42" i="223"/>
  <c r="DD42" i="223" s="1"/>
  <c r="CD42" i="223"/>
  <c r="CB42" i="223"/>
  <c r="BZ42" i="223"/>
  <c r="BX42" i="223"/>
  <c r="BY42" i="223" s="1"/>
  <c r="BV42" i="223"/>
  <c r="BC42" i="223"/>
  <c r="AX42" i="223"/>
  <c r="AY42" i="223" s="1"/>
  <c r="AV42" i="223"/>
  <c r="AW42" i="223" s="1"/>
  <c r="AT42" i="223"/>
  <c r="AU42" i="223" s="1"/>
  <c r="AR42" i="223"/>
  <c r="AP42" i="223"/>
  <c r="AN42" i="223"/>
  <c r="AK42" i="223"/>
  <c r="AI42" i="223"/>
  <c r="AG42" i="223"/>
  <c r="AE42" i="223"/>
  <c r="DM41" i="223"/>
  <c r="DL41" i="223"/>
  <c r="DJ41" i="223"/>
  <c r="DA41" i="223"/>
  <c r="DH41" i="223" s="1"/>
  <c r="CZ41" i="223"/>
  <c r="CY41" i="223"/>
  <c r="CW41" i="223"/>
  <c r="CS41" i="223"/>
  <c r="CO41" i="223"/>
  <c r="CL41" i="223"/>
  <c r="CG41" i="223"/>
  <c r="DB41" i="223" s="1"/>
  <c r="CD41" i="223"/>
  <c r="CV41" i="223" s="1"/>
  <c r="CB41" i="223"/>
  <c r="BZ41" i="223"/>
  <c r="BX41" i="223"/>
  <c r="BY41" i="223" s="1"/>
  <c r="BV41" i="223"/>
  <c r="BC41" i="223"/>
  <c r="BD41" i="223" s="1"/>
  <c r="AX41" i="223"/>
  <c r="AY41" i="223" s="1"/>
  <c r="AV41" i="223"/>
  <c r="AW41" i="223" s="1"/>
  <c r="AQ41" i="223"/>
  <c r="AT41" i="223" s="1"/>
  <c r="AU41" i="223" s="1"/>
  <c r="AP41" i="223"/>
  <c r="AN41" i="223"/>
  <c r="AK41" i="223"/>
  <c r="AI41" i="223"/>
  <c r="AG41" i="223"/>
  <c r="AE41" i="223"/>
  <c r="DM40" i="223"/>
  <c r="DL40" i="223"/>
  <c r="DJ40" i="223"/>
  <c r="CY40" i="223"/>
  <c r="EC40" i="223" s="1"/>
  <c r="CW40" i="223"/>
  <c r="CS40" i="223"/>
  <c r="CO40" i="223"/>
  <c r="CG40" i="223"/>
  <c r="DD40" i="223" s="1"/>
  <c r="CD40" i="223"/>
  <c r="CN40" i="223" s="1"/>
  <c r="CB40" i="223"/>
  <c r="BZ40" i="223"/>
  <c r="BX40" i="223"/>
  <c r="BY40" i="223" s="1"/>
  <c r="BC40" i="223"/>
  <c r="AX40" i="223"/>
  <c r="AY40" i="223" s="1"/>
  <c r="AV40" i="223"/>
  <c r="AW40" i="223" s="1"/>
  <c r="AQ40" i="223"/>
  <c r="AP40" i="223"/>
  <c r="AN40" i="223"/>
  <c r="AK40" i="223"/>
  <c r="AI40" i="223"/>
  <c r="AG40" i="223"/>
  <c r="AE40" i="223"/>
  <c r="I40" i="223"/>
  <c r="H40" i="223"/>
  <c r="DM39" i="223"/>
  <c r="DL39" i="223"/>
  <c r="DJ39" i="223"/>
  <c r="CY39" i="223"/>
  <c r="DA39" i="223" s="1"/>
  <c r="DH39" i="223" s="1"/>
  <c r="CW39" i="223"/>
  <c r="CV39" i="223"/>
  <c r="CS39" i="223"/>
  <c r="CT39" i="223" s="1"/>
  <c r="CO39" i="223"/>
  <c r="CG39" i="223"/>
  <c r="DF39" i="223" s="1"/>
  <c r="CD39" i="223"/>
  <c r="CJ39" i="223" s="1"/>
  <c r="CB39" i="223"/>
  <c r="BZ39" i="223"/>
  <c r="BX39" i="223"/>
  <c r="BY39" i="223" s="1"/>
  <c r="BV39" i="223"/>
  <c r="BC39" i="223"/>
  <c r="AX39" i="223"/>
  <c r="AY39" i="223" s="1"/>
  <c r="AV39" i="223"/>
  <c r="AW39" i="223" s="1"/>
  <c r="AQ39" i="223"/>
  <c r="DK39" i="223" s="1"/>
  <c r="AP39" i="223"/>
  <c r="AN39" i="223"/>
  <c r="AK39" i="223"/>
  <c r="AI39" i="223"/>
  <c r="AG39" i="223"/>
  <c r="AE39" i="223"/>
  <c r="J39" i="223"/>
  <c r="DM38" i="223"/>
  <c r="DL38" i="223"/>
  <c r="DJ38" i="223"/>
  <c r="DB38" i="223"/>
  <c r="DC38" i="223" s="1"/>
  <c r="CY38" i="223"/>
  <c r="DA38" i="223" s="1"/>
  <c r="DH38" i="223" s="1"/>
  <c r="CW38" i="223"/>
  <c r="CS38" i="223"/>
  <c r="CR38" i="223"/>
  <c r="CO38" i="223"/>
  <c r="CJ38" i="223"/>
  <c r="CG38" i="223"/>
  <c r="DD38" i="223" s="1"/>
  <c r="DE38" i="223" s="1"/>
  <c r="CD38" i="223"/>
  <c r="CN38" i="223" s="1"/>
  <c r="CB38" i="223"/>
  <c r="BZ38" i="223"/>
  <c r="BX38" i="223"/>
  <c r="BY38" i="223" s="1"/>
  <c r="BV38" i="223"/>
  <c r="BI38" i="223"/>
  <c r="BE38" i="223"/>
  <c r="BM38" i="223" s="1"/>
  <c r="BC38" i="223"/>
  <c r="AX38" i="223"/>
  <c r="AY38" i="223" s="1"/>
  <c r="AV38" i="223"/>
  <c r="AW38" i="223" s="1"/>
  <c r="AT38" i="223"/>
  <c r="AU38" i="223" s="1"/>
  <c r="AQ38" i="223"/>
  <c r="AR38" i="223" s="1"/>
  <c r="AP38" i="223"/>
  <c r="AN38" i="223"/>
  <c r="AK38" i="223"/>
  <c r="AI38" i="223"/>
  <c r="AG38" i="223"/>
  <c r="AE38" i="223"/>
  <c r="J38" i="223"/>
  <c r="H38" i="223"/>
  <c r="DM37" i="223"/>
  <c r="DL37" i="223"/>
  <c r="DK37" i="223"/>
  <c r="DJ37" i="223"/>
  <c r="CY37" i="223"/>
  <c r="DA37" i="223" s="1"/>
  <c r="DH37" i="223" s="1"/>
  <c r="CW37" i="223"/>
  <c r="CS37" i="223"/>
  <c r="CO37" i="223"/>
  <c r="CL37" i="223"/>
  <c r="CG37" i="223"/>
  <c r="DB37" i="223" s="1"/>
  <c r="CD37" i="223"/>
  <c r="CR37" i="223" s="1"/>
  <c r="CB37" i="223"/>
  <c r="BZ37" i="223"/>
  <c r="BX37" i="223"/>
  <c r="BV37" i="223"/>
  <c r="BE37" i="223"/>
  <c r="BI37" i="223" s="1"/>
  <c r="BC37" i="223"/>
  <c r="BD37" i="223" s="1"/>
  <c r="AX37" i="223"/>
  <c r="AY37" i="223" s="1"/>
  <c r="AV37" i="223"/>
  <c r="AW37" i="223" s="1"/>
  <c r="AT37" i="223"/>
  <c r="AU37" i="223" s="1"/>
  <c r="AR37" i="223"/>
  <c r="AP37" i="223"/>
  <c r="AN37" i="223"/>
  <c r="AK37" i="223"/>
  <c r="AI37" i="223"/>
  <c r="AG37" i="223"/>
  <c r="AE37" i="223"/>
  <c r="DM36" i="223"/>
  <c r="DL36" i="223"/>
  <c r="DJ36" i="223"/>
  <c r="CY36" i="223"/>
  <c r="EC36" i="223" s="1"/>
  <c r="CW36" i="223"/>
  <c r="CS36" i="223"/>
  <c r="CO36" i="223"/>
  <c r="CG36" i="223"/>
  <c r="DB36" i="223" s="1"/>
  <c r="CD36" i="223"/>
  <c r="CR36" i="223" s="1"/>
  <c r="CB36" i="223"/>
  <c r="BZ36" i="223"/>
  <c r="BX36" i="223"/>
  <c r="DO36" i="223" s="1"/>
  <c r="BV36" i="223"/>
  <c r="BC36" i="223"/>
  <c r="AX36" i="223"/>
  <c r="AY36" i="223" s="1"/>
  <c r="AV36" i="223"/>
  <c r="AW36" i="223" s="1"/>
  <c r="AQ36" i="223"/>
  <c r="AR36" i="223" s="1"/>
  <c r="AP36" i="223"/>
  <c r="AN36" i="223"/>
  <c r="AK36" i="223"/>
  <c r="AI36" i="223"/>
  <c r="AG36" i="223"/>
  <c r="AE36" i="223"/>
  <c r="CY35" i="223"/>
  <c r="EC35" i="223" s="1"/>
  <c r="CW35" i="223"/>
  <c r="CS35" i="223"/>
  <c r="CO35" i="223"/>
  <c r="CG35" i="223"/>
  <c r="DD35" i="223" s="1"/>
  <c r="CD35" i="223"/>
  <c r="CN35" i="223" s="1"/>
  <c r="CB35" i="223"/>
  <c r="BZ35" i="223"/>
  <c r="BX35" i="223"/>
  <c r="BY35" i="223" s="1"/>
  <c r="BV35" i="223"/>
  <c r="BC35" i="223"/>
  <c r="AX35" i="223"/>
  <c r="AY35" i="223" s="1"/>
  <c r="AV35" i="223"/>
  <c r="AW35" i="223" s="1"/>
  <c r="AT35" i="223"/>
  <c r="AU35" i="223" s="1"/>
  <c r="AR35" i="223"/>
  <c r="AP35" i="223"/>
  <c r="AN35" i="223"/>
  <c r="AK35" i="223"/>
  <c r="AI35" i="223"/>
  <c r="AG35" i="223"/>
  <c r="AE35" i="223"/>
  <c r="DM34" i="223"/>
  <c r="DL34" i="223"/>
  <c r="DJ34" i="223"/>
  <c r="CY34" i="223"/>
  <c r="CW34" i="223"/>
  <c r="CS34" i="223"/>
  <c r="CO34" i="223"/>
  <c r="CG34" i="223"/>
  <c r="DD34" i="223" s="1"/>
  <c r="CD34" i="223"/>
  <c r="CV34" i="223" s="1"/>
  <c r="CB34" i="223"/>
  <c r="BZ34" i="223"/>
  <c r="BX34" i="223"/>
  <c r="BY34" i="223" s="1"/>
  <c r="BV34" i="223"/>
  <c r="BC34" i="223"/>
  <c r="AX34" i="223"/>
  <c r="AY34" i="223" s="1"/>
  <c r="AV34" i="223"/>
  <c r="AW34" i="223" s="1"/>
  <c r="AQ34" i="223"/>
  <c r="DK34" i="223" s="1"/>
  <c r="AP34" i="223"/>
  <c r="AN34" i="223"/>
  <c r="AK34" i="223"/>
  <c r="AI34" i="223"/>
  <c r="AG34" i="223"/>
  <c r="AE34" i="223"/>
  <c r="DM33" i="223"/>
  <c r="DL33" i="223"/>
  <c r="DJ33" i="223"/>
  <c r="CY33" i="223"/>
  <c r="EC33" i="223" s="1"/>
  <c r="CW33" i="223"/>
  <c r="CS33" i="223"/>
  <c r="CO33" i="223"/>
  <c r="CG33" i="223"/>
  <c r="DD33" i="223" s="1"/>
  <c r="CD33" i="223"/>
  <c r="CV33" i="223" s="1"/>
  <c r="CB33" i="223"/>
  <c r="BZ33" i="223"/>
  <c r="BX33" i="223"/>
  <c r="BY33" i="223" s="1"/>
  <c r="BV33" i="223"/>
  <c r="BC33" i="223"/>
  <c r="AX33" i="223"/>
  <c r="AY33" i="223" s="1"/>
  <c r="AV33" i="223"/>
  <c r="AW33" i="223" s="1"/>
  <c r="AQ33" i="223"/>
  <c r="DK33" i="223" s="1"/>
  <c r="AP33" i="223"/>
  <c r="AN33" i="223"/>
  <c r="AK33" i="223"/>
  <c r="AI33" i="223"/>
  <c r="AG33" i="223"/>
  <c r="AE33" i="223"/>
  <c r="DM32" i="223"/>
  <c r="DL32" i="223"/>
  <c r="DK32" i="223"/>
  <c r="DJ32" i="223"/>
  <c r="CY32" i="223"/>
  <c r="DA32" i="223" s="1"/>
  <c r="DH32" i="223" s="1"/>
  <c r="CW32" i="223"/>
  <c r="CV32" i="223"/>
  <c r="CS32" i="223"/>
  <c r="CO32" i="223"/>
  <c r="CG32" i="223"/>
  <c r="DD32" i="223" s="1"/>
  <c r="CD32" i="223"/>
  <c r="CB32" i="223"/>
  <c r="BZ32" i="223"/>
  <c r="BX32" i="223"/>
  <c r="BY32" i="223" s="1"/>
  <c r="BV32" i="223"/>
  <c r="BC32" i="223"/>
  <c r="AX32" i="223"/>
  <c r="AY32" i="223" s="1"/>
  <c r="AV32" i="223"/>
  <c r="AW32" i="223" s="1"/>
  <c r="AT32" i="223"/>
  <c r="AU32" i="223" s="1"/>
  <c r="AR32" i="223"/>
  <c r="AP32" i="223"/>
  <c r="AN32" i="223"/>
  <c r="AK32" i="223"/>
  <c r="AI32" i="223"/>
  <c r="AG32" i="223"/>
  <c r="AE32" i="223"/>
  <c r="DM31" i="223"/>
  <c r="DL31" i="223"/>
  <c r="DK31" i="223"/>
  <c r="DJ31" i="223"/>
  <c r="CY31" i="223"/>
  <c r="DA31" i="223" s="1"/>
  <c r="DH31" i="223" s="1"/>
  <c r="CW31" i="223"/>
  <c r="CS31" i="223"/>
  <c r="CO31" i="223"/>
  <c r="CG31" i="223"/>
  <c r="DD31" i="223" s="1"/>
  <c r="CD31" i="223"/>
  <c r="CN31" i="223" s="1"/>
  <c r="CB31" i="223"/>
  <c r="BZ31" i="223"/>
  <c r="BX31" i="223"/>
  <c r="BY31" i="223" s="1"/>
  <c r="BV31" i="223"/>
  <c r="BC31" i="223"/>
  <c r="AY31" i="223"/>
  <c r="AX31" i="223"/>
  <c r="AV31" i="223"/>
  <c r="AW31" i="223" s="1"/>
  <c r="AT31" i="223"/>
  <c r="AU31" i="223" s="1"/>
  <c r="AR31" i="223"/>
  <c r="AP31" i="223"/>
  <c r="AN31" i="223"/>
  <c r="AK31" i="223"/>
  <c r="AI31" i="223"/>
  <c r="AG31" i="223"/>
  <c r="AE31" i="223"/>
  <c r="J31" i="223"/>
  <c r="K31" i="223" s="1"/>
  <c r="DM30" i="223"/>
  <c r="DL30" i="223"/>
  <c r="DK30" i="223"/>
  <c r="DJ30" i="223"/>
  <c r="CY30" i="223"/>
  <c r="DA30" i="223" s="1"/>
  <c r="DH30" i="223" s="1"/>
  <c r="CW30" i="223"/>
  <c r="CS30" i="223"/>
  <c r="CO30" i="223"/>
  <c r="CG30" i="223"/>
  <c r="DF30" i="223" s="1"/>
  <c r="CD30" i="223"/>
  <c r="CB30" i="223"/>
  <c r="BZ30" i="223"/>
  <c r="BX30" i="223"/>
  <c r="BY30" i="223" s="1"/>
  <c r="BV30" i="223"/>
  <c r="BC30" i="223"/>
  <c r="AX30" i="223"/>
  <c r="AY30" i="223" s="1"/>
  <c r="AV30" i="223"/>
  <c r="AW30" i="223" s="1"/>
  <c r="AT30" i="223"/>
  <c r="AU30" i="223" s="1"/>
  <c r="AR30" i="223"/>
  <c r="AP30" i="223"/>
  <c r="AN30" i="223"/>
  <c r="AK30" i="223"/>
  <c r="AI30" i="223"/>
  <c r="AG30" i="223"/>
  <c r="AE30" i="223"/>
  <c r="J30" i="223"/>
  <c r="K30" i="223" s="1"/>
  <c r="DM29" i="223"/>
  <c r="DL29" i="223"/>
  <c r="DJ29" i="223"/>
  <c r="CY29" i="223"/>
  <c r="DA29" i="223" s="1"/>
  <c r="DH29" i="223" s="1"/>
  <c r="CW29" i="223"/>
  <c r="CS29" i="223"/>
  <c r="CO29" i="223"/>
  <c r="CG29" i="223"/>
  <c r="DB29" i="223" s="1"/>
  <c r="CD29" i="223"/>
  <c r="CV29" i="223" s="1"/>
  <c r="CB29" i="223"/>
  <c r="BZ29" i="223"/>
  <c r="BX29" i="223"/>
  <c r="BY29" i="223" s="1"/>
  <c r="BV29" i="223"/>
  <c r="BC29" i="223"/>
  <c r="AX29" i="223"/>
  <c r="AY29" i="223" s="1"/>
  <c r="AW29" i="223"/>
  <c r="AV29" i="223"/>
  <c r="AQ29" i="223"/>
  <c r="DK29" i="223" s="1"/>
  <c r="AP29" i="223"/>
  <c r="AN29" i="223"/>
  <c r="AK29" i="223"/>
  <c r="AI29" i="223"/>
  <c r="AG29" i="223"/>
  <c r="AE29" i="223"/>
  <c r="DM28" i="223"/>
  <c r="DL28" i="223"/>
  <c r="DK28" i="223"/>
  <c r="DJ28" i="223"/>
  <c r="CY28" i="223"/>
  <c r="EC28" i="223" s="1"/>
  <c r="CW28" i="223"/>
  <c r="CS28" i="223"/>
  <c r="CO28" i="223"/>
  <c r="CG28" i="223"/>
  <c r="DD28" i="223" s="1"/>
  <c r="CD28" i="223"/>
  <c r="CV28" i="223" s="1"/>
  <c r="CB28" i="223"/>
  <c r="BZ28" i="223"/>
  <c r="BX28" i="223"/>
  <c r="BY28" i="223" s="1"/>
  <c r="BV28" i="223"/>
  <c r="BC28" i="223"/>
  <c r="BD28" i="223" s="1"/>
  <c r="AY28" i="223"/>
  <c r="AX28" i="223"/>
  <c r="AV28" i="223"/>
  <c r="AW28" i="223" s="1"/>
  <c r="AT28" i="223"/>
  <c r="AU28" i="223" s="1"/>
  <c r="AR28" i="223"/>
  <c r="AP28" i="223"/>
  <c r="AN28" i="223"/>
  <c r="AK28" i="223"/>
  <c r="AI28" i="223"/>
  <c r="AG28" i="223"/>
  <c r="AE28" i="223"/>
  <c r="CY27" i="223"/>
  <c r="EC27" i="223" s="1"/>
  <c r="CW27" i="223"/>
  <c r="CS27" i="223"/>
  <c r="CO27" i="223"/>
  <c r="CG27" i="223"/>
  <c r="DD27" i="223" s="1"/>
  <c r="CD27" i="223"/>
  <c r="CN27" i="223" s="1"/>
  <c r="CB27" i="223"/>
  <c r="BZ27" i="223"/>
  <c r="BY27" i="223"/>
  <c r="BX27" i="223"/>
  <c r="BV27" i="223"/>
  <c r="BC27" i="223"/>
  <c r="AX27" i="223"/>
  <c r="AY27" i="223" s="1"/>
  <c r="AV27" i="223"/>
  <c r="AW27" i="223" s="1"/>
  <c r="AT27" i="223"/>
  <c r="AU27" i="223" s="1"/>
  <c r="AR27" i="223"/>
  <c r="AP27" i="223"/>
  <c r="AN27" i="223"/>
  <c r="AK27" i="223"/>
  <c r="AI27" i="223"/>
  <c r="AG27" i="223"/>
  <c r="AE27" i="223"/>
  <c r="CY26" i="223"/>
  <c r="EC26" i="223" s="1"/>
  <c r="CW26" i="223"/>
  <c r="CS26" i="223"/>
  <c r="CO26" i="223"/>
  <c r="CG26" i="223"/>
  <c r="DD26" i="223" s="1"/>
  <c r="CD26" i="223"/>
  <c r="CR26" i="223" s="1"/>
  <c r="CB26" i="223"/>
  <c r="BZ26" i="223"/>
  <c r="BX26" i="223"/>
  <c r="BV26" i="223"/>
  <c r="BC26" i="223"/>
  <c r="AX26" i="223"/>
  <c r="AY26" i="223" s="1"/>
  <c r="AV26" i="223"/>
  <c r="AW26" i="223" s="1"/>
  <c r="AT26" i="223"/>
  <c r="AU26" i="223" s="1"/>
  <c r="AR26" i="223"/>
  <c r="AP26" i="223"/>
  <c r="AN26" i="223"/>
  <c r="AK26" i="223"/>
  <c r="AI26" i="223"/>
  <c r="AG26" i="223"/>
  <c r="AE26" i="223"/>
  <c r="DA25" i="223"/>
  <c r="DH25" i="223" s="1"/>
  <c r="CY25" i="223"/>
  <c r="EC25" i="223" s="1"/>
  <c r="CW25" i="223"/>
  <c r="CS25" i="223"/>
  <c r="CO25" i="223"/>
  <c r="CG25" i="223"/>
  <c r="DF25" i="223" s="1"/>
  <c r="CD25" i="223"/>
  <c r="CZ25" i="223" s="1"/>
  <c r="CB25" i="223"/>
  <c r="BZ25" i="223"/>
  <c r="BX25" i="223"/>
  <c r="BY25" i="223" s="1"/>
  <c r="BV25" i="223"/>
  <c r="BC25" i="223"/>
  <c r="AY25" i="223"/>
  <c r="AX25" i="223"/>
  <c r="AV25" i="223"/>
  <c r="AW25" i="223" s="1"/>
  <c r="AT25" i="223"/>
  <c r="AU25" i="223" s="1"/>
  <c r="AR25" i="223"/>
  <c r="AP25" i="223"/>
  <c r="AN25" i="223"/>
  <c r="AK25" i="223"/>
  <c r="AI25" i="223"/>
  <c r="AG25" i="223"/>
  <c r="AE25" i="223"/>
  <c r="CY24" i="223"/>
  <c r="DA24" i="223" s="1"/>
  <c r="DH24" i="223" s="1"/>
  <c r="CW24" i="223"/>
  <c r="CS24" i="223"/>
  <c r="CO24" i="223"/>
  <c r="CG24" i="223"/>
  <c r="DD24" i="223" s="1"/>
  <c r="CD24" i="223"/>
  <c r="CB24" i="223"/>
  <c r="BZ24" i="223"/>
  <c r="BX24" i="223"/>
  <c r="BV24" i="223"/>
  <c r="BC24" i="223"/>
  <c r="AX24" i="223"/>
  <c r="AY24" i="223" s="1"/>
  <c r="AV24" i="223"/>
  <c r="AW24" i="223" s="1"/>
  <c r="AQ24" i="223"/>
  <c r="AR24" i="223" s="1"/>
  <c r="AP24" i="223"/>
  <c r="AN24" i="223"/>
  <c r="AK24" i="223"/>
  <c r="AI24" i="223"/>
  <c r="AG24" i="223"/>
  <c r="AE24" i="223"/>
  <c r="DM23" i="223"/>
  <c r="DL23" i="223"/>
  <c r="DK23" i="223"/>
  <c r="DJ23" i="223"/>
  <c r="CY23" i="223"/>
  <c r="DA23" i="223" s="1"/>
  <c r="DH23" i="223" s="1"/>
  <c r="CW23" i="223"/>
  <c r="CS23" i="223"/>
  <c r="CO23" i="223"/>
  <c r="CG23" i="223"/>
  <c r="DB23" i="223" s="1"/>
  <c r="CD23" i="223"/>
  <c r="CB23" i="223"/>
  <c r="CC23" i="223" s="1"/>
  <c r="BZ23" i="223"/>
  <c r="CA23" i="223" s="1"/>
  <c r="BY23" i="223"/>
  <c r="BX23" i="223"/>
  <c r="BV23" i="223"/>
  <c r="BT23" i="223"/>
  <c r="BR23" i="223"/>
  <c r="BO23" i="223"/>
  <c r="BM23" i="223"/>
  <c r="BK23" i="223"/>
  <c r="BI23" i="223"/>
  <c r="BC23" i="223"/>
  <c r="AX23" i="223"/>
  <c r="AY23" i="223" s="1"/>
  <c r="AV23" i="223"/>
  <c r="AW23" i="223" s="1"/>
  <c r="AT23" i="223"/>
  <c r="AU23" i="223" s="1"/>
  <c r="AR23" i="223"/>
  <c r="AP23" i="223"/>
  <c r="AN23" i="223"/>
  <c r="AK23" i="223"/>
  <c r="AI23" i="223"/>
  <c r="AG23" i="223"/>
  <c r="AE23" i="223"/>
  <c r="DM22" i="223"/>
  <c r="DL22" i="223"/>
  <c r="DK22" i="223"/>
  <c r="DJ22" i="223"/>
  <c r="CY22" i="223"/>
  <c r="DA22" i="223" s="1"/>
  <c r="DH22" i="223" s="1"/>
  <c r="CW22" i="223"/>
  <c r="CS22" i="223"/>
  <c r="CO22" i="223"/>
  <c r="CG22" i="223"/>
  <c r="DD22" i="223" s="1"/>
  <c r="CD22" i="223"/>
  <c r="CB22" i="223"/>
  <c r="BZ22" i="223"/>
  <c r="BX22" i="223"/>
  <c r="BV22" i="223"/>
  <c r="BC22" i="223"/>
  <c r="AX22" i="223"/>
  <c r="AY22" i="223" s="1"/>
  <c r="AW22" i="223"/>
  <c r="AV22" i="223"/>
  <c r="AT22" i="223"/>
  <c r="AU22" i="223" s="1"/>
  <c r="AR22" i="223"/>
  <c r="AP22" i="223"/>
  <c r="AN22" i="223"/>
  <c r="AK22" i="223"/>
  <c r="AI22" i="223"/>
  <c r="AG22" i="223"/>
  <c r="AE22" i="223"/>
  <c r="DM21" i="223"/>
  <c r="DL21" i="223"/>
  <c r="DK21" i="223"/>
  <c r="DJ21" i="223"/>
  <c r="CY21" i="223"/>
  <c r="DA21" i="223" s="1"/>
  <c r="DH21" i="223" s="1"/>
  <c r="CW21" i="223"/>
  <c r="CS21" i="223"/>
  <c r="CO21" i="223"/>
  <c r="CP21" i="223" s="1"/>
  <c r="CG21" i="223"/>
  <c r="DD21" i="223" s="1"/>
  <c r="DE21" i="223" s="1"/>
  <c r="CD21" i="223"/>
  <c r="CB21" i="223"/>
  <c r="BZ21" i="223"/>
  <c r="BX21" i="223"/>
  <c r="BV21" i="223"/>
  <c r="BC21" i="223"/>
  <c r="BD21" i="223" s="1"/>
  <c r="AX21" i="223"/>
  <c r="AY21" i="223" s="1"/>
  <c r="AV21" i="223"/>
  <c r="AW21" i="223" s="1"/>
  <c r="AT21" i="223"/>
  <c r="AU21" i="223" s="1"/>
  <c r="AR21" i="223"/>
  <c r="AP21" i="223"/>
  <c r="AN21" i="223"/>
  <c r="AK21" i="223"/>
  <c r="AI21" i="223"/>
  <c r="AG21" i="223"/>
  <c r="AE21" i="223"/>
  <c r="DM20" i="223"/>
  <c r="DL20" i="223"/>
  <c r="DK20" i="223"/>
  <c r="DJ20" i="223"/>
  <c r="CY20" i="223"/>
  <c r="DA20" i="223" s="1"/>
  <c r="DH20" i="223" s="1"/>
  <c r="CW20" i="223"/>
  <c r="CX20" i="223" s="1"/>
  <c r="CV20" i="223"/>
  <c r="CS20" i="223"/>
  <c r="CO20" i="223"/>
  <c r="CG20" i="223"/>
  <c r="DD20" i="223" s="1"/>
  <c r="CD20" i="223"/>
  <c r="CB20" i="223"/>
  <c r="BZ20" i="223"/>
  <c r="BX20" i="223"/>
  <c r="BV20" i="223"/>
  <c r="BC20" i="223"/>
  <c r="BD20" i="223" s="1"/>
  <c r="AX20" i="223"/>
  <c r="AY20" i="223" s="1"/>
  <c r="AV20" i="223"/>
  <c r="AW20" i="223" s="1"/>
  <c r="AT20" i="223"/>
  <c r="AU20" i="223" s="1"/>
  <c r="AR20" i="223"/>
  <c r="AP20" i="223"/>
  <c r="AN20" i="223"/>
  <c r="AK20" i="223"/>
  <c r="AI20" i="223"/>
  <c r="AG20" i="223"/>
  <c r="AE20" i="223"/>
  <c r="DM19" i="223"/>
  <c r="DL19" i="223"/>
  <c r="DJ19" i="223"/>
  <c r="CY19" i="223"/>
  <c r="DA19" i="223" s="1"/>
  <c r="DH19" i="223" s="1"/>
  <c r="CW19" i="223"/>
  <c r="CS19" i="223"/>
  <c r="CO19" i="223"/>
  <c r="CG19" i="223"/>
  <c r="DD19" i="223" s="1"/>
  <c r="CD19" i="223"/>
  <c r="CB19" i="223"/>
  <c r="BZ19" i="223"/>
  <c r="BX19" i="223"/>
  <c r="BV19" i="223"/>
  <c r="BC19" i="223"/>
  <c r="AX19" i="223"/>
  <c r="AY19" i="223" s="1"/>
  <c r="AW19" i="223"/>
  <c r="AV19" i="223"/>
  <c r="AQ19" i="223"/>
  <c r="AR19" i="223" s="1"/>
  <c r="AP19" i="223"/>
  <c r="AN19" i="223"/>
  <c r="AK19" i="223"/>
  <c r="AI19" i="223"/>
  <c r="AG19" i="223"/>
  <c r="AE19" i="223"/>
  <c r="J19" i="223"/>
  <c r="DM18" i="223"/>
  <c r="DL18" i="223"/>
  <c r="DJ18" i="223"/>
  <c r="CY18" i="223"/>
  <c r="DA18" i="223" s="1"/>
  <c r="DH18" i="223" s="1"/>
  <c r="CW18" i="223"/>
  <c r="CS18" i="223"/>
  <c r="CO18" i="223"/>
  <c r="CG18" i="223"/>
  <c r="DD18" i="223" s="1"/>
  <c r="CD18" i="223"/>
  <c r="BE18" i="223" s="1"/>
  <c r="CB18" i="223"/>
  <c r="BZ18" i="223"/>
  <c r="BX18" i="223"/>
  <c r="BY18" i="223" s="1"/>
  <c r="BV18" i="223"/>
  <c r="BC18" i="223"/>
  <c r="AX18" i="223"/>
  <c r="AY18" i="223" s="1"/>
  <c r="AV18" i="223"/>
  <c r="AW18" i="223" s="1"/>
  <c r="AQ18" i="223"/>
  <c r="AR18" i="223" s="1"/>
  <c r="AP18" i="223"/>
  <c r="AN18" i="223"/>
  <c r="AK18" i="223"/>
  <c r="AI18" i="223"/>
  <c r="AG18" i="223"/>
  <c r="AE18" i="223"/>
  <c r="J18" i="223"/>
  <c r="H18" i="223"/>
  <c r="DM17" i="223"/>
  <c r="DL17" i="223"/>
  <c r="DK17" i="223"/>
  <c r="DJ17" i="223"/>
  <c r="CY17" i="223"/>
  <c r="DA17" i="223" s="1"/>
  <c r="DH17" i="223" s="1"/>
  <c r="CW17" i="223"/>
  <c r="CS17" i="223"/>
  <c r="CO17" i="223"/>
  <c r="CG17" i="223"/>
  <c r="DB17" i="223" s="1"/>
  <c r="CD17" i="223"/>
  <c r="CV17" i="223" s="1"/>
  <c r="CB17" i="223"/>
  <c r="BZ17" i="223"/>
  <c r="BX17" i="223"/>
  <c r="BY17" i="223" s="1"/>
  <c r="BV17" i="223"/>
  <c r="BC17" i="223"/>
  <c r="AX17" i="223"/>
  <c r="AY17" i="223" s="1"/>
  <c r="AV17" i="223"/>
  <c r="AW17" i="223" s="1"/>
  <c r="AT17" i="223"/>
  <c r="AU17" i="223" s="1"/>
  <c r="AR17" i="223"/>
  <c r="AP17" i="223"/>
  <c r="AN17" i="223"/>
  <c r="AK17" i="223"/>
  <c r="AI17" i="223"/>
  <c r="AG17" i="223"/>
  <c r="AE17" i="223"/>
  <c r="DM16" i="223"/>
  <c r="DL16" i="223"/>
  <c r="DK16" i="223"/>
  <c r="DJ16" i="223"/>
  <c r="CY16" i="223"/>
  <c r="DA16" i="223" s="1"/>
  <c r="DH16" i="223" s="1"/>
  <c r="CW16" i="223"/>
  <c r="CS16" i="223"/>
  <c r="CO16" i="223"/>
  <c r="CG16" i="223"/>
  <c r="DB16" i="223" s="1"/>
  <c r="CD16" i="223"/>
  <c r="CV16" i="223" s="1"/>
  <c r="CB16" i="223"/>
  <c r="BZ16" i="223"/>
  <c r="BY16" i="223"/>
  <c r="BX16" i="223"/>
  <c r="BV16" i="223"/>
  <c r="BC16" i="223"/>
  <c r="AX16" i="223"/>
  <c r="AY16" i="223" s="1"/>
  <c r="AV16" i="223"/>
  <c r="AW16" i="223" s="1"/>
  <c r="AT16" i="223"/>
  <c r="AU16" i="223" s="1"/>
  <c r="AR16" i="223"/>
  <c r="AP16" i="223"/>
  <c r="AN16" i="223"/>
  <c r="AK16" i="223"/>
  <c r="AI16" i="223"/>
  <c r="AG16" i="223"/>
  <c r="AE16" i="223"/>
  <c r="DM15" i="223"/>
  <c r="DL15" i="223"/>
  <c r="DK15" i="223"/>
  <c r="DJ15" i="223"/>
  <c r="CY15" i="223"/>
  <c r="DA15" i="223" s="1"/>
  <c r="DH15" i="223" s="1"/>
  <c r="CW15" i="223"/>
  <c r="CS15" i="223"/>
  <c r="CO15" i="223"/>
  <c r="CG15" i="223"/>
  <c r="DB15" i="223" s="1"/>
  <c r="CD15" i="223"/>
  <c r="CV15" i="223" s="1"/>
  <c r="CB15" i="223"/>
  <c r="BZ15" i="223"/>
  <c r="BX15" i="223"/>
  <c r="BY15" i="223" s="1"/>
  <c r="BV15" i="223"/>
  <c r="BC15" i="223"/>
  <c r="AX15" i="223"/>
  <c r="AY15" i="223" s="1"/>
  <c r="AV15" i="223"/>
  <c r="AW15" i="223" s="1"/>
  <c r="AT15" i="223"/>
  <c r="AU15" i="223" s="1"/>
  <c r="AR15" i="223"/>
  <c r="AP15" i="223"/>
  <c r="AN15" i="223"/>
  <c r="AK15" i="223"/>
  <c r="AI15" i="223"/>
  <c r="AG15" i="223"/>
  <c r="AE15" i="223"/>
  <c r="DM14" i="223"/>
  <c r="DL14" i="223"/>
  <c r="DK14" i="223"/>
  <c r="DJ14" i="223"/>
  <c r="CY14" i="223"/>
  <c r="DA14" i="223" s="1"/>
  <c r="DH14" i="223" s="1"/>
  <c r="CW14" i="223"/>
  <c r="CS14" i="223"/>
  <c r="CO14" i="223"/>
  <c r="CG14" i="223"/>
  <c r="DB14" i="223" s="1"/>
  <c r="CD14" i="223"/>
  <c r="CV14" i="223" s="1"/>
  <c r="CB14" i="223"/>
  <c r="BZ14" i="223"/>
  <c r="BX14" i="223"/>
  <c r="BY14" i="223" s="1"/>
  <c r="BV14" i="223"/>
  <c r="BC14" i="223"/>
  <c r="AX14" i="223"/>
  <c r="AY14" i="223" s="1"/>
  <c r="AV14" i="223"/>
  <c r="AW14" i="223" s="1"/>
  <c r="AT14" i="223"/>
  <c r="AU14" i="223" s="1"/>
  <c r="AR14" i="223"/>
  <c r="AP14" i="223"/>
  <c r="AN14" i="223"/>
  <c r="AK14" i="223"/>
  <c r="AI14" i="223"/>
  <c r="AG14" i="223"/>
  <c r="AE14" i="223"/>
  <c r="DM13" i="223"/>
  <c r="DL13" i="223"/>
  <c r="DK13" i="223"/>
  <c r="DJ13" i="223"/>
  <c r="CY13" i="223"/>
  <c r="DA13" i="223" s="1"/>
  <c r="DH13" i="223" s="1"/>
  <c r="CW13" i="223"/>
  <c r="CS13" i="223"/>
  <c r="CO13" i="223"/>
  <c r="CG13" i="223"/>
  <c r="DB13" i="223" s="1"/>
  <c r="CD13" i="223"/>
  <c r="CV13" i="223" s="1"/>
  <c r="CB13" i="223"/>
  <c r="BZ13" i="223"/>
  <c r="BX13" i="223"/>
  <c r="BY13" i="223" s="1"/>
  <c r="BV13" i="223"/>
  <c r="BC13" i="223"/>
  <c r="AX13" i="223"/>
  <c r="AY13" i="223" s="1"/>
  <c r="AW13" i="223"/>
  <c r="AV13" i="223"/>
  <c r="AT13" i="223"/>
  <c r="AU13" i="223" s="1"/>
  <c r="AR13" i="223"/>
  <c r="AP13" i="223"/>
  <c r="AN13" i="223"/>
  <c r="AK13" i="223"/>
  <c r="AI13" i="223"/>
  <c r="AG13" i="223"/>
  <c r="AE13" i="223"/>
  <c r="DM12" i="223"/>
  <c r="DL12" i="223"/>
  <c r="DK12" i="223"/>
  <c r="DJ12" i="223"/>
  <c r="CY12" i="223"/>
  <c r="DA12" i="223" s="1"/>
  <c r="DH12" i="223" s="1"/>
  <c r="CW12" i="223"/>
  <c r="CS12" i="223"/>
  <c r="CO12" i="223"/>
  <c r="CG12" i="223"/>
  <c r="DB12" i="223" s="1"/>
  <c r="CD12" i="223"/>
  <c r="CV12" i="223" s="1"/>
  <c r="CB12" i="223"/>
  <c r="BZ12" i="223"/>
  <c r="BY12" i="223"/>
  <c r="BX12" i="223"/>
  <c r="BV12" i="223"/>
  <c r="BC12" i="223"/>
  <c r="AX12" i="223"/>
  <c r="AY12" i="223" s="1"/>
  <c r="AV12" i="223"/>
  <c r="AW12" i="223" s="1"/>
  <c r="AT12" i="223"/>
  <c r="AU12" i="223" s="1"/>
  <c r="AR12" i="223"/>
  <c r="AP12" i="223"/>
  <c r="AN12" i="223"/>
  <c r="AK12" i="223"/>
  <c r="AI12" i="223"/>
  <c r="AG12" i="223"/>
  <c r="AE12" i="223"/>
  <c r="DM11" i="223"/>
  <c r="DL11" i="223"/>
  <c r="DK11" i="223"/>
  <c r="DJ11" i="223"/>
  <c r="CY11" i="223"/>
  <c r="DA11" i="223" s="1"/>
  <c r="DH11" i="223" s="1"/>
  <c r="CW11" i="223"/>
  <c r="CS11" i="223"/>
  <c r="CO11" i="223"/>
  <c r="CG11" i="223"/>
  <c r="DB11" i="223" s="1"/>
  <c r="CD11" i="223"/>
  <c r="CV11" i="223" s="1"/>
  <c r="CB11" i="223"/>
  <c r="BZ11" i="223"/>
  <c r="BX11" i="223"/>
  <c r="BY11" i="223" s="1"/>
  <c r="BV11" i="223"/>
  <c r="BC11" i="223"/>
  <c r="AX11" i="223"/>
  <c r="AY11" i="223" s="1"/>
  <c r="AW11" i="223"/>
  <c r="AV11" i="223"/>
  <c r="AT11" i="223"/>
  <c r="AU11" i="223" s="1"/>
  <c r="AR11" i="223"/>
  <c r="AP11" i="223"/>
  <c r="AN11" i="223"/>
  <c r="AI11" i="223"/>
  <c r="AG11" i="223"/>
  <c r="AE11" i="223"/>
  <c r="J11" i="223"/>
  <c r="K11" i="223" s="1"/>
  <c r="DM10" i="223"/>
  <c r="DL10" i="223"/>
  <c r="DK10" i="223"/>
  <c r="DJ10" i="223"/>
  <c r="CY10" i="223"/>
  <c r="EC10" i="223" s="1"/>
  <c r="CW10" i="223"/>
  <c r="CS10" i="223"/>
  <c r="CT10" i="223" s="1"/>
  <c r="CO10" i="223"/>
  <c r="CG10" i="223"/>
  <c r="DD10" i="223" s="1"/>
  <c r="CD10" i="223"/>
  <c r="CV10" i="223" s="1"/>
  <c r="CB10" i="223"/>
  <c r="BZ10" i="223"/>
  <c r="BX10" i="223"/>
  <c r="BY10" i="223" s="1"/>
  <c r="BV10" i="223"/>
  <c r="BE10" i="223"/>
  <c r="BI10" i="223" s="1"/>
  <c r="BC10" i="223"/>
  <c r="AY10" i="223"/>
  <c r="AX10" i="223"/>
  <c r="AV10" i="223"/>
  <c r="AW10" i="223" s="1"/>
  <c r="AT10" i="223"/>
  <c r="AU10" i="223" s="1"/>
  <c r="AR10" i="223"/>
  <c r="AP10" i="223"/>
  <c r="AN10" i="223"/>
  <c r="AI10" i="223"/>
  <c r="AG10" i="223"/>
  <c r="AE10" i="223"/>
  <c r="J10" i="223"/>
  <c r="K10" i="223" s="1"/>
  <c r="DM9" i="223"/>
  <c r="DL9" i="223"/>
  <c r="DK9" i="223"/>
  <c r="DJ9" i="223"/>
  <c r="CY9" i="223"/>
  <c r="DA9" i="223" s="1"/>
  <c r="DH9" i="223" s="1"/>
  <c r="CW9" i="223"/>
  <c r="CX9" i="223" s="1"/>
  <c r="CS9" i="223"/>
  <c r="CO9" i="223"/>
  <c r="CN9" i="223"/>
  <c r="CL9" i="223"/>
  <c r="CG9" i="223"/>
  <c r="DD9" i="223" s="1"/>
  <c r="DE9" i="223" s="1"/>
  <c r="CD9" i="223"/>
  <c r="CJ9" i="223" s="1"/>
  <c r="CB9" i="223"/>
  <c r="BZ9" i="223"/>
  <c r="BX9" i="223"/>
  <c r="BY9" i="223" s="1"/>
  <c r="BV9" i="223"/>
  <c r="BE9" i="223"/>
  <c r="BM9" i="223" s="1"/>
  <c r="BC9" i="223"/>
  <c r="BD9" i="223" s="1"/>
  <c r="AX9" i="223"/>
  <c r="AY9" i="223" s="1"/>
  <c r="AV9" i="223"/>
  <c r="AW9" i="223" s="1"/>
  <c r="AT9" i="223"/>
  <c r="AU9" i="223" s="1"/>
  <c r="AR9" i="223"/>
  <c r="AP9" i="223"/>
  <c r="AN9" i="223"/>
  <c r="AI9" i="223"/>
  <c r="AG9" i="223"/>
  <c r="AE9" i="223"/>
  <c r="DM8" i="223"/>
  <c r="DL8" i="223"/>
  <c r="DK8" i="223"/>
  <c r="DJ8" i="223"/>
  <c r="CY8" i="223"/>
  <c r="EC8" i="223" s="1"/>
  <c r="CW8" i="223"/>
  <c r="CS8" i="223"/>
  <c r="CO8" i="223"/>
  <c r="CG8" i="223"/>
  <c r="DD8" i="223" s="1"/>
  <c r="CD8" i="223"/>
  <c r="CV8" i="223" s="1"/>
  <c r="CB8" i="223"/>
  <c r="BZ8" i="223"/>
  <c r="BX8" i="223"/>
  <c r="BY8" i="223" s="1"/>
  <c r="BV8" i="223"/>
  <c r="BC8" i="223"/>
  <c r="AY8" i="223"/>
  <c r="AX8" i="223"/>
  <c r="AV8" i="223"/>
  <c r="AW8" i="223" s="1"/>
  <c r="AT8" i="223"/>
  <c r="AU8" i="223" s="1"/>
  <c r="AR8" i="223"/>
  <c r="AP8" i="223"/>
  <c r="AN8" i="223"/>
  <c r="AK8" i="223"/>
  <c r="AI8" i="223"/>
  <c r="AG8" i="223"/>
  <c r="AE8" i="223"/>
  <c r="DM7" i="223"/>
  <c r="DL7" i="223"/>
  <c r="DK7" i="223"/>
  <c r="DJ7" i="223"/>
  <c r="CY7" i="223"/>
  <c r="EC7" i="223" s="1"/>
  <c r="CW7" i="223"/>
  <c r="CS7" i="223"/>
  <c r="CO7" i="223"/>
  <c r="CG7" i="223"/>
  <c r="DD7" i="223" s="1"/>
  <c r="CD7" i="223"/>
  <c r="CV7" i="223" s="1"/>
  <c r="CB7" i="223"/>
  <c r="BZ7" i="223"/>
  <c r="BX7" i="223"/>
  <c r="BY7" i="223" s="1"/>
  <c r="BV7" i="223"/>
  <c r="BC7" i="223"/>
  <c r="AX7" i="223"/>
  <c r="AY7" i="223" s="1"/>
  <c r="AV7" i="223"/>
  <c r="AW7" i="223" s="1"/>
  <c r="AT7" i="223"/>
  <c r="AU7" i="223" s="1"/>
  <c r="AR7" i="223"/>
  <c r="AP7" i="223"/>
  <c r="AN7" i="223"/>
  <c r="AK7" i="223"/>
  <c r="AI7" i="223"/>
  <c r="AG7" i="223"/>
  <c r="AE7" i="223"/>
  <c r="DM6" i="223"/>
  <c r="DL6" i="223"/>
  <c r="DJ6" i="223"/>
  <c r="CY6" i="223"/>
  <c r="EC6" i="223" s="1"/>
  <c r="CW6" i="223"/>
  <c r="CS6" i="223"/>
  <c r="CO6" i="223"/>
  <c r="CG6" i="223"/>
  <c r="DD6" i="223" s="1"/>
  <c r="CD6" i="223"/>
  <c r="CB6" i="223"/>
  <c r="BZ6" i="223"/>
  <c r="BX6" i="223"/>
  <c r="BY6" i="223" s="1"/>
  <c r="BV6" i="223"/>
  <c r="BC6" i="223"/>
  <c r="AX6" i="223"/>
  <c r="AY6" i="223" s="1"/>
  <c r="AV6" i="223"/>
  <c r="AW6" i="223" s="1"/>
  <c r="AQ6" i="223"/>
  <c r="AT6" i="223" s="1"/>
  <c r="AU6" i="223" s="1"/>
  <c r="AP6" i="223"/>
  <c r="AN6" i="223"/>
  <c r="AI6" i="223"/>
  <c r="AG6" i="223"/>
  <c r="AE6" i="223"/>
  <c r="DM5" i="223"/>
  <c r="DL5" i="223"/>
  <c r="DK5" i="223"/>
  <c r="DJ5" i="223"/>
  <c r="CY5" i="223"/>
  <c r="EC5" i="223" s="1"/>
  <c r="CW5" i="223"/>
  <c r="CS5" i="223"/>
  <c r="CO5" i="223"/>
  <c r="CG5" i="223"/>
  <c r="DD5" i="223" s="1"/>
  <c r="CD5" i="223"/>
  <c r="CB5" i="223"/>
  <c r="BZ5" i="223"/>
  <c r="BX5" i="223"/>
  <c r="BY5" i="223" s="1"/>
  <c r="BV5" i="223"/>
  <c r="BC5" i="223"/>
  <c r="AX5" i="223"/>
  <c r="AY5" i="223" s="1"/>
  <c r="AV5" i="223"/>
  <c r="AW5" i="223" s="1"/>
  <c r="AT5" i="223"/>
  <c r="AU5" i="223" s="1"/>
  <c r="AR5" i="223"/>
  <c r="AP5" i="223"/>
  <c r="AN5" i="223"/>
  <c r="AI5" i="223"/>
  <c r="AG5" i="223"/>
  <c r="AE5" i="223"/>
  <c r="B83" i="176"/>
  <c r="CL52" i="223" l="1"/>
  <c r="CV52" i="223"/>
  <c r="BR72" i="223"/>
  <c r="BO72" i="223"/>
  <c r="BM72" i="223"/>
  <c r="CV6" i="223"/>
  <c r="CJ6" i="223"/>
  <c r="BE6" i="223"/>
  <c r="BI6" i="223" s="1"/>
  <c r="CJ5" i="223"/>
  <c r="BE5" i="223"/>
  <c r="BI5" i="223" s="1"/>
  <c r="AP78" i="223"/>
  <c r="AO78" i="223" s="1"/>
  <c r="DI74" i="223"/>
  <c r="DA74" i="223"/>
  <c r="DH74" i="223" s="1"/>
  <c r="EC81" i="223"/>
  <c r="CZ81" i="223"/>
  <c r="CJ32" i="223"/>
  <c r="CL32" i="223"/>
  <c r="BE32" i="223"/>
  <c r="BM32" i="223" s="1"/>
  <c r="CR42" i="223"/>
  <c r="BE42" i="223"/>
  <c r="BK42" i="223" s="1"/>
  <c r="CN51" i="223"/>
  <c r="CR51" i="223"/>
  <c r="AR72" i="223"/>
  <c r="AT72" i="223"/>
  <c r="AU72" i="223" s="1"/>
  <c r="CJ77" i="223"/>
  <c r="BE77" i="223"/>
  <c r="BR77" i="223" s="1"/>
  <c r="CL90" i="223"/>
  <c r="CJ90" i="223"/>
  <c r="F83" i="176"/>
  <c r="E83" i="176"/>
  <c r="CX6" i="223"/>
  <c r="BE35" i="223"/>
  <c r="BK35" i="223" s="1"/>
  <c r="DE35" i="223"/>
  <c r="CR50" i="223"/>
  <c r="CL50" i="223"/>
  <c r="CR65" i="223"/>
  <c r="CJ65" i="223"/>
  <c r="CJ72" i="223"/>
  <c r="CN72" i="223"/>
  <c r="CL72" i="223"/>
  <c r="CV72" i="223"/>
  <c r="BE65" i="223"/>
  <c r="BR65" i="223" s="1"/>
  <c r="DD65" i="223"/>
  <c r="DF65" i="223"/>
  <c r="BD72" i="223"/>
  <c r="AT75" i="223"/>
  <c r="AU75" i="223" s="1"/>
  <c r="DK75" i="223"/>
  <c r="AR75" i="223"/>
  <c r="CT90" i="223"/>
  <c r="DC11" i="223"/>
  <c r="CP14" i="223"/>
  <c r="BD18" i="223"/>
  <c r="CT20" i="223"/>
  <c r="CZ30" i="223"/>
  <c r="DE42" i="223"/>
  <c r="CP46" i="223"/>
  <c r="CH50" i="223"/>
  <c r="DE51" i="223"/>
  <c r="DE72" i="223"/>
  <c r="CA9" i="223"/>
  <c r="CP18" i="223"/>
  <c r="CP29" i="223"/>
  <c r="CH32" i="223"/>
  <c r="DF34" i="223"/>
  <c r="DG34" i="223" s="1"/>
  <c r="DA40" i="223"/>
  <c r="DH40" i="223" s="1"/>
  <c r="CP42" i="223"/>
  <c r="BE43" i="223"/>
  <c r="BI43" i="223" s="1"/>
  <c r="BU46" i="223"/>
  <c r="EC46" i="223" s="1"/>
  <c r="BD51" i="223"/>
  <c r="AT61" i="223"/>
  <c r="AU61" i="223" s="1"/>
  <c r="CP65" i="223"/>
  <c r="CX72" i="223"/>
  <c r="BD82" i="223"/>
  <c r="BE83" i="223"/>
  <c r="BM83" i="223" s="1"/>
  <c r="DE83" i="223"/>
  <c r="CA85" i="223"/>
  <c r="AV95" i="223"/>
  <c r="CH43" i="223"/>
  <c r="BD50" i="223"/>
  <c r="CA65" i="223"/>
  <c r="CP66" i="223"/>
  <c r="BY72" i="223"/>
  <c r="CZ72" i="223"/>
  <c r="BD74" i="223"/>
  <c r="CJ83" i="223"/>
  <c r="AJ95" i="223"/>
  <c r="CS95" i="223"/>
  <c r="BT110" i="223"/>
  <c r="BS110" i="223" s="1"/>
  <c r="CV9" i="223"/>
  <c r="CT50" i="223"/>
  <c r="DG54" i="223"/>
  <c r="CZ54" i="223"/>
  <c r="DA57" i="223"/>
  <c r="DH57" i="223" s="1"/>
  <c r="CP58" i="223"/>
  <c r="DE60" i="223"/>
  <c r="DA64" i="223"/>
  <c r="DH64" i="223" s="1"/>
  <c r="BQ71" i="223"/>
  <c r="CM71" i="223"/>
  <c r="AN78" i="223"/>
  <c r="AM78" i="223" s="1"/>
  <c r="CA72" i="223"/>
  <c r="CP72" i="223"/>
  <c r="CT74" i="223"/>
  <c r="CI95" i="223"/>
  <c r="CU95" i="223"/>
  <c r="DF95" i="223"/>
  <c r="CL110" i="223"/>
  <c r="CK110" i="223" s="1"/>
  <c r="CX110" i="223"/>
  <c r="CW110" i="223" s="1"/>
  <c r="CQ71" i="223"/>
  <c r="BD8" i="223"/>
  <c r="CC8" i="223"/>
  <c r="CX8" i="223"/>
  <c r="CH9" i="223"/>
  <c r="BD10" i="223"/>
  <c r="CC10" i="223"/>
  <c r="CP10" i="223"/>
  <c r="CT12" i="223"/>
  <c r="DC15" i="223"/>
  <c r="BD26" i="223"/>
  <c r="CV30" i="223"/>
  <c r="DF31" i="223"/>
  <c r="DE32" i="223"/>
  <c r="CR32" i="223"/>
  <c r="DB32" i="223"/>
  <c r="DO32" i="223" s="1"/>
  <c r="AJ71" i="223"/>
  <c r="AX71" i="223"/>
  <c r="CO71" i="223"/>
  <c r="CX82" i="223"/>
  <c r="CX86" i="223"/>
  <c r="CX44" i="223"/>
  <c r="CL10" i="223"/>
  <c r="CP12" i="223"/>
  <c r="DK18" i="223"/>
  <c r="CT22" i="223"/>
  <c r="DF27" i="223"/>
  <c r="DG27" i="223" s="1"/>
  <c r="DI30" i="223"/>
  <c r="DB31" i="223"/>
  <c r="DO31" i="223" s="1"/>
  <c r="CP32" i="223"/>
  <c r="CZ32" i="223"/>
  <c r="CX34" i="223"/>
  <c r="BR43" i="223"/>
  <c r="DD49" i="223"/>
  <c r="BD52" i="223"/>
  <c r="AT58" i="223"/>
  <c r="AU58" i="223" s="1"/>
  <c r="CR60" i="223"/>
  <c r="CT61" i="223"/>
  <c r="AT65" i="223"/>
  <c r="AU65" i="223" s="1"/>
  <c r="CH65" i="223"/>
  <c r="CY71" i="223"/>
  <c r="DA71" i="223" s="1"/>
  <c r="CH74" i="223"/>
  <c r="CX75" i="223"/>
  <c r="CT82" i="223"/>
  <c r="CT86" i="223"/>
  <c r="CX61" i="223"/>
  <c r="CT6" i="223"/>
  <c r="CH7" i="223"/>
  <c r="CR8" i="223"/>
  <c r="CR9" i="223"/>
  <c r="CJ10" i="223"/>
  <c r="CP16" i="223"/>
  <c r="CP23" i="223"/>
  <c r="DB27" i="223"/>
  <c r="EC30" i="223"/>
  <c r="BD32" i="223"/>
  <c r="CH39" i="223"/>
  <c r="BM43" i="223"/>
  <c r="CJ44" i="223"/>
  <c r="CN52" i="223"/>
  <c r="BD60" i="223"/>
  <c r="BD61" i="223"/>
  <c r="CP61" i="223"/>
  <c r="AF71" i="223"/>
  <c r="CP82" i="223"/>
  <c r="BR83" i="223"/>
  <c r="DA83" i="223"/>
  <c r="DH83" i="223" s="1"/>
  <c r="CP86" i="223"/>
  <c r="CH110" i="223"/>
  <c r="CG110" i="223" s="1"/>
  <c r="AR6" i="223"/>
  <c r="BD7" i="223"/>
  <c r="CP9" i="223"/>
  <c r="CH10" i="223"/>
  <c r="DC12" i="223"/>
  <c r="DB18" i="223"/>
  <c r="DO18" i="223" s="1"/>
  <c r="DC23" i="223"/>
  <c r="AR29" i="223"/>
  <c r="BE30" i="223"/>
  <c r="CA30" i="223" s="1"/>
  <c r="DG30" i="223"/>
  <c r="CN32" i="223"/>
  <c r="CX32" i="223"/>
  <c r="CT38" i="223"/>
  <c r="BD39" i="223"/>
  <c r="DG39" i="223"/>
  <c r="AR40" i="223"/>
  <c r="AR63" i="223" s="1"/>
  <c r="BK43" i="223"/>
  <c r="CA43" i="223"/>
  <c r="CH44" i="223"/>
  <c r="DG52" i="223"/>
  <c r="CZ52" i="223"/>
  <c r="AT53" i="223"/>
  <c r="AU53" i="223" s="1"/>
  <c r="DB55" i="223"/>
  <c r="BX55" i="223" s="1"/>
  <c r="CT57" i="223"/>
  <c r="CH60" i="223"/>
  <c r="CJ61" i="223"/>
  <c r="CI71" i="223"/>
  <c r="CR75" i="223"/>
  <c r="CN82" i="223"/>
  <c r="DO84" i="223"/>
  <c r="CJ86" i="223"/>
  <c r="BE8" i="223"/>
  <c r="DE8" i="223"/>
  <c r="BM10" i="223"/>
  <c r="DE10" i="223"/>
  <c r="CX10" i="223"/>
  <c r="DC16" i="223"/>
  <c r="BD34" i="223"/>
  <c r="BY43" i="223"/>
  <c r="CH47" i="223"/>
  <c r="CX52" i="223"/>
  <c r="CZ60" i="223"/>
  <c r="N88" i="223"/>
  <c r="AT68" i="223"/>
  <c r="AU68" i="223" s="1"/>
  <c r="CG71" i="223"/>
  <c r="CS71" i="223"/>
  <c r="DF71" i="223"/>
  <c r="BE75" i="223"/>
  <c r="BK75" i="223" s="1"/>
  <c r="CP76" i="223"/>
  <c r="BE82" i="223"/>
  <c r="BR82" i="223" s="1"/>
  <c r="DG82" i="223"/>
  <c r="BR85" i="223"/>
  <c r="BE86" i="223"/>
  <c r="BK86" i="223" s="1"/>
  <c r="BD91" i="223"/>
  <c r="AT66" i="223"/>
  <c r="AU66" i="223" s="1"/>
  <c r="BU56" i="223"/>
  <c r="EC56" i="223" s="1"/>
  <c r="DK73" i="223"/>
  <c r="DK72" i="223"/>
  <c r="DI94" i="223"/>
  <c r="EC94" i="223"/>
  <c r="BS95" i="223"/>
  <c r="BD5" i="223"/>
  <c r="DE6" i="223"/>
  <c r="CT8" i="223"/>
  <c r="DB22" i="223"/>
  <c r="DO22" i="223" s="1"/>
  <c r="CX26" i="223"/>
  <c r="CP27" i="223"/>
  <c r="DC27" i="223"/>
  <c r="CT30" i="223"/>
  <c r="CP31" i="223"/>
  <c r="CP34" i="223"/>
  <c r="CZ34" i="223"/>
  <c r="CT41" i="223"/>
  <c r="BL71" i="223"/>
  <c r="CP77" i="223"/>
  <c r="BV87" i="223"/>
  <c r="BU87" i="223" s="1"/>
  <c r="BW87" i="223" s="1"/>
  <c r="EC84" i="223"/>
  <c r="AY92" i="223"/>
  <c r="AX92" i="223" s="1"/>
  <c r="DF91" i="223"/>
  <c r="N96" i="223"/>
  <c r="CT110" i="223"/>
  <c r="CS110" i="223" s="1"/>
  <c r="CT5" i="223"/>
  <c r="CT7" i="223"/>
  <c r="CT14" i="223"/>
  <c r="CX19" i="223"/>
  <c r="EC22" i="223"/>
  <c r="CX24" i="223"/>
  <c r="CX25" i="223"/>
  <c r="CT26" i="223"/>
  <c r="CT29" i="223"/>
  <c r="CC30" i="223"/>
  <c r="AR34" i="223"/>
  <c r="BE34" i="223"/>
  <c r="CA34" i="223"/>
  <c r="AT36" i="223"/>
  <c r="AU36" i="223" s="1"/>
  <c r="DO37" i="223"/>
  <c r="CJ37" i="223"/>
  <c r="CZ37" i="223"/>
  <c r="DC43" i="223"/>
  <c r="CX43" i="223"/>
  <c r="BD44" i="223"/>
  <c r="DG44" i="223"/>
  <c r="CV44" i="223"/>
  <c r="BD46" i="223"/>
  <c r="DE46" i="223"/>
  <c r="DG49" i="223"/>
  <c r="DB51" i="223"/>
  <c r="BX51" i="223" s="1"/>
  <c r="AR52" i="223"/>
  <c r="CJ52" i="223"/>
  <c r="CP57" i="223"/>
  <c r="DE58" i="223"/>
  <c r="AT60" i="223"/>
  <c r="AU60" i="223" s="1"/>
  <c r="CP60" i="223"/>
  <c r="DF62" i="223"/>
  <c r="CR66" i="223"/>
  <c r="AM71" i="223"/>
  <c r="CW71" i="223"/>
  <c r="DF72" i="223"/>
  <c r="DG72" i="223" s="1"/>
  <c r="AR73" i="223"/>
  <c r="CP75" i="223"/>
  <c r="CN77" i="223"/>
  <c r="DC81" i="223"/>
  <c r="BO82" i="223"/>
  <c r="CZ82" i="223"/>
  <c r="CX85" i="223"/>
  <c r="AT86" i="223"/>
  <c r="AU86" i="223" s="1"/>
  <c r="CV86" i="223"/>
  <c r="DA91" i="223"/>
  <c r="DH91" i="223" s="1"/>
  <c r="DA93" i="223"/>
  <c r="DH93" i="223" s="1"/>
  <c r="EC93" i="223"/>
  <c r="I96" i="223"/>
  <c r="BC96" i="223" s="1"/>
  <c r="CP5" i="223"/>
  <c r="BD6" i="223"/>
  <c r="CR6" i="223"/>
  <c r="CP8" i="223"/>
  <c r="DC13" i="223"/>
  <c r="DC17" i="223"/>
  <c r="AT18" i="223"/>
  <c r="AU18" i="223" s="1"/>
  <c r="DF18" i="223"/>
  <c r="BD23" i="223"/>
  <c r="CT25" i="223"/>
  <c r="BE27" i="223"/>
  <c r="CL27" i="223"/>
  <c r="CJ28" i="223"/>
  <c r="CP30" i="223"/>
  <c r="BE31" i="223"/>
  <c r="CC31" i="223" s="1"/>
  <c r="CL31" i="223"/>
  <c r="CL34" i="223"/>
  <c r="CR35" i="223"/>
  <c r="BE36" i="223"/>
  <c r="BI36" i="223" s="1"/>
  <c r="DC36" i="223"/>
  <c r="DK36" i="223"/>
  <c r="DC37" i="223"/>
  <c r="K39" i="223"/>
  <c r="CT43" i="223"/>
  <c r="CT44" i="223"/>
  <c r="DK44" i="223"/>
  <c r="CJ51" i="223"/>
  <c r="CZ51" i="223"/>
  <c r="CH52" i="223"/>
  <c r="AT54" i="223"/>
  <c r="AU54" i="223" s="1"/>
  <c r="CN57" i="223"/>
  <c r="DB57" i="223"/>
  <c r="DC57" i="223" s="1"/>
  <c r="AT59" i="223"/>
  <c r="AU59" i="223" s="1"/>
  <c r="BU60" i="223"/>
  <c r="EC60" i="223" s="1"/>
  <c r="CJ60" i="223"/>
  <c r="DB60" i="223"/>
  <c r="BX60" i="223" s="1"/>
  <c r="BD64" i="223"/>
  <c r="DB64" i="223"/>
  <c r="DC64" i="223" s="1"/>
  <c r="CT65" i="223"/>
  <c r="BZ71" i="223"/>
  <c r="CK71" i="223"/>
  <c r="CP73" i="223"/>
  <c r="CN75" i="223"/>
  <c r="CZ75" i="223"/>
  <c r="CT76" i="223"/>
  <c r="BO77" i="223"/>
  <c r="DG77" i="223"/>
  <c r="EE81" i="223"/>
  <c r="CC82" i="223"/>
  <c r="CT84" i="223"/>
  <c r="BI86" i="223"/>
  <c r="CL5" i="223"/>
  <c r="CL8" i="223"/>
  <c r="BI9" i="223"/>
  <c r="CZ9" i="223"/>
  <c r="CR10" i="223"/>
  <c r="CP19" i="223"/>
  <c r="CT23" i="223"/>
  <c r="CP24" i="223"/>
  <c r="CJ26" i="223"/>
  <c r="BD27" i="223"/>
  <c r="CJ27" i="223"/>
  <c r="CV27" i="223"/>
  <c r="CH28" i="223"/>
  <c r="CN30" i="223"/>
  <c r="CX30" i="223"/>
  <c r="BD31" i="223"/>
  <c r="CJ31" i="223"/>
  <c r="CV31" i="223"/>
  <c r="AT33" i="223"/>
  <c r="AU33" i="223" s="1"/>
  <c r="CJ34" i="223"/>
  <c r="CT34" i="223"/>
  <c r="DB35" i="223"/>
  <c r="DO35" i="223" s="1"/>
  <c r="BO37" i="223"/>
  <c r="CX37" i="223"/>
  <c r="DI40" i="223"/>
  <c r="DB50" i="223"/>
  <c r="BX50" i="223" s="1"/>
  <c r="DF53" i="223"/>
  <c r="DG53" i="223" s="1"/>
  <c r="DE5" i="223"/>
  <c r="CL6" i="223"/>
  <c r="CJ7" i="223"/>
  <c r="CH8" i="223"/>
  <c r="DC14" i="223"/>
  <c r="CT16" i="223"/>
  <c r="BD19" i="223"/>
  <c r="DE19" i="223"/>
  <c r="DE20" i="223"/>
  <c r="CX21" i="223"/>
  <c r="BD24" i="223"/>
  <c r="DE24" i="223"/>
  <c r="BE26" i="223"/>
  <c r="BO26" i="223" s="1"/>
  <c r="DE26" i="223"/>
  <c r="DE27" i="223"/>
  <c r="CT27" i="223"/>
  <c r="DC29" i="223"/>
  <c r="CL30" i="223"/>
  <c r="DE31" i="223"/>
  <c r="CT31" i="223"/>
  <c r="CT32" i="223"/>
  <c r="DF32" i="223"/>
  <c r="DG32" i="223" s="1"/>
  <c r="AR33" i="223"/>
  <c r="DE34" i="223"/>
  <c r="CJ35" i="223"/>
  <c r="CZ35" i="223"/>
  <c r="BM37" i="223"/>
  <c r="CT37" i="223"/>
  <c r="DF38" i="223"/>
  <c r="DG38" i="223" s="1"/>
  <c r="CP39" i="223"/>
  <c r="DF40" i="223"/>
  <c r="DG40" i="223" s="1"/>
  <c r="AR41" i="223"/>
  <c r="CJ41" i="223"/>
  <c r="BO43" i="223"/>
  <c r="CL43" i="223"/>
  <c r="DA43" i="223"/>
  <c r="DH43" i="223" s="1"/>
  <c r="CN44" i="223"/>
  <c r="CZ44" i="223"/>
  <c r="AR46" i="223"/>
  <c r="DD47" i="223"/>
  <c r="DE47" i="223" s="1"/>
  <c r="CX48" i="223"/>
  <c r="DA50" i="223"/>
  <c r="DH50" i="223" s="1"/>
  <c r="CT52" i="223"/>
  <c r="DB53" i="223"/>
  <c r="BX53" i="223" s="1"/>
  <c r="BY53" i="223" s="1"/>
  <c r="CX60" i="223"/>
  <c r="DA65" i="223"/>
  <c r="DH65" i="223" s="1"/>
  <c r="BJ71" i="223"/>
  <c r="CV75" i="223"/>
  <c r="CN76" i="223"/>
  <c r="CJ84" i="223"/>
  <c r="DA84" i="223"/>
  <c r="DH84" i="223" s="1"/>
  <c r="CN85" i="223"/>
  <c r="BD86" i="223"/>
  <c r="CL86" i="223"/>
  <c r="AG92" i="223"/>
  <c r="AF92" i="223" s="1"/>
  <c r="AR91" i="223"/>
  <c r="CX5" i="223"/>
  <c r="CR27" i="223"/>
  <c r="CT28" i="223"/>
  <c r="CR31" i="223"/>
  <c r="DG31" i="223"/>
  <c r="CR34" i="223"/>
  <c r="CA37" i="223"/>
  <c r="CZ43" i="223"/>
  <c r="AT44" i="223"/>
  <c r="AU44" i="223" s="1"/>
  <c r="BU49" i="223"/>
  <c r="BV49" i="223" s="1"/>
  <c r="CZ50" i="223"/>
  <c r="CT60" i="223"/>
  <c r="CZ65" i="223"/>
  <c r="AQ71" i="223"/>
  <c r="AS71" i="223" s="1"/>
  <c r="BH71" i="223"/>
  <c r="BS71" i="223"/>
  <c r="CH72" i="223"/>
  <c r="CZ74" i="223"/>
  <c r="EC74" i="223"/>
  <c r="DG76" i="223"/>
  <c r="CZ76" i="223"/>
  <c r="DO81" i="223"/>
  <c r="BK84" i="223"/>
  <c r="DC84" i="223"/>
  <c r="CZ84" i="223"/>
  <c r="BT85" i="223"/>
  <c r="DE85" i="223"/>
  <c r="X96" i="223"/>
  <c r="BK110" i="223"/>
  <c r="BJ110" i="223" s="1"/>
  <c r="BM18" i="223"/>
  <c r="BI18" i="223"/>
  <c r="CA18" i="223"/>
  <c r="BO18" i="223"/>
  <c r="BR18" i="223"/>
  <c r="CC18" i="223"/>
  <c r="BV50" i="223"/>
  <c r="EC50" i="223"/>
  <c r="DI50" i="223"/>
  <c r="AY63" i="223"/>
  <c r="AX63" i="223" s="1"/>
  <c r="CA5" i="223"/>
  <c r="CA6" i="223"/>
  <c r="EC11" i="223"/>
  <c r="EC13" i="223"/>
  <c r="EC15" i="223"/>
  <c r="EC17" i="223"/>
  <c r="CX18" i="223"/>
  <c r="EC19" i="223"/>
  <c r="CP33" i="223"/>
  <c r="CA35" i="223"/>
  <c r="CR40" i="223"/>
  <c r="CR45" i="223"/>
  <c r="AR48" i="223"/>
  <c r="BD48" i="223"/>
  <c r="CR48" i="223"/>
  <c r="CZ48" i="223"/>
  <c r="CT55" i="223"/>
  <c r="CX56" i="223"/>
  <c r="CT64" i="223"/>
  <c r="DB74" i="223"/>
  <c r="DO74" i="223" s="1"/>
  <c r="DB83" i="223"/>
  <c r="DC83" i="223" s="1"/>
  <c r="DF90" i="223"/>
  <c r="DG90" i="223" s="1"/>
  <c r="EC108" i="223"/>
  <c r="AP63" i="223"/>
  <c r="CX11" i="223"/>
  <c r="CX13" i="223"/>
  <c r="CX15" i="223"/>
  <c r="CX17" i="223"/>
  <c r="CN18" i="223"/>
  <c r="CP25" i="223"/>
  <c r="BE33" i="223"/>
  <c r="CA33" i="223" s="1"/>
  <c r="CX33" i="223"/>
  <c r="CA38" i="223"/>
  <c r="DB39" i="223"/>
  <c r="CZ40" i="223"/>
  <c r="CX42" i="223"/>
  <c r="CZ45" i="223"/>
  <c r="CX46" i="223"/>
  <c r="CP48" i="223"/>
  <c r="DB49" i="223"/>
  <c r="BX49" i="223" s="1"/>
  <c r="BY49" i="223" s="1"/>
  <c r="CT56" i="223"/>
  <c r="BU58" i="223"/>
  <c r="DK58" i="223" s="1"/>
  <c r="CX58" i="223"/>
  <c r="CZ62" i="223"/>
  <c r="CP64" i="223"/>
  <c r="DF67" i="223"/>
  <c r="BN71" i="223"/>
  <c r="BX71" i="223"/>
  <c r="DI76" i="223"/>
  <c r="CX77" i="223"/>
  <c r="DI77" i="223"/>
  <c r="CJ81" i="223"/>
  <c r="BM82" i="223"/>
  <c r="CA82" i="223"/>
  <c r="BO83" i="223"/>
  <c r="CR83" i="223"/>
  <c r="CV85" i="223"/>
  <c r="DF85" i="223"/>
  <c r="DG85" i="223" s="1"/>
  <c r="DK86" i="223"/>
  <c r="CH6" i="223"/>
  <c r="DK6" i="223"/>
  <c r="DE7" i="223"/>
  <c r="CR7" i="223"/>
  <c r="BO8" i="223"/>
  <c r="BO10" i="223"/>
  <c r="DI12" i="223"/>
  <c r="DI14" i="223"/>
  <c r="DI16" i="223"/>
  <c r="CL18" i="223"/>
  <c r="CV18" i="223"/>
  <c r="DG18" i="223"/>
  <c r="CX22" i="223"/>
  <c r="DI23" i="223"/>
  <c r="BE25" i="223"/>
  <c r="BM25" i="223" s="1"/>
  <c r="DF26" i="223"/>
  <c r="DG26" i="223" s="1"/>
  <c r="BI27" i="223"/>
  <c r="CH27" i="223"/>
  <c r="CZ27" i="223"/>
  <c r="DE28" i="223"/>
  <c r="CR28" i="223"/>
  <c r="DI29" i="223"/>
  <c r="CH31" i="223"/>
  <c r="CZ31" i="223"/>
  <c r="BD33" i="223"/>
  <c r="CL33" i="223"/>
  <c r="BI34" i="223"/>
  <c r="CH34" i="223"/>
  <c r="DF36" i="223"/>
  <c r="DG36" i="223" s="1"/>
  <c r="BK37" i="223"/>
  <c r="BY37" i="223"/>
  <c r="CH37" i="223"/>
  <c r="CZ38" i="223"/>
  <c r="DK38" i="223"/>
  <c r="AR39" i="223"/>
  <c r="CR39" i="223"/>
  <c r="CZ39" i="223"/>
  <c r="DI39" i="223"/>
  <c r="BE40" i="223"/>
  <c r="BT40" i="223" s="1"/>
  <c r="CL40" i="223"/>
  <c r="CR41" i="223"/>
  <c r="BD42" i="223"/>
  <c r="CN42" i="223"/>
  <c r="AR43" i="223"/>
  <c r="DK43" i="223"/>
  <c r="DI44" i="223"/>
  <c r="CN45" i="223"/>
  <c r="CN46" i="223"/>
  <c r="BU47" i="223"/>
  <c r="DG47" i="223"/>
  <c r="DA49" i="223"/>
  <c r="DH49" i="223" s="1"/>
  <c r="CT53" i="223"/>
  <c r="CR55" i="223"/>
  <c r="CZ57" i="223"/>
  <c r="CN58" i="223"/>
  <c r="BU61" i="223"/>
  <c r="DK61" i="223" s="1"/>
  <c r="CL61" i="223"/>
  <c r="AC79" i="223"/>
  <c r="AI69" i="223"/>
  <c r="AH69" i="223" s="1"/>
  <c r="CN64" i="223"/>
  <c r="CZ64" i="223"/>
  <c r="AR65" i="223"/>
  <c r="DE65" i="223"/>
  <c r="CD67" i="223"/>
  <c r="DE67" i="223" s="1"/>
  <c r="X79" i="223"/>
  <c r="AH71" i="223"/>
  <c r="BU71" i="223"/>
  <c r="CU71" i="223"/>
  <c r="DD71" i="223"/>
  <c r="BI72" i="223"/>
  <c r="CT72" i="223"/>
  <c r="DE73" i="223"/>
  <c r="DF73" i="223"/>
  <c r="BE74" i="223"/>
  <c r="CA74" i="223" s="1"/>
  <c r="CP74" i="223"/>
  <c r="CP78" i="223" s="1"/>
  <c r="CL75" i="223"/>
  <c r="CT75" i="223"/>
  <c r="AT76" i="223"/>
  <c r="AU76" i="223" s="1"/>
  <c r="CJ76" i="223"/>
  <c r="CX76" i="223"/>
  <c r="CX78" i="223" s="1"/>
  <c r="CW78" i="223" s="1"/>
  <c r="EC76" i="223"/>
  <c r="BD77" i="223"/>
  <c r="CC77" i="223"/>
  <c r="CV77" i="223"/>
  <c r="DD77" i="223"/>
  <c r="DE77" i="223" s="1"/>
  <c r="BE81" i="223"/>
  <c r="CA81" i="223" s="1"/>
  <c r="CH81" i="223"/>
  <c r="CX81" i="223"/>
  <c r="BK82" i="223"/>
  <c r="CL82" i="223"/>
  <c r="CV82" i="223"/>
  <c r="DI82" i="223"/>
  <c r="BK83" i="223"/>
  <c r="CC83" i="223"/>
  <c r="CZ83" i="223"/>
  <c r="BO84" i="223"/>
  <c r="CC85" i="223"/>
  <c r="CR86" i="223"/>
  <c r="AE92" i="223"/>
  <c r="AD92" i="223" s="1"/>
  <c r="CP7" i="223"/>
  <c r="CC9" i="223"/>
  <c r="CT11" i="223"/>
  <c r="EC12" i="223"/>
  <c r="CT13" i="223"/>
  <c r="EC14" i="223"/>
  <c r="CT15" i="223"/>
  <c r="EC16" i="223"/>
  <c r="CT17" i="223"/>
  <c r="CJ18" i="223"/>
  <c r="CT18" i="223"/>
  <c r="DI20" i="223"/>
  <c r="EC23" i="223"/>
  <c r="CN25" i="223"/>
  <c r="DB26" i="223"/>
  <c r="DO26" i="223" s="1"/>
  <c r="CP28" i="223"/>
  <c r="DB30" i="223"/>
  <c r="DO30" i="223" s="1"/>
  <c r="CJ33" i="223"/>
  <c r="CT33" i="223"/>
  <c r="DI37" i="223"/>
  <c r="BD40" i="223"/>
  <c r="CJ40" i="223"/>
  <c r="CP41" i="223"/>
  <c r="CX41" i="223"/>
  <c r="CL42" i="223"/>
  <c r="CV42" i="223"/>
  <c r="DF42" i="223"/>
  <c r="DG42" i="223" s="1"/>
  <c r="EC44" i="223"/>
  <c r="BD45" i="223"/>
  <c r="CL45" i="223"/>
  <c r="CV45" i="223"/>
  <c r="CL46" i="223"/>
  <c r="CV46" i="223"/>
  <c r="DF46" i="223"/>
  <c r="DG46" i="223" s="1"/>
  <c r="DI47" i="223"/>
  <c r="CN48" i="223"/>
  <c r="CL58" i="223"/>
  <c r="CV58" i="223"/>
  <c r="DF58" i="223"/>
  <c r="DG58" i="223" s="1"/>
  <c r="DD59" i="223"/>
  <c r="DE59" i="223" s="1"/>
  <c r="CL64" i="223"/>
  <c r="DI64" i="223"/>
  <c r="CX65" i="223"/>
  <c r="I69" i="223"/>
  <c r="I88" i="223" s="1"/>
  <c r="AO71" i="223"/>
  <c r="DB71" i="223"/>
  <c r="CN74" i="223"/>
  <c r="DD75" i="223"/>
  <c r="DE75" i="223" s="1"/>
  <c r="AR76" i="223"/>
  <c r="BD76" i="223"/>
  <c r="BD78" i="223" s="1"/>
  <c r="BC78" i="223" s="1"/>
  <c r="CH76" i="223"/>
  <c r="CV76" i="223"/>
  <c r="DD76" i="223"/>
  <c r="DE76" i="223" s="1"/>
  <c r="EC77" i="223"/>
  <c r="AK87" i="223"/>
  <c r="AJ87" i="223" s="1"/>
  <c r="BD81" i="223"/>
  <c r="CT81" i="223"/>
  <c r="DI81" i="223"/>
  <c r="BI82" i="223"/>
  <c r="CH82" i="223"/>
  <c r="DD82" i="223"/>
  <c r="DE82" i="223" s="1"/>
  <c r="BI83" i="223"/>
  <c r="CA83" i="223"/>
  <c r="CL83" i="223"/>
  <c r="BM84" i="223"/>
  <c r="CZ86" i="223"/>
  <c r="CA90" i="223"/>
  <c r="DB90" i="223"/>
  <c r="DC90" i="223" s="1"/>
  <c r="BY91" i="223"/>
  <c r="CT91" i="223"/>
  <c r="BU95" i="223"/>
  <c r="BW95" i="223" s="1"/>
  <c r="BO5" i="223"/>
  <c r="CD63" i="223"/>
  <c r="CR5" i="223"/>
  <c r="BO6" i="223"/>
  <c r="CP6" i="223"/>
  <c r="CX7" i="223"/>
  <c r="CA8" i="223"/>
  <c r="BR9" i="223"/>
  <c r="DF9" i="223"/>
  <c r="DG9" i="223" s="1"/>
  <c r="CA10" i="223"/>
  <c r="CP11" i="223"/>
  <c r="CX12" i="223"/>
  <c r="CP13" i="223"/>
  <c r="CX14" i="223"/>
  <c r="CP15" i="223"/>
  <c r="CX16" i="223"/>
  <c r="CP17" i="223"/>
  <c r="CH18" i="223"/>
  <c r="CR18" i="223"/>
  <c r="CZ18" i="223"/>
  <c r="DI19" i="223"/>
  <c r="CP20" i="223"/>
  <c r="EC20" i="223"/>
  <c r="DI21" i="223"/>
  <c r="CP22" i="223"/>
  <c r="CX23" i="223"/>
  <c r="CL25" i="223"/>
  <c r="CV25" i="223"/>
  <c r="CP26" i="223"/>
  <c r="DA26" i="223"/>
  <c r="DH26" i="223" s="1"/>
  <c r="DO27" i="223"/>
  <c r="CX27" i="223"/>
  <c r="CX28" i="223"/>
  <c r="CX29" i="223"/>
  <c r="EC29" i="223"/>
  <c r="CX31" i="223"/>
  <c r="CH33" i="223"/>
  <c r="BT34" i="223"/>
  <c r="BO35" i="223"/>
  <c r="CT35" i="223"/>
  <c r="DD37" i="223"/>
  <c r="DE37" i="223" s="1"/>
  <c r="EC37" i="223"/>
  <c r="DI38" i="223"/>
  <c r="CN39" i="223"/>
  <c r="CX39" i="223"/>
  <c r="EC39" i="223"/>
  <c r="CH40" i="223"/>
  <c r="CV40" i="223"/>
  <c r="BE41" i="223"/>
  <c r="BO41" i="223" s="1"/>
  <c r="DK41" i="223"/>
  <c r="CJ42" i="223"/>
  <c r="CT42" i="223"/>
  <c r="DB42" i="223"/>
  <c r="DC42" i="223" s="1"/>
  <c r="DI43" i="223"/>
  <c r="DD44" i="223"/>
  <c r="DE44" i="223" s="1"/>
  <c r="CH45" i="223"/>
  <c r="CT45" i="223"/>
  <c r="CJ46" i="223"/>
  <c r="CT46" i="223"/>
  <c r="DB46" i="223"/>
  <c r="CL48" i="223"/>
  <c r="CV48" i="223"/>
  <c r="CT51" i="223"/>
  <c r="DD52" i="223"/>
  <c r="DE52" i="223" s="1"/>
  <c r="CH53" i="223"/>
  <c r="CV54" i="223"/>
  <c r="CL55" i="223"/>
  <c r="CZ55" i="223"/>
  <c r="CN56" i="223"/>
  <c r="CJ58" i="223"/>
  <c r="CT58" i="223"/>
  <c r="DB58" i="223"/>
  <c r="DB59" i="223"/>
  <c r="DC59" i="223" s="1"/>
  <c r="CN60" i="223"/>
  <c r="CV60" i="223"/>
  <c r="DF60" i="223"/>
  <c r="DG60" i="223" s="1"/>
  <c r="CP62" i="223"/>
  <c r="BE64" i="223"/>
  <c r="CA64" i="223" s="1"/>
  <c r="CJ64" i="223"/>
  <c r="CX64" i="223"/>
  <c r="BT65" i="223"/>
  <c r="CC65" i="223"/>
  <c r="CN65" i="223"/>
  <c r="DG65" i="223"/>
  <c r="AG69" i="223"/>
  <c r="AF69" i="223" s="1"/>
  <c r="CB71" i="223"/>
  <c r="BT72" i="223"/>
  <c r="CX73" i="223"/>
  <c r="CL74" i="223"/>
  <c r="CX74" i="223"/>
  <c r="DB77" i="223"/>
  <c r="CR81" i="223"/>
  <c r="DB82" i="223"/>
  <c r="DO82" i="223" s="1"/>
  <c r="EC82" i="223"/>
  <c r="DB85" i="223"/>
  <c r="DK90" i="223"/>
  <c r="AC96" i="223"/>
  <c r="DA108" i="223"/>
  <c r="DH108" i="223" s="1"/>
  <c r="BM5" i="223"/>
  <c r="CC5" i="223"/>
  <c r="BM6" i="223"/>
  <c r="CC6" i="223"/>
  <c r="BE7" i="223"/>
  <c r="CA7" i="223" s="1"/>
  <c r="CL7" i="223"/>
  <c r="CJ8" i="223"/>
  <c r="BO9" i="223"/>
  <c r="CT9" i="223"/>
  <c r="DB9" i="223"/>
  <c r="DO9" i="223" s="1"/>
  <c r="DI11" i="223"/>
  <c r="DI13" i="223"/>
  <c r="DI15" i="223"/>
  <c r="DI17" i="223"/>
  <c r="K19" i="223"/>
  <c r="DE18" i="223"/>
  <c r="CT19" i="223"/>
  <c r="DB19" i="223"/>
  <c r="DO19" i="223" s="1"/>
  <c r="CH20" i="223"/>
  <c r="DB20" i="223"/>
  <c r="DC20" i="223" s="1"/>
  <c r="CT21" i="223"/>
  <c r="DB21" i="223"/>
  <c r="DO21" i="223" s="1"/>
  <c r="EC21" i="223"/>
  <c r="BD22" i="223"/>
  <c r="DE22" i="223"/>
  <c r="DI22" i="223"/>
  <c r="CT24" i="223"/>
  <c r="DB24" i="223"/>
  <c r="DO24" i="223" s="1"/>
  <c r="DG25" i="223"/>
  <c r="DB25" i="223"/>
  <c r="DC25" i="223" s="1"/>
  <c r="CL26" i="223"/>
  <c r="CZ26" i="223"/>
  <c r="BE28" i="223"/>
  <c r="BI28" i="223" s="1"/>
  <c r="CL28" i="223"/>
  <c r="BI30" i="223"/>
  <c r="DE33" i="223"/>
  <c r="CR33" i="223"/>
  <c r="AT34" i="223"/>
  <c r="AU34" i="223" s="1"/>
  <c r="BR34" i="223"/>
  <c r="CC34" i="223"/>
  <c r="CN34" i="223"/>
  <c r="BI35" i="223"/>
  <c r="DF35" i="223"/>
  <c r="DG35" i="223" s="1"/>
  <c r="BY36" i="223"/>
  <c r="CT36" i="223"/>
  <c r="BR37" i="223"/>
  <c r="BO38" i="223"/>
  <c r="EC38" i="223"/>
  <c r="DD39" i="223"/>
  <c r="DE39" i="223" s="1"/>
  <c r="DE40" i="223"/>
  <c r="CT40" i="223"/>
  <c r="DB40" i="223"/>
  <c r="DC40" i="223" s="1"/>
  <c r="CN41" i="223"/>
  <c r="CH42" i="223"/>
  <c r="CZ42" i="223"/>
  <c r="DD43" i="223"/>
  <c r="DE43" i="223" s="1"/>
  <c r="DB44" i="223"/>
  <c r="DO44" i="223" s="1"/>
  <c r="DG45" i="223"/>
  <c r="CH46" i="223"/>
  <c r="CZ46" i="223"/>
  <c r="CT48" i="223"/>
  <c r="AR49" i="223"/>
  <c r="DF51" i="223"/>
  <c r="DG51" i="223" s="1"/>
  <c r="CR52" i="223"/>
  <c r="DB52" i="223"/>
  <c r="BX52" i="223" s="1"/>
  <c r="DO52" i="223" s="1"/>
  <c r="DA53" i="223"/>
  <c r="DH53" i="223" s="1"/>
  <c r="DO53" i="223"/>
  <c r="DG55" i="223"/>
  <c r="DE56" i="223"/>
  <c r="DF57" i="223"/>
  <c r="DG57" i="223" s="1"/>
  <c r="CH58" i="223"/>
  <c r="CZ58" i="223"/>
  <c r="CL60" i="223"/>
  <c r="CR61" i="223"/>
  <c r="CZ61" i="223"/>
  <c r="N79" i="223"/>
  <c r="N97" i="223" s="1"/>
  <c r="N111" i="223" s="1"/>
  <c r="DE64" i="223"/>
  <c r="DF64" i="223"/>
  <c r="DG64" i="223" s="1"/>
  <c r="CL65" i="223"/>
  <c r="CV65" i="223"/>
  <c r="DB65" i="223"/>
  <c r="EE65" i="223" s="1"/>
  <c r="AV71" i="223"/>
  <c r="CJ74" i="223"/>
  <c r="CV74" i="223"/>
  <c r="DD74" i="223"/>
  <c r="DE74" i="223" s="1"/>
  <c r="BM75" i="223"/>
  <c r="DB76" i="223"/>
  <c r="DA81" i="223"/>
  <c r="DH81" i="223" s="1"/>
  <c r="BT82" i="223"/>
  <c r="CR82" i="223"/>
  <c r="DA82" i="223"/>
  <c r="DH82" i="223" s="1"/>
  <c r="BD83" i="223"/>
  <c r="CH83" i="223"/>
  <c r="CV83" i="223"/>
  <c r="DF83" i="223"/>
  <c r="DG83" i="223" s="1"/>
  <c r="CA84" i="223"/>
  <c r="CR84" i="223"/>
  <c r="CL85" i="223"/>
  <c r="BM86" i="223"/>
  <c r="CA86" i="223"/>
  <c r="AT90" i="223"/>
  <c r="AU90" i="223" s="1"/>
  <c r="CH90" i="223"/>
  <c r="CX90" i="223"/>
  <c r="BV92" i="223"/>
  <c r="BU92" i="223" s="1"/>
  <c r="BW92" i="223" s="1"/>
  <c r="DE91" i="223"/>
  <c r="DE92" i="223" s="1"/>
  <c r="DE96" i="223" s="1"/>
  <c r="DB91" i="223"/>
  <c r="DC91" i="223" s="1"/>
  <c r="DO94" i="223"/>
  <c r="DO98" i="223"/>
  <c r="CZ108" i="223"/>
  <c r="CR110" i="223"/>
  <c r="CQ110" i="223" s="1"/>
  <c r="BY52" i="223"/>
  <c r="DO11" i="223"/>
  <c r="DO13" i="223"/>
  <c r="DO15" i="223"/>
  <c r="DO17" i="223"/>
  <c r="DC48" i="223"/>
  <c r="BX48" i="223"/>
  <c r="BY51" i="223"/>
  <c r="DO51" i="223"/>
  <c r="DK53" i="223"/>
  <c r="BV53" i="223"/>
  <c r="EC53" i="223"/>
  <c r="AO63" i="223"/>
  <c r="DO50" i="223"/>
  <c r="BY50" i="223"/>
  <c r="DC41" i="223"/>
  <c r="DO41" i="223"/>
  <c r="BV51" i="223"/>
  <c r="EC51" i="223"/>
  <c r="DI51" i="223"/>
  <c r="DO12" i="223"/>
  <c r="DO14" i="223"/>
  <c r="DO16" i="223"/>
  <c r="DO29" i="223"/>
  <c r="DO55" i="223"/>
  <c r="BY55" i="223"/>
  <c r="AW63" i="223"/>
  <c r="DO23" i="223"/>
  <c r="AN63" i="223"/>
  <c r="CL39" i="223"/>
  <c r="BE39" i="223"/>
  <c r="EC41" i="223"/>
  <c r="DI41" i="223"/>
  <c r="BM64" i="223"/>
  <c r="CB95" i="223"/>
  <c r="CN5" i="223"/>
  <c r="CV5" i="223"/>
  <c r="DB5" i="223"/>
  <c r="DC5" i="223" s="1"/>
  <c r="CN6" i="223"/>
  <c r="DB6" i="223"/>
  <c r="DC6" i="223" s="1"/>
  <c r="CN7" i="223"/>
  <c r="DB7" i="223"/>
  <c r="DC7" i="223" s="1"/>
  <c r="CN8" i="223"/>
  <c r="DB8" i="223"/>
  <c r="DC8" i="223" s="1"/>
  <c r="BK9" i="223"/>
  <c r="DI9" i="223"/>
  <c r="EC9" i="223"/>
  <c r="CN10" i="223"/>
  <c r="DB10" i="223"/>
  <c r="DC10" i="223" s="1"/>
  <c r="BE11" i="223"/>
  <c r="CL11" i="223"/>
  <c r="BE12" i="223"/>
  <c r="CL12" i="223"/>
  <c r="BE13" i="223"/>
  <c r="CL13" i="223"/>
  <c r="BE14" i="223"/>
  <c r="CL14" i="223"/>
  <c r="BE15" i="223"/>
  <c r="CL15" i="223"/>
  <c r="BE16" i="223"/>
  <c r="CL16" i="223"/>
  <c r="BE17" i="223"/>
  <c r="CL17" i="223"/>
  <c r="BK18" i="223"/>
  <c r="DC18" i="223"/>
  <c r="DI18" i="223"/>
  <c r="EC18" i="223"/>
  <c r="CJ19" i="223"/>
  <c r="CZ19" i="223"/>
  <c r="DF19" i="223"/>
  <c r="DG19" i="223" s="1"/>
  <c r="CJ20" i="223"/>
  <c r="CZ20" i="223"/>
  <c r="DF20" i="223"/>
  <c r="DG20" i="223" s="1"/>
  <c r="CJ21" i="223"/>
  <c r="CZ21" i="223"/>
  <c r="DF21" i="223"/>
  <c r="DG21" i="223" s="1"/>
  <c r="CJ22" i="223"/>
  <c r="CZ22" i="223"/>
  <c r="DF22" i="223"/>
  <c r="DG22" i="223" s="1"/>
  <c r="CL23" i="223"/>
  <c r="CJ24" i="223"/>
  <c r="CZ24" i="223"/>
  <c r="DF24" i="223"/>
  <c r="DG24" i="223" s="1"/>
  <c r="BO25" i="223"/>
  <c r="CH25" i="223"/>
  <c r="CR25" i="223"/>
  <c r="BY26" i="223"/>
  <c r="CN28" i="223"/>
  <c r="DB28" i="223"/>
  <c r="DC28" i="223" s="1"/>
  <c r="BE29" i="223"/>
  <c r="CL29" i="223"/>
  <c r="BO30" i="223"/>
  <c r="CH30" i="223"/>
  <c r="CR30" i="223"/>
  <c r="BK31" i="223"/>
  <c r="DC31" i="223"/>
  <c r="DI31" i="223"/>
  <c r="EC31" i="223"/>
  <c r="DC32" i="223"/>
  <c r="DI32" i="223"/>
  <c r="EC32" i="223"/>
  <c r="CN33" i="223"/>
  <c r="DB33" i="223"/>
  <c r="DC33" i="223" s="1"/>
  <c r="DB34" i="223"/>
  <c r="BR35" i="223"/>
  <c r="CL35" i="223"/>
  <c r="CV35" i="223"/>
  <c r="BO36" i="223"/>
  <c r="CJ36" i="223"/>
  <c r="BT37" i="223"/>
  <c r="CC37" i="223"/>
  <c r="BR38" i="223"/>
  <c r="CL38" i="223"/>
  <c r="CV38" i="223"/>
  <c r="AT40" i="223"/>
  <c r="AU40" i="223" s="1"/>
  <c r="CX40" i="223"/>
  <c r="DK40" i="223"/>
  <c r="CH41" i="223"/>
  <c r="DF41" i="223"/>
  <c r="DG41" i="223" s="1"/>
  <c r="BI42" i="223"/>
  <c r="BT43" i="223"/>
  <c r="CC43" i="223"/>
  <c r="AT45" i="223"/>
  <c r="AU45" i="223" s="1"/>
  <c r="BU45" i="223"/>
  <c r="DK45" i="223" s="1"/>
  <c r="DD45" i="223"/>
  <c r="DE45" i="223" s="1"/>
  <c r="BV46" i="223"/>
  <c r="DK46" i="223"/>
  <c r="CL47" i="223"/>
  <c r="CT47" i="223"/>
  <c r="DB47" i="223"/>
  <c r="EC47" i="223"/>
  <c r="CR49" i="223"/>
  <c r="CZ49" i="223"/>
  <c r="CN50" i="223"/>
  <c r="DC50" i="223"/>
  <c r="AT51" i="223"/>
  <c r="AU51" i="223" s="1"/>
  <c r="CL51" i="223"/>
  <c r="CV51" i="223"/>
  <c r="DC51" i="223"/>
  <c r="CJ53" i="223"/>
  <c r="DI53" i="223"/>
  <c r="CN54" i="223"/>
  <c r="DD54" i="223"/>
  <c r="DE54" i="223" s="1"/>
  <c r="AR55" i="223"/>
  <c r="BD55" i="223"/>
  <c r="CN55" i="223"/>
  <c r="CV55" i="223"/>
  <c r="CJ57" i="223"/>
  <c r="CN59" i="223"/>
  <c r="CT62" i="223"/>
  <c r="DD62" i="223"/>
  <c r="DE62" i="223" s="1"/>
  <c r="DG68" i="223"/>
  <c r="CT92" i="223"/>
  <c r="CT96" i="223" s="1"/>
  <c r="DC46" i="223"/>
  <c r="BX46" i="223"/>
  <c r="AT56" i="223"/>
  <c r="AU56" i="223" s="1"/>
  <c r="CV62" i="223"/>
  <c r="CN62" i="223"/>
  <c r="CL62" i="223"/>
  <c r="AE69" i="223"/>
  <c r="AD69" i="223" s="1"/>
  <c r="DK64" i="223"/>
  <c r="AT64" i="223"/>
  <c r="AU64" i="223" s="1"/>
  <c r="AR64" i="223"/>
  <c r="DD66" i="223"/>
  <c r="DE66" i="223" s="1"/>
  <c r="CH66" i="223"/>
  <c r="DB66" i="223"/>
  <c r="DC66" i="223" s="1"/>
  <c r="DA66" i="223"/>
  <c r="DH66" i="223" s="1"/>
  <c r="CZ66" i="223"/>
  <c r="EC66" i="223"/>
  <c r="BY67" i="223"/>
  <c r="CJ68" i="223"/>
  <c r="CV68" i="223"/>
  <c r="CN68" i="223"/>
  <c r="CX68" i="223"/>
  <c r="CP68" i="223"/>
  <c r="CR68" i="223"/>
  <c r="CT68" i="223"/>
  <c r="CL68" i="223"/>
  <c r="AH95" i="223"/>
  <c r="BZ95" i="223"/>
  <c r="BT5" i="223"/>
  <c r="DA5" i="223"/>
  <c r="DH5" i="223" s="1"/>
  <c r="BT6" i="223"/>
  <c r="DA6" i="223"/>
  <c r="DH6" i="223" s="1"/>
  <c r="DA7" i="223"/>
  <c r="DH7" i="223" s="1"/>
  <c r="BT8" i="223"/>
  <c r="DA8" i="223"/>
  <c r="DH8" i="223" s="1"/>
  <c r="BT10" i="223"/>
  <c r="DA10" i="223"/>
  <c r="DH10" i="223" s="1"/>
  <c r="BD11" i="223"/>
  <c r="CJ11" i="223"/>
  <c r="CZ11" i="223"/>
  <c r="DF11" i="223"/>
  <c r="DG11" i="223" s="1"/>
  <c r="BD12" i="223"/>
  <c r="CJ12" i="223"/>
  <c r="CZ12" i="223"/>
  <c r="DF12" i="223"/>
  <c r="DG12" i="223" s="1"/>
  <c r="BD13" i="223"/>
  <c r="CJ13" i="223"/>
  <c r="CZ13" i="223"/>
  <c r="DF13" i="223"/>
  <c r="DG13" i="223" s="1"/>
  <c r="BD14" i="223"/>
  <c r="CJ14" i="223"/>
  <c r="CZ14" i="223"/>
  <c r="DF14" i="223"/>
  <c r="DG14" i="223" s="1"/>
  <c r="BD15" i="223"/>
  <c r="CJ15" i="223"/>
  <c r="CZ15" i="223"/>
  <c r="DF15" i="223"/>
  <c r="DG15" i="223" s="1"/>
  <c r="BD16" i="223"/>
  <c r="CJ16" i="223"/>
  <c r="CZ16" i="223"/>
  <c r="DF16" i="223"/>
  <c r="DG16" i="223" s="1"/>
  <c r="BD17" i="223"/>
  <c r="CJ17" i="223"/>
  <c r="CZ17" i="223"/>
  <c r="DF17" i="223"/>
  <c r="DG17" i="223" s="1"/>
  <c r="K18" i="223"/>
  <c r="AT19" i="223"/>
  <c r="AU19" i="223" s="1"/>
  <c r="CH19" i="223"/>
  <c r="CR19" i="223"/>
  <c r="DK19" i="223"/>
  <c r="CR20" i="223"/>
  <c r="CH21" i="223"/>
  <c r="CR21" i="223"/>
  <c r="CH22" i="223"/>
  <c r="CR22" i="223"/>
  <c r="CJ23" i="223"/>
  <c r="CZ23" i="223"/>
  <c r="DF23" i="223"/>
  <c r="DG23" i="223" s="1"/>
  <c r="AT24" i="223"/>
  <c r="AU24" i="223" s="1"/>
  <c r="CH24" i="223"/>
  <c r="CR24" i="223"/>
  <c r="DD25" i="223"/>
  <c r="DE25" i="223" s="1"/>
  <c r="DA28" i="223"/>
  <c r="DH28" i="223" s="1"/>
  <c r="BD29" i="223"/>
  <c r="CJ29" i="223"/>
  <c r="CZ29" i="223"/>
  <c r="DF29" i="223"/>
  <c r="DG29" i="223" s="1"/>
  <c r="BM30" i="223"/>
  <c r="DD30" i="223"/>
  <c r="DE30" i="223" s="1"/>
  <c r="BT33" i="223"/>
  <c r="DA33" i="223"/>
  <c r="DH33" i="223" s="1"/>
  <c r="DA34" i="223"/>
  <c r="DH34" i="223" s="1"/>
  <c r="BM36" i="223"/>
  <c r="CH36" i="223"/>
  <c r="DA36" i="223"/>
  <c r="DH36" i="223" s="1"/>
  <c r="DI36" i="223"/>
  <c r="K38" i="223"/>
  <c r="CC42" i="223"/>
  <c r="CP49" i="223"/>
  <c r="CX49" i="223"/>
  <c r="DE49" i="223"/>
  <c r="CH59" i="223"/>
  <c r="DD61" i="223"/>
  <c r="DE61" i="223" s="1"/>
  <c r="CR62" i="223"/>
  <c r="DC62" i="223"/>
  <c r="AE63" i="223"/>
  <c r="AG63" i="223"/>
  <c r="CR57" i="223"/>
  <c r="CH57" i="223"/>
  <c r="AP69" i="223"/>
  <c r="AO69" i="223" s="1"/>
  <c r="EC71" i="223"/>
  <c r="BW71" i="223"/>
  <c r="DC86" i="223"/>
  <c r="DO86" i="223"/>
  <c r="AG96" i="223"/>
  <c r="AF95" i="223"/>
  <c r="AT95" i="223"/>
  <c r="BX95" i="223"/>
  <c r="BR5" i="223"/>
  <c r="CZ5" i="223"/>
  <c r="DF5" i="223"/>
  <c r="DG5" i="223" s="1"/>
  <c r="BR6" i="223"/>
  <c r="CZ6" i="223"/>
  <c r="DF6" i="223"/>
  <c r="DG6" i="223" s="1"/>
  <c r="BR7" i="223"/>
  <c r="CZ7" i="223"/>
  <c r="DF7" i="223"/>
  <c r="DG7" i="223" s="1"/>
  <c r="BR8" i="223"/>
  <c r="CZ8" i="223"/>
  <c r="DF8" i="223"/>
  <c r="DG8" i="223" s="1"/>
  <c r="BT9" i="223"/>
  <c r="BR10" i="223"/>
  <c r="CZ10" i="223"/>
  <c r="DF10" i="223"/>
  <c r="DG10" i="223" s="1"/>
  <c r="CH11" i="223"/>
  <c r="CR11" i="223"/>
  <c r="CH12" i="223"/>
  <c r="CR12" i="223"/>
  <c r="CH13" i="223"/>
  <c r="CR13" i="223"/>
  <c r="CH14" i="223"/>
  <c r="CR14" i="223"/>
  <c r="CH15" i="223"/>
  <c r="CR15" i="223"/>
  <c r="CH16" i="223"/>
  <c r="CR16" i="223"/>
  <c r="CH17" i="223"/>
  <c r="CR17" i="223"/>
  <c r="BT18" i="223"/>
  <c r="BY19" i="223"/>
  <c r="BY20" i="223"/>
  <c r="BY21" i="223"/>
  <c r="BY22" i="223"/>
  <c r="CH23" i="223"/>
  <c r="CR23" i="223"/>
  <c r="BY24" i="223"/>
  <c r="EC24" i="223"/>
  <c r="BK25" i="223"/>
  <c r="CN26" i="223"/>
  <c r="CV26" i="223"/>
  <c r="BT27" i="223"/>
  <c r="DA27" i="223"/>
  <c r="DH27" i="223" s="1"/>
  <c r="CZ28" i="223"/>
  <c r="DF28" i="223"/>
  <c r="DG28" i="223" s="1"/>
  <c r="AT29" i="223"/>
  <c r="AU29" i="223" s="1"/>
  <c r="CH29" i="223"/>
  <c r="CR29" i="223"/>
  <c r="BK30" i="223"/>
  <c r="BT31" i="223"/>
  <c r="BR33" i="223"/>
  <c r="CZ33" i="223"/>
  <c r="DF33" i="223"/>
  <c r="DG33" i="223" s="1"/>
  <c r="BM35" i="223"/>
  <c r="CH35" i="223"/>
  <c r="DA35" i="223"/>
  <c r="DH35" i="223" s="1"/>
  <c r="BK36" i="223"/>
  <c r="CZ36" i="223"/>
  <c r="BK38" i="223"/>
  <c r="CH38" i="223"/>
  <c r="DO38" i="223"/>
  <c r="AT39" i="223"/>
  <c r="AU39" i="223" s="1"/>
  <c r="DD41" i="223"/>
  <c r="DE41" i="223" s="1"/>
  <c r="BT42" i="223"/>
  <c r="DB45" i="223"/>
  <c r="DI45" i="223"/>
  <c r="CR47" i="223"/>
  <c r="CZ47" i="223"/>
  <c r="CH48" i="223"/>
  <c r="DF48" i="223"/>
  <c r="DG48" i="223" s="1"/>
  <c r="AT49" i="223"/>
  <c r="AU49" i="223" s="1"/>
  <c r="CJ50" i="223"/>
  <c r="CH51" i="223"/>
  <c r="DA51" i="223"/>
  <c r="DH51" i="223" s="1"/>
  <c r="CR53" i="223"/>
  <c r="CZ53" i="223"/>
  <c r="CH54" i="223"/>
  <c r="CT54" i="223"/>
  <c r="DB54" i="223"/>
  <c r="CH55" i="223"/>
  <c r="DA55" i="223"/>
  <c r="DH55" i="223" s="1"/>
  <c r="CL56" i="223"/>
  <c r="BV57" i="223"/>
  <c r="DI57" i="223"/>
  <c r="DG59" i="223"/>
  <c r="CH61" i="223"/>
  <c r="I63" i="223"/>
  <c r="EC34" i="223"/>
  <c r="DI34" i="223"/>
  <c r="CV36" i="223"/>
  <c r="CN36" i="223"/>
  <c r="DK50" i="223"/>
  <c r="AT50" i="223"/>
  <c r="AU50" i="223" s="1"/>
  <c r="DF56" i="223"/>
  <c r="DG56" i="223" s="1"/>
  <c r="CH56" i="223"/>
  <c r="CT59" i="223"/>
  <c r="CL59" i="223"/>
  <c r="CJ59" i="223"/>
  <c r="DC61" i="223"/>
  <c r="BX61" i="223"/>
  <c r="DA62" i="223"/>
  <c r="BU62" i="223"/>
  <c r="AN69" i="223"/>
  <c r="AM69" i="223" s="1"/>
  <c r="AY69" i="223"/>
  <c r="AX69" i="223" s="1"/>
  <c r="AD95" i="223"/>
  <c r="AQ95" i="223"/>
  <c r="CG95" i="223"/>
  <c r="DB95" i="223"/>
  <c r="CH5" i="223"/>
  <c r="DD11" i="223"/>
  <c r="DE11" i="223" s="1"/>
  <c r="DD12" i="223"/>
  <c r="DE12" i="223" s="1"/>
  <c r="DD13" i="223"/>
  <c r="DE13" i="223" s="1"/>
  <c r="DD14" i="223"/>
  <c r="DE14" i="223" s="1"/>
  <c r="DD15" i="223"/>
  <c r="DE15" i="223" s="1"/>
  <c r="DD16" i="223"/>
  <c r="DE16" i="223" s="1"/>
  <c r="DD17" i="223"/>
  <c r="DE17" i="223" s="1"/>
  <c r="DC22" i="223"/>
  <c r="DD23" i="223"/>
  <c r="DE23" i="223" s="1"/>
  <c r="DC24" i="223"/>
  <c r="BT26" i="223"/>
  <c r="DD29" i="223"/>
  <c r="DE29" i="223" s="1"/>
  <c r="CP36" i="223"/>
  <c r="BR42" i="223"/>
  <c r="CA42" i="223"/>
  <c r="CP47" i="223"/>
  <c r="CX47" i="223"/>
  <c r="BD49" i="223"/>
  <c r="CN49" i="223"/>
  <c r="CV49" i="223"/>
  <c r="CP53" i="223"/>
  <c r="DB56" i="223"/>
  <c r="CR59" i="223"/>
  <c r="H63" i="223"/>
  <c r="H79" i="223" s="1"/>
  <c r="H97" i="223" s="1"/>
  <c r="H111" i="223" s="1"/>
  <c r="AK63" i="223"/>
  <c r="EC42" i="223"/>
  <c r="DI42" i="223"/>
  <c r="DA54" i="223"/>
  <c r="DH54" i="223" s="1"/>
  <c r="BU54" i="223"/>
  <c r="DK54" i="223" s="1"/>
  <c r="CZ56" i="223"/>
  <c r="CJ56" i="223"/>
  <c r="BD56" i="223"/>
  <c r="CR56" i="223"/>
  <c r="DK57" i="223"/>
  <c r="AT57" i="223"/>
  <c r="AU57" i="223" s="1"/>
  <c r="AR57" i="223"/>
  <c r="DA59" i="223"/>
  <c r="DH59" i="223" s="1"/>
  <c r="BU59" i="223"/>
  <c r="DI59" i="223" s="1"/>
  <c r="CZ59" i="223"/>
  <c r="AK69" i="223"/>
  <c r="AJ69" i="223" s="1"/>
  <c r="AW69" i="223"/>
  <c r="AV69" i="223" s="1"/>
  <c r="CJ67" i="223"/>
  <c r="DA67" i="223"/>
  <c r="DH67" i="223" s="1"/>
  <c r="CZ67" i="223"/>
  <c r="EC67" i="223"/>
  <c r="DI67" i="223"/>
  <c r="DC75" i="223"/>
  <c r="EE75" i="223"/>
  <c r="DO75" i="223"/>
  <c r="AY87" i="223"/>
  <c r="AX87" i="223" s="1"/>
  <c r="AX95" i="223"/>
  <c r="AY96" i="223"/>
  <c r="CN19" i="223"/>
  <c r="CV19" i="223"/>
  <c r="CN20" i="223"/>
  <c r="CN21" i="223"/>
  <c r="CV21" i="223"/>
  <c r="CN22" i="223"/>
  <c r="CV22" i="223"/>
  <c r="CN24" i="223"/>
  <c r="CV24" i="223"/>
  <c r="BT25" i="223"/>
  <c r="BR26" i="223"/>
  <c r="CA26" i="223"/>
  <c r="BT30" i="223"/>
  <c r="BM33" i="223"/>
  <c r="CP35" i="223"/>
  <c r="BD36" i="223"/>
  <c r="BT36" i="223"/>
  <c r="CC36" i="223"/>
  <c r="CX36" i="223"/>
  <c r="CP38" i="223"/>
  <c r="BT41" i="223"/>
  <c r="BO42" i="223"/>
  <c r="DI46" i="223"/>
  <c r="DD48" i="223"/>
  <c r="DE48" i="223" s="1"/>
  <c r="CL49" i="223"/>
  <c r="CT49" i="223"/>
  <c r="CP50" i="223"/>
  <c r="DF50" i="223"/>
  <c r="DG50" i="223" s="1"/>
  <c r="CP51" i="223"/>
  <c r="CN53" i="223"/>
  <c r="CX53" i="223"/>
  <c r="DE53" i="223"/>
  <c r="CP54" i="223"/>
  <c r="CP55" i="223"/>
  <c r="CX55" i="223"/>
  <c r="BD59" i="223"/>
  <c r="CP59" i="223"/>
  <c r="DK60" i="223"/>
  <c r="CJ62" i="223"/>
  <c r="CX62" i="223"/>
  <c r="DG62" i="223"/>
  <c r="CV37" i="223"/>
  <c r="CN37" i="223"/>
  <c r="CV43" i="223"/>
  <c r="CN43" i="223"/>
  <c r="CL44" i="223"/>
  <c r="BE44" i="223"/>
  <c r="DA52" i="223"/>
  <c r="DH52" i="223" s="1"/>
  <c r="BU52" i="223"/>
  <c r="DC58" i="223"/>
  <c r="BX58" i="223"/>
  <c r="BM65" i="223"/>
  <c r="BO65" i="223"/>
  <c r="BI65" i="223"/>
  <c r="BK65" i="223"/>
  <c r="AU92" i="223"/>
  <c r="AT92" i="223" s="1"/>
  <c r="CY95" i="223"/>
  <c r="EC95" i="223" s="1"/>
  <c r="BK5" i="223"/>
  <c r="DI5" i="223"/>
  <c r="BK6" i="223"/>
  <c r="DI6" i="223"/>
  <c r="DI7" i="223"/>
  <c r="BK8" i="223"/>
  <c r="DI8" i="223"/>
  <c r="BK10" i="223"/>
  <c r="DI10" i="223"/>
  <c r="CN11" i="223"/>
  <c r="CN12" i="223"/>
  <c r="CN13" i="223"/>
  <c r="CN14" i="223"/>
  <c r="CN15" i="223"/>
  <c r="CN16" i="223"/>
  <c r="CN17" i="223"/>
  <c r="BE19" i="223"/>
  <c r="CL19" i="223"/>
  <c r="BE20" i="223"/>
  <c r="CL20" i="223"/>
  <c r="BE21" i="223"/>
  <c r="CA21" i="223" s="1"/>
  <c r="CL21" i="223"/>
  <c r="BE22" i="223"/>
  <c r="CL22" i="223"/>
  <c r="CN23" i="223"/>
  <c r="CV23" i="223"/>
  <c r="BE24" i="223"/>
  <c r="CL24" i="223"/>
  <c r="BD25" i="223"/>
  <c r="BR25" i="223"/>
  <c r="CJ25" i="223"/>
  <c r="CH26" i="223"/>
  <c r="BM27" i="223"/>
  <c r="DI28" i="223"/>
  <c r="CN29" i="223"/>
  <c r="BD30" i="223"/>
  <c r="BR30" i="223"/>
  <c r="CJ30" i="223"/>
  <c r="DI33" i="223"/>
  <c r="BD35" i="223"/>
  <c r="BT35" i="223"/>
  <c r="CX35" i="223"/>
  <c r="BR36" i="223"/>
  <c r="CA36" i="223"/>
  <c r="CL36" i="223"/>
  <c r="DD36" i="223"/>
  <c r="DE36" i="223" s="1"/>
  <c r="CP37" i="223"/>
  <c r="DF37" i="223"/>
  <c r="DG37" i="223" s="1"/>
  <c r="BD38" i="223"/>
  <c r="BT38" i="223"/>
  <c r="CC38" i="223"/>
  <c r="CX38" i="223"/>
  <c r="BV40" i="223"/>
  <c r="CP40" i="223"/>
  <c r="BR41" i="223"/>
  <c r="BM42" i="223"/>
  <c r="CP43" i="223"/>
  <c r="DF43" i="223"/>
  <c r="DG43" i="223" s="1"/>
  <c r="CP44" i="223"/>
  <c r="CP45" i="223"/>
  <c r="CX45" i="223"/>
  <c r="BD47" i="223"/>
  <c r="CN47" i="223"/>
  <c r="CV47" i="223"/>
  <c r="BU48" i="223"/>
  <c r="DI48" i="223" s="1"/>
  <c r="CH49" i="223"/>
  <c r="CX50" i="223"/>
  <c r="DD50" i="223"/>
  <c r="DE50" i="223" s="1"/>
  <c r="CX51" i="223"/>
  <c r="DK51" i="223"/>
  <c r="CP52" i="223"/>
  <c r="BD53" i="223"/>
  <c r="CL53" i="223"/>
  <c r="CV53" i="223"/>
  <c r="CX54" i="223"/>
  <c r="BU55" i="223"/>
  <c r="DI55" i="223" s="1"/>
  <c r="DD55" i="223"/>
  <c r="DE55" i="223" s="1"/>
  <c r="CP56" i="223"/>
  <c r="CL57" i="223"/>
  <c r="CX57" i="223"/>
  <c r="CX59" i="223"/>
  <c r="DA60" i="223"/>
  <c r="DH60" i="223" s="1"/>
  <c r="DF61" i="223"/>
  <c r="DG61" i="223" s="1"/>
  <c r="CH62" i="223"/>
  <c r="AI63" i="223"/>
  <c r="BK72" i="223"/>
  <c r="CL76" i="223"/>
  <c r="BE76" i="223"/>
  <c r="AI87" i="223"/>
  <c r="AH87" i="223" s="1"/>
  <c r="AN92" i="223"/>
  <c r="AM92" i="223" s="1"/>
  <c r="DO93" i="223"/>
  <c r="BY93" i="223"/>
  <c r="BR110" i="223"/>
  <c r="BQ110" i="223" s="1"/>
  <c r="CA110" i="223"/>
  <c r="BZ110" i="223" s="1"/>
  <c r="CN61" i="223"/>
  <c r="DC65" i="223"/>
  <c r="DI65" i="223"/>
  <c r="BE66" i="223"/>
  <c r="CL66" i="223"/>
  <c r="CV66" i="223"/>
  <c r="AR67" i="223"/>
  <c r="DB68" i="223"/>
  <c r="AT71" i="223"/>
  <c r="BV72" i="223"/>
  <c r="DB72" i="223"/>
  <c r="CH73" i="223"/>
  <c r="CT73" i="223"/>
  <c r="DB73" i="223"/>
  <c r="DC73" i="223" s="1"/>
  <c r="DI73" i="223"/>
  <c r="EC73" i="223"/>
  <c r="BI74" i="223"/>
  <c r="DF74" i="223"/>
  <c r="DG74" i="223" s="1"/>
  <c r="BR75" i="223"/>
  <c r="BI77" i="223"/>
  <c r="CR77" i="223"/>
  <c r="CZ77" i="223"/>
  <c r="AW78" i="223"/>
  <c r="AV78" i="223" s="1"/>
  <c r="AT81" i="223"/>
  <c r="AU81" i="223" s="1"/>
  <c r="AT82" i="223"/>
  <c r="AU82" i="223" s="1"/>
  <c r="AT83" i="223"/>
  <c r="AU83" i="223" s="1"/>
  <c r="BT83" i="223"/>
  <c r="CX83" i="223"/>
  <c r="DK83" i="223"/>
  <c r="AR84" i="223"/>
  <c r="BR84" i="223"/>
  <c r="DD84" i="223"/>
  <c r="DE84" i="223" s="1"/>
  <c r="DK84" i="223"/>
  <c r="AT85" i="223"/>
  <c r="AU85" i="223" s="1"/>
  <c r="CR85" i="223"/>
  <c r="CZ85" i="223"/>
  <c r="CZ87" i="223" s="1"/>
  <c r="BT86" i="223"/>
  <c r="DA86" i="223"/>
  <c r="DH86" i="223" s="1"/>
  <c r="BR90" i="223"/>
  <c r="CC90" i="223"/>
  <c r="CP90" i="223"/>
  <c r="CZ90" i="223"/>
  <c r="EC90" i="223"/>
  <c r="CJ91" i="223"/>
  <c r="CJ92" i="223" s="1"/>
  <c r="CX91" i="223"/>
  <c r="AR92" i="223"/>
  <c r="AQ92" i="223" s="1"/>
  <c r="DI93" i="223"/>
  <c r="DA94" i="223"/>
  <c r="DH94" i="223" s="1"/>
  <c r="AP96" i="223"/>
  <c r="AO96" i="223" s="1"/>
  <c r="BC95" i="223"/>
  <c r="BN95" i="223"/>
  <c r="CO95" i="223"/>
  <c r="CN110" i="223"/>
  <c r="CM110" i="223" s="1"/>
  <c r="CZ110" i="223"/>
  <c r="CY110" i="223" s="1"/>
  <c r="DA110" i="223" s="1"/>
  <c r="EC75" i="223"/>
  <c r="DI75" i="223"/>
  <c r="AW92" i="223"/>
  <c r="AV92" i="223" s="1"/>
  <c r="DC110" i="223"/>
  <c r="DB110" i="223" s="1"/>
  <c r="CJ66" i="223"/>
  <c r="CT66" i="223"/>
  <c r="DO66" i="223"/>
  <c r="DB67" i="223"/>
  <c r="CH68" i="223"/>
  <c r="BC71" i="223"/>
  <c r="DA72" i="223"/>
  <c r="DH72" i="223" s="1"/>
  <c r="CZ73" i="223"/>
  <c r="CH75" i="223"/>
  <c r="DF75" i="223"/>
  <c r="DG75" i="223" s="1"/>
  <c r="AT77" i="223"/>
  <c r="AU77" i="223" s="1"/>
  <c r="BV77" i="223"/>
  <c r="AG78" i="223"/>
  <c r="AF78" i="223" s="1"/>
  <c r="AR81" i="223"/>
  <c r="DD81" i="223"/>
  <c r="DE81" i="223" s="1"/>
  <c r="AR82" i="223"/>
  <c r="AR85" i="223"/>
  <c r="CP85" i="223"/>
  <c r="BO90" i="223"/>
  <c r="CH91" i="223"/>
  <c r="AO95" i="223"/>
  <c r="DI109" i="223"/>
  <c r="CL73" i="223"/>
  <c r="BE73" i="223"/>
  <c r="BY73" i="223" s="1"/>
  <c r="EC86" i="223"/>
  <c r="DI86" i="223"/>
  <c r="AI92" i="223"/>
  <c r="AH92" i="223" s="1"/>
  <c r="AM95" i="223"/>
  <c r="DD95" i="223"/>
  <c r="BM110" i="223"/>
  <c r="BL110" i="223" s="1"/>
  <c r="CZ68" i="223"/>
  <c r="DG73" i="223"/>
  <c r="AR77" i="223"/>
  <c r="AR78" i="223" s="1"/>
  <c r="AQ78" i="223" s="1"/>
  <c r="AS78" i="223" s="1"/>
  <c r="AE78" i="223"/>
  <c r="AD78" i="223" s="1"/>
  <c r="CD78" i="223"/>
  <c r="DC82" i="223"/>
  <c r="EE82" i="223"/>
  <c r="BY84" i="223"/>
  <c r="CH84" i="223"/>
  <c r="CH86" i="223"/>
  <c r="DF86" i="223"/>
  <c r="DG86" i="223" s="1"/>
  <c r="X88" i="223"/>
  <c r="DA109" i="223"/>
  <c r="DH109" i="223" s="1"/>
  <c r="EC109" i="223"/>
  <c r="CJ110" i="223"/>
  <c r="CI110" i="223" s="1"/>
  <c r="CV110" i="223"/>
  <c r="CU110" i="223" s="1"/>
  <c r="AY78" i="223"/>
  <c r="AX78" i="223" s="1"/>
  <c r="EC72" i="223"/>
  <c r="DI72" i="223"/>
  <c r="BI90" i="223"/>
  <c r="BM90" i="223"/>
  <c r="BY90" i="223"/>
  <c r="CV91" i="223"/>
  <c r="CN91" i="223"/>
  <c r="BE91" i="223"/>
  <c r="BE92" i="223" s="1"/>
  <c r="BE96" i="223" s="1"/>
  <c r="CD69" i="223"/>
  <c r="CD79" i="223" s="1"/>
  <c r="AK78" i="223"/>
  <c r="AJ78" i="223" s="1"/>
  <c r="AG87" i="223"/>
  <c r="AF87" i="223" s="1"/>
  <c r="CR91" i="223"/>
  <c r="CD92" i="223"/>
  <c r="CD96" i="223" s="1"/>
  <c r="CX92" i="223"/>
  <c r="DK74" i="223"/>
  <c r="AT74" i="223"/>
  <c r="AU74" i="223" s="1"/>
  <c r="AW87" i="223"/>
  <c r="AV87" i="223" s="1"/>
  <c r="EE83" i="223"/>
  <c r="BY83" i="223"/>
  <c r="CV84" i="223"/>
  <c r="CN84" i="223"/>
  <c r="BI110" i="223"/>
  <c r="BH110" i="223" s="1"/>
  <c r="BV110" i="223"/>
  <c r="BU110" i="223" s="1"/>
  <c r="CC110" i="223"/>
  <c r="CB110" i="223" s="1"/>
  <c r="BY109" i="223"/>
  <c r="BY110" i="223" s="1"/>
  <c r="BX110" i="223" s="1"/>
  <c r="DO109" i="223"/>
  <c r="CX66" i="223"/>
  <c r="BU68" i="223"/>
  <c r="DI68" i="223" s="1"/>
  <c r="DD68" i="223"/>
  <c r="DE68" i="223" s="1"/>
  <c r="CN73" i="223"/>
  <c r="BV75" i="223"/>
  <c r="CC75" i="223"/>
  <c r="BM77" i="223"/>
  <c r="CA77" i="223"/>
  <c r="CL77" i="223"/>
  <c r="CT77" i="223"/>
  <c r="CP84" i="223"/>
  <c r="DF84" i="223"/>
  <c r="DG84" i="223" s="1"/>
  <c r="BO85" i="223"/>
  <c r="CJ85" i="223"/>
  <c r="CT85" i="223"/>
  <c r="DI85" i="223"/>
  <c r="EC85" i="223"/>
  <c r="DD86" i="223"/>
  <c r="DE86" i="223" s="1"/>
  <c r="AN87" i="223"/>
  <c r="AM87" i="223" s="1"/>
  <c r="BD92" i="223"/>
  <c r="BC92" i="223" s="1"/>
  <c r="CP91" i="223"/>
  <c r="CZ91" i="223"/>
  <c r="DG91" i="223"/>
  <c r="DG92" i="223" s="1"/>
  <c r="AK92" i="223"/>
  <c r="AJ92" i="223" s="1"/>
  <c r="DO108" i="223"/>
  <c r="CV81" i="223"/>
  <c r="CN81" i="223"/>
  <c r="CV90" i="223"/>
  <c r="CN90" i="223"/>
  <c r="CH64" i="223"/>
  <c r="CR64" i="223"/>
  <c r="AT67" i="223"/>
  <c r="AU67" i="223" s="1"/>
  <c r="BD68" i="223"/>
  <c r="CJ73" i="223"/>
  <c r="CV73" i="223"/>
  <c r="BT75" i="223"/>
  <c r="DA75" i="223"/>
  <c r="DH75" i="223" s="1"/>
  <c r="BK77" i="223"/>
  <c r="BY77" i="223"/>
  <c r="CH77" i="223"/>
  <c r="AI78" i="223"/>
  <c r="AH78" i="223" s="1"/>
  <c r="CP81" i="223"/>
  <c r="DF81" i="223"/>
  <c r="DG81" i="223" s="1"/>
  <c r="CP83" i="223"/>
  <c r="BD84" i="223"/>
  <c r="BT84" i="223"/>
  <c r="CC84" i="223"/>
  <c r="CX84" i="223"/>
  <c r="BD85" i="223"/>
  <c r="CH85" i="223"/>
  <c r="CC86" i="223"/>
  <c r="AE87" i="223"/>
  <c r="AD87" i="223" s="1"/>
  <c r="CD87" i="223"/>
  <c r="BT90" i="223"/>
  <c r="CR90" i="223"/>
  <c r="DA90" i="223"/>
  <c r="DH90" i="223" s="1"/>
  <c r="CL91" i="223"/>
  <c r="CP110" i="223"/>
  <c r="CO110" i="223" s="1"/>
  <c r="AP87" i="223"/>
  <c r="AO87" i="223" s="1"/>
  <c r="BO110" i="223"/>
  <c r="BN110" i="223" s="1"/>
  <c r="BM74" i="223" l="1"/>
  <c r="CX67" i="223"/>
  <c r="DC49" i="223"/>
  <c r="DO42" i="223"/>
  <c r="BK32" i="223"/>
  <c r="BE87" i="223"/>
  <c r="DC74" i="223"/>
  <c r="CN67" i="223"/>
  <c r="BO75" i="223"/>
  <c r="BV74" i="223"/>
  <c r="CH67" i="223"/>
  <c r="BE67" i="223"/>
  <c r="CA67" i="223" s="1"/>
  <c r="DO49" i="223"/>
  <c r="W69" i="223"/>
  <c r="DD96" i="223"/>
  <c r="BY75" i="223"/>
  <c r="X97" i="223"/>
  <c r="X107" i="223" s="1"/>
  <c r="EC49" i="223"/>
  <c r="BT77" i="223"/>
  <c r="BY74" i="223"/>
  <c r="BT32" i="223"/>
  <c r="CA32" i="223"/>
  <c r="BK74" i="223"/>
  <c r="CX69" i="223"/>
  <c r="CW69" i="223" s="1"/>
  <c r="EE74" i="223"/>
  <c r="DO90" i="223"/>
  <c r="CC74" i="223"/>
  <c r="BI32" i="223"/>
  <c r="BO32" i="223"/>
  <c r="BR32" i="223"/>
  <c r="CC32" i="223"/>
  <c r="EH62" i="225"/>
  <c r="CO78" i="223"/>
  <c r="CL78" i="223"/>
  <c r="CC81" i="223"/>
  <c r="CC87" i="223" s="1"/>
  <c r="CB87" i="223" s="1"/>
  <c r="AX96" i="223"/>
  <c r="CV67" i="223"/>
  <c r="CL67" i="223"/>
  <c r="CL69" i="223" s="1"/>
  <c r="CK69" i="223" s="1"/>
  <c r="BT7" i="223"/>
  <c r="DC9" i="223"/>
  <c r="DE78" i="223"/>
  <c r="DD78" i="223" s="1"/>
  <c r="BI75" i="223"/>
  <c r="CL87" i="223"/>
  <c r="CT67" i="223"/>
  <c r="CT69" i="223" s="1"/>
  <c r="CS69" i="223" s="1"/>
  <c r="BK7" i="223"/>
  <c r="BD67" i="223"/>
  <c r="BD69" i="223" s="1"/>
  <c r="BC69" i="223" s="1"/>
  <c r="DC21" i="223"/>
  <c r="AE96" i="223"/>
  <c r="AD96" i="223" s="1"/>
  <c r="DC44" i="223"/>
  <c r="BR28" i="223"/>
  <c r="AF96" i="223"/>
  <c r="X111" i="223"/>
  <c r="DC26" i="223"/>
  <c r="DC55" i="223"/>
  <c r="BI33" i="223"/>
  <c r="CA75" i="223"/>
  <c r="BI8" i="223"/>
  <c r="BM8" i="223"/>
  <c r="BI81" i="223"/>
  <c r="CJ87" i="223"/>
  <c r="CI87" i="223" s="1"/>
  <c r="EC110" i="223"/>
  <c r="DC67" i="223"/>
  <c r="DO65" i="223"/>
  <c r="CR87" i="223"/>
  <c r="CQ87" i="223" s="1"/>
  <c r="CV69" i="223"/>
  <c r="CU69" i="223" s="1"/>
  <c r="CR67" i="223"/>
  <c r="DC30" i="223"/>
  <c r="BT28" i="223"/>
  <c r="DC35" i="223"/>
  <c r="BO64" i="223"/>
  <c r="DO64" i="223"/>
  <c r="BV96" i="223"/>
  <c r="BU96" i="223" s="1"/>
  <c r="BW96" i="223" s="1"/>
  <c r="BR86" i="223"/>
  <c r="DC53" i="223"/>
  <c r="BO86" i="223"/>
  <c r="DI58" i="223"/>
  <c r="DI60" i="223"/>
  <c r="BV60" i="223"/>
  <c r="DC60" i="223"/>
  <c r="EC61" i="223"/>
  <c r="BV61" i="223"/>
  <c r="DI61" i="223"/>
  <c r="DI56" i="223"/>
  <c r="BV56" i="223"/>
  <c r="DK56" i="223"/>
  <c r="DI49" i="223"/>
  <c r="AU78" i="223"/>
  <c r="AT78" i="223" s="1"/>
  <c r="BK27" i="223"/>
  <c r="CA27" i="223"/>
  <c r="BO27" i="223"/>
  <c r="BR27" i="223"/>
  <c r="CK78" i="223"/>
  <c r="DC19" i="223"/>
  <c r="BI26" i="223"/>
  <c r="CC41" i="223"/>
  <c r="BK26" i="223"/>
  <c r="CC26" i="223"/>
  <c r="BI31" i="223"/>
  <c r="BK34" i="223"/>
  <c r="BO34" i="223"/>
  <c r="BM34" i="223"/>
  <c r="CD88" i="223"/>
  <c r="CH92" i="223"/>
  <c r="CH96" i="223" s="1"/>
  <c r="CG96" i="223" s="1"/>
  <c r="BI41" i="223"/>
  <c r="DO20" i="223"/>
  <c r="BX57" i="223"/>
  <c r="DK49" i="223"/>
  <c r="BM31" i="223"/>
  <c r="CA31" i="223"/>
  <c r="BO31" i="223"/>
  <c r="BR31" i="223"/>
  <c r="CJ69" i="223"/>
  <c r="CI69" i="223" s="1"/>
  <c r="CA41" i="223"/>
  <c r="BX59" i="223"/>
  <c r="DC52" i="223"/>
  <c r="BM26" i="223"/>
  <c r="CX63" i="223"/>
  <c r="CW63" i="223" s="1"/>
  <c r="CC27" i="223"/>
  <c r="CA87" i="223"/>
  <c r="BI7" i="223"/>
  <c r="BM7" i="223"/>
  <c r="BO7" i="223"/>
  <c r="DO77" i="223"/>
  <c r="DC77" i="223"/>
  <c r="CA25" i="223"/>
  <c r="CC25" i="223"/>
  <c r="BI25" i="223"/>
  <c r="EC58" i="223"/>
  <c r="BV58" i="223"/>
  <c r="CR78" i="223"/>
  <c r="CQ78" i="223" s="1"/>
  <c r="CS96" i="223"/>
  <c r="DE69" i="223"/>
  <c r="DD69" i="223" s="1"/>
  <c r="EE66" i="223"/>
  <c r="DG67" i="223"/>
  <c r="CP67" i="223"/>
  <c r="CP69" i="223" s="1"/>
  <c r="CO69" i="223" s="1"/>
  <c r="DK47" i="223"/>
  <c r="BV47" i="223"/>
  <c r="DO25" i="223"/>
  <c r="DO40" i="223"/>
  <c r="DO91" i="223"/>
  <c r="BK28" i="223"/>
  <c r="BM28" i="223"/>
  <c r="BO28" i="223"/>
  <c r="BO74" i="223"/>
  <c r="BR74" i="223"/>
  <c r="BT74" i="223"/>
  <c r="BM40" i="223"/>
  <c r="BO40" i="223"/>
  <c r="BR40" i="223"/>
  <c r="BI40" i="223"/>
  <c r="BK40" i="223"/>
  <c r="DO39" i="223"/>
  <c r="DC39" i="223"/>
  <c r="AU63" i="223"/>
  <c r="AT63" i="223" s="1"/>
  <c r="DO71" i="223"/>
  <c r="DO83" i="223"/>
  <c r="BI64" i="223"/>
  <c r="BK64" i="223"/>
  <c r="BR64" i="223"/>
  <c r="BT64" i="223"/>
  <c r="CD97" i="223"/>
  <c r="CD111" i="223" s="1"/>
  <c r="AN96" i="223"/>
  <c r="AM96" i="223" s="1"/>
  <c r="CR63" i="223"/>
  <c r="CQ63" i="223" s="1"/>
  <c r="BD63" i="223"/>
  <c r="BC63" i="223" s="1"/>
  <c r="CA28" i="223"/>
  <c r="CA40" i="223"/>
  <c r="CC64" i="223"/>
  <c r="CC40" i="223"/>
  <c r="DO85" i="223"/>
  <c r="DC85" i="223"/>
  <c r="DC87" i="223" s="1"/>
  <c r="DB87" i="223" s="1"/>
  <c r="BK41" i="223"/>
  <c r="BM41" i="223"/>
  <c r="BT81" i="223"/>
  <c r="BT87" i="223" s="1"/>
  <c r="BS87" i="223" s="1"/>
  <c r="BO81" i="223"/>
  <c r="BO87" i="223" s="1"/>
  <c r="BR81" i="223"/>
  <c r="BK81" i="223"/>
  <c r="BM81" i="223"/>
  <c r="BK33" i="223"/>
  <c r="BO33" i="223"/>
  <c r="AW96" i="223"/>
  <c r="AV96" i="223" s="1"/>
  <c r="CJ63" i="223"/>
  <c r="CI63" i="223" s="1"/>
  <c r="CC7" i="223"/>
  <c r="AC97" i="223"/>
  <c r="DO76" i="223"/>
  <c r="DC76" i="223"/>
  <c r="BD87" i="223"/>
  <c r="BC87" i="223" s="1"/>
  <c r="CJ78" i="223"/>
  <c r="CI78" i="223" s="1"/>
  <c r="CW92" i="223"/>
  <c r="CT63" i="223"/>
  <c r="CS63" i="223" s="1"/>
  <c r="CZ69" i="223"/>
  <c r="CY69" i="223" s="1"/>
  <c r="DA69" i="223" s="1"/>
  <c r="DO33" i="223"/>
  <c r="CC28" i="223"/>
  <c r="DC92" i="223"/>
  <c r="DC96" i="223" s="1"/>
  <c r="CC33" i="223"/>
  <c r="DF92" i="223"/>
  <c r="DG96" i="223"/>
  <c r="DF96" i="223" s="1"/>
  <c r="CY87" i="223"/>
  <c r="CG92" i="223"/>
  <c r="CI92" i="223"/>
  <c r="CJ96" i="223"/>
  <c r="CI96" i="223" s="1"/>
  <c r="CJ79" i="223"/>
  <c r="BT73" i="223"/>
  <c r="CA73" i="223"/>
  <c r="BO73" i="223"/>
  <c r="BR73" i="223"/>
  <c r="CC73" i="223"/>
  <c r="BV73" i="223"/>
  <c r="BE78" i="223"/>
  <c r="BI73" i="223"/>
  <c r="BK73" i="223"/>
  <c r="BM73" i="223"/>
  <c r="CP92" i="223"/>
  <c r="DC72" i="223"/>
  <c r="DO72" i="223"/>
  <c r="EE72" i="223"/>
  <c r="BT22" i="223"/>
  <c r="CC22" i="223"/>
  <c r="BI22" i="223"/>
  <c r="BK22" i="223"/>
  <c r="BM22" i="223"/>
  <c r="BO22" i="223"/>
  <c r="BR22" i="223"/>
  <c r="BT19" i="223"/>
  <c r="CC19" i="223"/>
  <c r="BI19" i="223"/>
  <c r="BK19" i="223"/>
  <c r="BM19" i="223"/>
  <c r="BO19" i="223"/>
  <c r="BR19" i="223"/>
  <c r="BT44" i="223"/>
  <c r="BI44" i="223"/>
  <c r="BK44" i="223"/>
  <c r="BM44" i="223"/>
  <c r="BO44" i="223"/>
  <c r="BR44" i="223"/>
  <c r="CC44" i="223"/>
  <c r="CH63" i="223"/>
  <c r="I79" i="223"/>
  <c r="I97" i="223" s="1"/>
  <c r="I111" i="223" s="1"/>
  <c r="W63" i="223"/>
  <c r="BX54" i="223"/>
  <c r="DC54" i="223"/>
  <c r="DG63" i="223"/>
  <c r="AU69" i="223"/>
  <c r="AT69" i="223" s="1"/>
  <c r="DC47" i="223"/>
  <c r="BX47" i="223"/>
  <c r="BV45" i="223"/>
  <c r="EC45" i="223"/>
  <c r="CC11" i="223"/>
  <c r="BI11" i="223"/>
  <c r="BK11" i="223"/>
  <c r="BM11" i="223"/>
  <c r="BO11" i="223"/>
  <c r="CA11" i="223"/>
  <c r="BR11" i="223"/>
  <c r="BT11" i="223"/>
  <c r="DD92" i="223"/>
  <c r="DO73" i="223"/>
  <c r="CL63" i="223"/>
  <c r="AR96" i="223"/>
  <c r="AQ96" i="223" s="1"/>
  <c r="CT87" i="223"/>
  <c r="CN69" i="223"/>
  <c r="CM69" i="223" s="1"/>
  <c r="CX87" i="223"/>
  <c r="DI54" i="223"/>
  <c r="DO5" i="223"/>
  <c r="CA19" i="223"/>
  <c r="AP79" i="223"/>
  <c r="CP63" i="223"/>
  <c r="CR92" i="223"/>
  <c r="CV92" i="223"/>
  <c r="CZ92" i="223"/>
  <c r="CC66" i="223"/>
  <c r="BI66" i="223"/>
  <c r="BK66" i="223"/>
  <c r="BO66" i="223"/>
  <c r="BR66" i="223"/>
  <c r="BT66" i="223"/>
  <c r="BM66" i="223"/>
  <c r="DJ92" i="223"/>
  <c r="DL92" i="223"/>
  <c r="AE79" i="223"/>
  <c r="AD63" i="223"/>
  <c r="AR69" i="223"/>
  <c r="AQ69" i="223" s="1"/>
  <c r="AS69" i="223" s="1"/>
  <c r="DC34" i="223"/>
  <c r="DO34" i="223"/>
  <c r="CC17" i="223"/>
  <c r="BI17" i="223"/>
  <c r="BK17" i="223"/>
  <c r="BM17" i="223"/>
  <c r="BO17" i="223"/>
  <c r="CA17" i="223"/>
  <c r="BR17" i="223"/>
  <c r="BT17" i="223"/>
  <c r="CC14" i="223"/>
  <c r="BI14" i="223"/>
  <c r="BK14" i="223"/>
  <c r="BM14" i="223"/>
  <c r="BO14" i="223"/>
  <c r="CA14" i="223"/>
  <c r="BR14" i="223"/>
  <c r="BT14" i="223"/>
  <c r="CN63" i="223"/>
  <c r="BT39" i="223"/>
  <c r="BK39" i="223"/>
  <c r="BM39" i="223"/>
  <c r="CA39" i="223"/>
  <c r="BO39" i="223"/>
  <c r="BR39" i="223"/>
  <c r="CC39" i="223"/>
  <c r="BI39" i="223"/>
  <c r="AW79" i="223"/>
  <c r="AV63" i="223"/>
  <c r="AK96" i="223"/>
  <c r="AJ96" i="223" s="1"/>
  <c r="CS92" i="223"/>
  <c r="CN92" i="223"/>
  <c r="BI87" i="223"/>
  <c r="DK68" i="223"/>
  <c r="EC68" i="223"/>
  <c r="BV68" i="223"/>
  <c r="BT91" i="223"/>
  <c r="BT92" i="223" s="1"/>
  <c r="BK91" i="223"/>
  <c r="CA91" i="223"/>
  <c r="BO91" i="223"/>
  <c r="BO92" i="223" s="1"/>
  <c r="BR91" i="223"/>
  <c r="BR92" i="223" s="1"/>
  <c r="BI91" i="223"/>
  <c r="BM91" i="223"/>
  <c r="BM92" i="223" s="1"/>
  <c r="AR87" i="223"/>
  <c r="AQ87" i="223" s="1"/>
  <c r="AI79" i="223"/>
  <c r="AH63" i="223"/>
  <c r="BT24" i="223"/>
  <c r="CC24" i="223"/>
  <c r="BI24" i="223"/>
  <c r="BK24" i="223"/>
  <c r="BM24" i="223"/>
  <c r="BO24" i="223"/>
  <c r="BR24" i="223"/>
  <c r="BT20" i="223"/>
  <c r="CC20" i="223"/>
  <c r="BI20" i="223"/>
  <c r="BK20" i="223"/>
  <c r="BM20" i="223"/>
  <c r="BO20" i="223"/>
  <c r="BR20" i="223"/>
  <c r="EC52" i="223"/>
  <c r="DI52" i="223"/>
  <c r="DK52" i="223"/>
  <c r="BV52" i="223"/>
  <c r="EC59" i="223"/>
  <c r="BV59" i="223"/>
  <c r="DK59" i="223"/>
  <c r="AK79" i="223"/>
  <c r="AJ63" i="223"/>
  <c r="DO61" i="223"/>
  <c r="BY61" i="223"/>
  <c r="DO59" i="223"/>
  <c r="BY59" i="223"/>
  <c r="BX45" i="223"/>
  <c r="DC45" i="223"/>
  <c r="CV63" i="223"/>
  <c r="BY87" i="223"/>
  <c r="BX87" i="223" s="1"/>
  <c r="DO95" i="223"/>
  <c r="CT78" i="223"/>
  <c r="CS78" i="223" s="1"/>
  <c r="CX96" i="223"/>
  <c r="CW96" i="223" s="1"/>
  <c r="DK55" i="223"/>
  <c r="DE63" i="223"/>
  <c r="DO6" i="223"/>
  <c r="CA24" i="223"/>
  <c r="DO8" i="223"/>
  <c r="CN78" i="223"/>
  <c r="CM78" i="223" s="1"/>
  <c r="AQ63" i="223"/>
  <c r="DI95" i="223"/>
  <c r="DA95" i="223"/>
  <c r="BT67" i="223"/>
  <c r="BR67" i="223"/>
  <c r="CC67" i="223"/>
  <c r="BK67" i="223"/>
  <c r="BM67" i="223"/>
  <c r="BM69" i="223" s="1"/>
  <c r="BO67" i="223"/>
  <c r="BI67" i="223"/>
  <c r="BX56" i="223"/>
  <c r="DC56" i="223"/>
  <c r="AG79" i="223"/>
  <c r="AF63" i="223"/>
  <c r="BY46" i="223"/>
  <c r="DO46" i="223"/>
  <c r="CC29" i="223"/>
  <c r="BI29" i="223"/>
  <c r="BK29" i="223"/>
  <c r="BM29" i="223"/>
  <c r="BO29" i="223"/>
  <c r="CA29" i="223"/>
  <c r="BR29" i="223"/>
  <c r="BT29" i="223"/>
  <c r="CC15" i="223"/>
  <c r="BI15" i="223"/>
  <c r="BK15" i="223"/>
  <c r="BM15" i="223"/>
  <c r="BO15" i="223"/>
  <c r="CA15" i="223"/>
  <c r="BR15" i="223"/>
  <c r="BT15" i="223"/>
  <c r="CC12" i="223"/>
  <c r="BI12" i="223"/>
  <c r="BK12" i="223"/>
  <c r="BM12" i="223"/>
  <c r="BO12" i="223"/>
  <c r="CA12" i="223"/>
  <c r="BR12" i="223"/>
  <c r="BT12" i="223"/>
  <c r="CH87" i="223"/>
  <c r="CV78" i="223"/>
  <c r="CU78" i="223" s="1"/>
  <c r="CA66" i="223"/>
  <c r="CA22" i="223"/>
  <c r="DO28" i="223"/>
  <c r="DO7" i="223"/>
  <c r="DO10" i="223"/>
  <c r="CP87" i="223"/>
  <c r="CH69" i="223"/>
  <c r="CG69" i="223" s="1"/>
  <c r="CV87" i="223"/>
  <c r="AU87" i="223"/>
  <c r="AT87" i="223" s="1"/>
  <c r="BT76" i="223"/>
  <c r="BY76" i="223"/>
  <c r="BY78" i="223" s="1"/>
  <c r="BK76" i="223"/>
  <c r="BM76" i="223"/>
  <c r="CA76" i="223"/>
  <c r="BO76" i="223"/>
  <c r="BR76" i="223"/>
  <c r="CC76" i="223"/>
  <c r="BV76" i="223"/>
  <c r="BI76" i="223"/>
  <c r="BV55" i="223"/>
  <c r="EC55" i="223"/>
  <c r="BT21" i="223"/>
  <c r="CC21" i="223"/>
  <c r="BI21" i="223"/>
  <c r="BK21" i="223"/>
  <c r="BM21" i="223"/>
  <c r="BO21" i="223"/>
  <c r="BR21" i="223"/>
  <c r="BY58" i="223"/>
  <c r="DO58" i="223"/>
  <c r="EC62" i="223"/>
  <c r="BV62" i="223"/>
  <c r="BY48" i="223"/>
  <c r="DO48" i="223"/>
  <c r="CL92" i="223"/>
  <c r="DB96" i="223"/>
  <c r="DG78" i="223"/>
  <c r="DF78" i="223" s="1"/>
  <c r="DO67" i="223"/>
  <c r="EE73" i="223"/>
  <c r="CA20" i="223"/>
  <c r="CA44" i="223"/>
  <c r="DG87" i="223"/>
  <c r="CR69" i="223"/>
  <c r="CQ69" i="223" s="1"/>
  <c r="CN87" i="223"/>
  <c r="BY92" i="223"/>
  <c r="DE87" i="223"/>
  <c r="CC92" i="223"/>
  <c r="DC68" i="223"/>
  <c r="BX68" i="223"/>
  <c r="EC48" i="223"/>
  <c r="DK48" i="223"/>
  <c r="BV48" i="223"/>
  <c r="BY60" i="223"/>
  <c r="DO60" i="223"/>
  <c r="BV54" i="223"/>
  <c r="EC54" i="223"/>
  <c r="CZ63" i="223"/>
  <c r="CK87" i="223"/>
  <c r="CC16" i="223"/>
  <c r="BI16" i="223"/>
  <c r="BK16" i="223"/>
  <c r="BM16" i="223"/>
  <c r="BO16" i="223"/>
  <c r="CA16" i="223"/>
  <c r="BR16" i="223"/>
  <c r="BT16" i="223"/>
  <c r="CC13" i="223"/>
  <c r="BI13" i="223"/>
  <c r="BK13" i="223"/>
  <c r="BM13" i="223"/>
  <c r="BO13" i="223"/>
  <c r="CA13" i="223"/>
  <c r="BR13" i="223"/>
  <c r="BT13" i="223"/>
  <c r="AN79" i="223"/>
  <c r="AM63" i="223"/>
  <c r="CZ78" i="223"/>
  <c r="CY78" i="223" s="1"/>
  <c r="DA78" i="223" s="1"/>
  <c r="CH78" i="223"/>
  <c r="CG78" i="223" s="1"/>
  <c r="AU96" i="223"/>
  <c r="AT96" i="223" s="1"/>
  <c r="AI96" i="223"/>
  <c r="AH96" i="223" s="1"/>
  <c r="BE63" i="223"/>
  <c r="AY79" i="223"/>
  <c r="BH87" i="223" l="1"/>
  <c r="BK69" i="223"/>
  <c r="BJ69" i="223" s="1"/>
  <c r="BZ87" i="223"/>
  <c r="BE79" i="223"/>
  <c r="BE97" i="223" s="1"/>
  <c r="BE111" i="223" s="1"/>
  <c r="BE69" i="223"/>
  <c r="BL69" i="223" s="1"/>
  <c r="CL88" i="223"/>
  <c r="CK88" i="223" s="1"/>
  <c r="BN87" i="223"/>
  <c r="BO69" i="223"/>
  <c r="DC63" i="223"/>
  <c r="DB63" i="223" s="1"/>
  <c r="BV78" i="223"/>
  <c r="BU78" i="223" s="1"/>
  <c r="BW78" i="223" s="1"/>
  <c r="BK78" i="223"/>
  <c r="BJ78" i="223" s="1"/>
  <c r="CT88" i="223"/>
  <c r="CS88" i="223" s="1"/>
  <c r="CO87" i="223"/>
  <c r="CZ88" i="223"/>
  <c r="CY88" i="223" s="1"/>
  <c r="DA88" i="223" s="1"/>
  <c r="BX78" i="223"/>
  <c r="W79" i="223"/>
  <c r="W97" i="223" s="1"/>
  <c r="W111" i="223" s="1"/>
  <c r="BD79" i="223"/>
  <c r="BD97" i="223" s="1"/>
  <c r="BC97" i="223" s="1"/>
  <c r="CX79" i="223"/>
  <c r="CW79" i="223" s="1"/>
  <c r="BY57" i="223"/>
  <c r="DO57" i="223"/>
  <c r="DI63" i="223"/>
  <c r="CJ88" i="223"/>
  <c r="CI88" i="223" s="1"/>
  <c r="AR79" i="223"/>
  <c r="AQ79" i="223" s="1"/>
  <c r="AS79" i="223" s="1"/>
  <c r="BR63" i="223"/>
  <c r="BQ63" i="223" s="1"/>
  <c r="BP63" i="223" s="1"/>
  <c r="DB92" i="223"/>
  <c r="BR87" i="223"/>
  <c r="BQ87" i="223" s="1"/>
  <c r="BK87" i="223"/>
  <c r="BJ87" i="223" s="1"/>
  <c r="BM87" i="223"/>
  <c r="BL87" i="223" s="1"/>
  <c r="DG69" i="223"/>
  <c r="DF69" i="223" s="1"/>
  <c r="CP88" i="223"/>
  <c r="CO88" i="223" s="1"/>
  <c r="BN92" i="223"/>
  <c r="BO96" i="223"/>
  <c r="BN96" i="223" s="1"/>
  <c r="BS92" i="223"/>
  <c r="BT96" i="223"/>
  <c r="BS96" i="223" s="1"/>
  <c r="CA69" i="223"/>
  <c r="BZ69" i="223" s="1"/>
  <c r="CA92" i="223"/>
  <c r="CC69" i="223"/>
  <c r="CB69" i="223" s="1"/>
  <c r="AO79" i="223"/>
  <c r="AP97" i="223"/>
  <c r="AO97" i="223" s="1"/>
  <c r="CX88" i="223"/>
  <c r="CW88" i="223" s="1"/>
  <c r="CW87" i="223"/>
  <c r="CC63" i="223"/>
  <c r="BO78" i="223"/>
  <c r="BN78" i="223" s="1"/>
  <c r="BI92" i="223"/>
  <c r="BV63" i="223"/>
  <c r="AN97" i="223"/>
  <c r="AM97" i="223" s="1"/>
  <c r="AM79" i="223"/>
  <c r="DE88" i="223"/>
  <c r="DD88" i="223" s="1"/>
  <c r="DD87" i="223"/>
  <c r="CU87" i="223"/>
  <c r="CS87" i="223" s="1"/>
  <c r="CV88" i="223"/>
  <c r="CU88" i="223" s="1"/>
  <c r="BY56" i="223"/>
  <c r="DO56" i="223"/>
  <c r="CV79" i="223"/>
  <c r="CU63" i="223"/>
  <c r="AV79" i="223"/>
  <c r="AW97" i="223"/>
  <c r="AV97" i="223" s="1"/>
  <c r="CU92" i="223"/>
  <c r="CV96" i="223"/>
  <c r="CU96" i="223" s="1"/>
  <c r="CP79" i="223"/>
  <c r="CO63" i="223"/>
  <c r="BI63" i="223"/>
  <c r="BM78" i="223"/>
  <c r="BL78" i="223" s="1"/>
  <c r="BR78" i="223"/>
  <c r="BQ78" i="223" s="1"/>
  <c r="AX79" i="223"/>
  <c r="AY97" i="223"/>
  <c r="AX97" i="223" s="1"/>
  <c r="CN79" i="223"/>
  <c r="CM63" i="223"/>
  <c r="DO54" i="223"/>
  <c r="BY54" i="223"/>
  <c r="CC78" i="223"/>
  <c r="CB78" i="223" s="1"/>
  <c r="CX97" i="223"/>
  <c r="DA87" i="223"/>
  <c r="EC87" i="223"/>
  <c r="BK63" i="223"/>
  <c r="BT63" i="223"/>
  <c r="CR79" i="223"/>
  <c r="CR88" i="223"/>
  <c r="CQ88" i="223" s="1"/>
  <c r="DO68" i="223"/>
  <c r="BY68" i="223"/>
  <c r="CM87" i="223"/>
  <c r="CN88" i="223"/>
  <c r="CM88" i="223" s="1"/>
  <c r="CH88" i="223"/>
  <c r="CG88" i="223" s="1"/>
  <c r="CG87" i="223"/>
  <c r="BL92" i="223"/>
  <c r="BM96" i="223"/>
  <c r="BL96" i="223" s="1"/>
  <c r="BV69" i="223"/>
  <c r="BU69" i="223" s="1"/>
  <c r="AE97" i="223"/>
  <c r="AD97" i="223" s="1"/>
  <c r="AD79" i="223"/>
  <c r="BM63" i="223"/>
  <c r="DO47" i="223"/>
  <c r="BY47" i="223"/>
  <c r="CO92" i="223"/>
  <c r="CP96" i="223"/>
  <c r="CO96" i="223" s="1"/>
  <c r="DO87" i="223"/>
  <c r="BI69" i="223"/>
  <c r="BH69" i="223" s="1"/>
  <c r="CZ79" i="223"/>
  <c r="CY63" i="223"/>
  <c r="DA63" i="223" s="1"/>
  <c r="DH63" i="223" s="1"/>
  <c r="CL96" i="223"/>
  <c r="CK96" i="223" s="1"/>
  <c r="CK92" i="223"/>
  <c r="DE79" i="223"/>
  <c r="DD63" i="223"/>
  <c r="DO45" i="223"/>
  <c r="BY45" i="223"/>
  <c r="AK97" i="223"/>
  <c r="AJ97" i="223" s="1"/>
  <c r="AJ79" i="223"/>
  <c r="CM92" i="223"/>
  <c r="CN96" i="223"/>
  <c r="CM96" i="223" s="1"/>
  <c r="BR69" i="223"/>
  <c r="BQ69" i="223" s="1"/>
  <c r="BP69" i="223" s="1"/>
  <c r="CL79" i="223"/>
  <c r="CK63" i="223"/>
  <c r="BO63" i="223"/>
  <c r="DC78" i="223"/>
  <c r="DB78" i="223" s="1"/>
  <c r="DO78" i="223" s="1"/>
  <c r="BT78" i="223"/>
  <c r="BS78" i="223" s="1"/>
  <c r="CT79" i="223"/>
  <c r="CB92" i="223"/>
  <c r="CC96" i="223"/>
  <c r="CB96" i="223" s="1"/>
  <c r="BX92" i="223"/>
  <c r="BY96" i="223"/>
  <c r="BX96" i="223" s="1"/>
  <c r="DO96" i="223" s="1"/>
  <c r="DF87" i="223"/>
  <c r="BQ92" i="223"/>
  <c r="BR96" i="223"/>
  <c r="BQ96" i="223" s="1"/>
  <c r="AG97" i="223"/>
  <c r="AF97" i="223" s="1"/>
  <c r="AF79" i="223"/>
  <c r="AH79" i="223"/>
  <c r="AI97" i="223"/>
  <c r="AH97" i="223" s="1"/>
  <c r="BK92" i="223"/>
  <c r="BT69" i="223"/>
  <c r="BS69" i="223" s="1"/>
  <c r="CY92" i="223"/>
  <c r="CZ96" i="223"/>
  <c r="CY96" i="223" s="1"/>
  <c r="CQ92" i="223"/>
  <c r="CR96" i="223"/>
  <c r="CQ96" i="223" s="1"/>
  <c r="CA63" i="223"/>
  <c r="DF63" i="223"/>
  <c r="CH79" i="223"/>
  <c r="CG63" i="223"/>
  <c r="BI78" i="223"/>
  <c r="BH78" i="223" s="1"/>
  <c r="CA78" i="223"/>
  <c r="BZ78" i="223" s="1"/>
  <c r="CJ97" i="223"/>
  <c r="CI79" i="223"/>
  <c r="DC69" i="223"/>
  <c r="AU79" i="223"/>
  <c r="BN69" i="223" l="1"/>
  <c r="AR97" i="223"/>
  <c r="AR111" i="223" s="1"/>
  <c r="AQ111" i="223" s="1"/>
  <c r="EC78" i="223"/>
  <c r="EC88" i="223"/>
  <c r="DG79" i="223"/>
  <c r="DF79" i="223" s="1"/>
  <c r="BC79" i="223"/>
  <c r="DG88" i="223"/>
  <c r="DF88" i="223" s="1"/>
  <c r="DO92" i="223"/>
  <c r="CR97" i="223"/>
  <c r="CQ79" i="223"/>
  <c r="EC69" i="223"/>
  <c r="BW69" i="223"/>
  <c r="BK79" i="223"/>
  <c r="BJ63" i="223"/>
  <c r="AQ97" i="223"/>
  <c r="BH92" i="223"/>
  <c r="BI96" i="223"/>
  <c r="BH96" i="223" s="1"/>
  <c r="DB69" i="223"/>
  <c r="DC88" i="223"/>
  <c r="DB88" i="223" s="1"/>
  <c r="DO88" i="223" s="1"/>
  <c r="BZ63" i="223"/>
  <c r="CA79" i="223"/>
  <c r="CT97" i="223"/>
  <c r="CS79" i="223"/>
  <c r="BO79" i="223"/>
  <c r="BN63" i="223"/>
  <c r="BY63" i="223"/>
  <c r="CX111" i="223"/>
  <c r="CW111" i="223" s="1"/>
  <c r="CW97" i="223"/>
  <c r="CN97" i="223"/>
  <c r="CM79" i="223"/>
  <c r="BI79" i="223"/>
  <c r="BH63" i="223"/>
  <c r="BR79" i="223"/>
  <c r="DA92" i="223"/>
  <c r="DI92" i="223"/>
  <c r="EC92" i="223"/>
  <c r="BS63" i="223"/>
  <c r="BT79" i="223"/>
  <c r="BZ92" i="223"/>
  <c r="CA96" i="223"/>
  <c r="BZ96" i="223" s="1"/>
  <c r="DC79" i="223"/>
  <c r="CV97" i="223"/>
  <c r="CU79" i="223"/>
  <c r="BV79" i="223"/>
  <c r="BU63" i="223"/>
  <c r="AU97" i="223"/>
  <c r="AT97" i="223" s="1"/>
  <c r="AT79" i="223"/>
  <c r="DG97" i="223"/>
  <c r="DF97" i="223" s="1"/>
  <c r="DA96" i="223"/>
  <c r="DI96" i="223"/>
  <c r="EC96" i="223"/>
  <c r="CJ111" i="223"/>
  <c r="CI111" i="223" s="1"/>
  <c r="CI97" i="223"/>
  <c r="CH97" i="223"/>
  <c r="CG79" i="223"/>
  <c r="BJ92" i="223"/>
  <c r="BK96" i="223"/>
  <c r="BJ96" i="223" s="1"/>
  <c r="CK79" i="223"/>
  <c r="CL97" i="223"/>
  <c r="DE97" i="223"/>
  <c r="DD97" i="223" s="1"/>
  <c r="DD79" i="223"/>
  <c r="CZ97" i="223"/>
  <c r="CY79" i="223"/>
  <c r="DA79" i="223" s="1"/>
  <c r="BY69" i="223"/>
  <c r="BX69" i="223" s="1"/>
  <c r="CC79" i="223"/>
  <c r="CB63" i="223"/>
  <c r="BM79" i="223"/>
  <c r="BL63" i="223"/>
  <c r="CP97" i="223"/>
  <c r="CO79" i="223"/>
  <c r="DO69" i="223" l="1"/>
  <c r="CC97" i="223"/>
  <c r="CB79" i="223"/>
  <c r="CZ111" i="223"/>
  <c r="CY111" i="223" s="1"/>
  <c r="DA111" i="223" s="1"/>
  <c r="CY97" i="223"/>
  <c r="DA97" i="223" s="1"/>
  <c r="BQ79" i="223"/>
  <c r="BP79" i="223" s="1"/>
  <c r="BR97" i="223"/>
  <c r="CV111" i="223"/>
  <c r="CU111" i="223" s="1"/>
  <c r="CU97" i="223"/>
  <c r="CN111" i="223"/>
  <c r="CM111" i="223" s="1"/>
  <c r="CM97" i="223"/>
  <c r="BY79" i="223"/>
  <c r="BX63" i="223"/>
  <c r="DO63" i="223" s="1"/>
  <c r="CR111" i="223"/>
  <c r="CQ111" i="223" s="1"/>
  <c r="CQ97" i="223"/>
  <c r="BZ79" i="223"/>
  <c r="CA97" i="223"/>
  <c r="BM97" i="223"/>
  <c r="BL79" i="223"/>
  <c r="CL111" i="223"/>
  <c r="CK111" i="223" s="1"/>
  <c r="CK97" i="223"/>
  <c r="BV97" i="223"/>
  <c r="BU79" i="223"/>
  <c r="BI97" i="223"/>
  <c r="BH79" i="223"/>
  <c r="CT111" i="223"/>
  <c r="CS111" i="223" s="1"/>
  <c r="CS97" i="223"/>
  <c r="CH111" i="223"/>
  <c r="CG111" i="223" s="1"/>
  <c r="CG97" i="223"/>
  <c r="EC63" i="223"/>
  <c r="DK63" i="223"/>
  <c r="DB79" i="223"/>
  <c r="DC97" i="223"/>
  <c r="CP111" i="223"/>
  <c r="CO111" i="223" s="1"/>
  <c r="CO97" i="223"/>
  <c r="BT97" i="223"/>
  <c r="BS79" i="223"/>
  <c r="BO97" i="223"/>
  <c r="BN79" i="223"/>
  <c r="BK97" i="223"/>
  <c r="BJ79" i="223"/>
  <c r="BO111" i="223" l="1"/>
  <c r="BN111" i="223" s="1"/>
  <c r="BN97" i="223"/>
  <c r="DB97" i="223"/>
  <c r="DC111" i="223"/>
  <c r="DB111" i="223" s="1"/>
  <c r="BJ97" i="223"/>
  <c r="BK111" i="223"/>
  <c r="BJ111" i="223" s="1"/>
  <c r="BV111" i="223"/>
  <c r="BU111" i="223" s="1"/>
  <c r="EC111" i="223" s="1"/>
  <c r="BU97" i="223"/>
  <c r="BX79" i="223"/>
  <c r="DO79" i="223" s="1"/>
  <c r="BY97" i="223"/>
  <c r="BS97" i="223"/>
  <c r="BT111" i="223"/>
  <c r="BS111" i="223" s="1"/>
  <c r="BI111" i="223"/>
  <c r="BH111" i="223" s="1"/>
  <c r="BH97" i="223"/>
  <c r="BM111" i="223"/>
  <c r="BL111" i="223" s="1"/>
  <c r="BL97" i="223"/>
  <c r="CB97" i="223"/>
  <c r="CC111" i="223"/>
  <c r="CB111" i="223" s="1"/>
  <c r="EC79" i="223"/>
  <c r="BW79" i="223"/>
  <c r="BZ97" i="223"/>
  <c r="CA111" i="223"/>
  <c r="BZ111" i="223" s="1"/>
  <c r="BR111" i="223"/>
  <c r="BQ111" i="223" s="1"/>
  <c r="BQ97" i="223"/>
  <c r="EC97" i="223" l="1"/>
  <c r="BW97" i="223"/>
  <c r="BY111" i="223"/>
  <c r="BX111" i="223" s="1"/>
  <c r="BX113" i="223" s="1"/>
  <c r="EH62" i="223" s="1"/>
  <c r="BX97" i="223"/>
  <c r="DO97" i="223" s="1"/>
  <c r="E23" i="216" l="1"/>
  <c r="E22" i="216" l="1"/>
  <c r="J22" i="216" s="1"/>
  <c r="J23" i="216" s="1"/>
  <c r="V21" i="216"/>
  <c r="V20" i="216"/>
  <c r="K20" i="216"/>
  <c r="J14" i="216"/>
  <c r="J13" i="216"/>
  <c r="M13" i="216" s="1"/>
  <c r="M14" i="216" s="1"/>
  <c r="E13" i="216"/>
  <c r="O12" i="216"/>
  <c r="Q12" i="216" s="1"/>
  <c r="G21" i="216" s="1"/>
  <c r="O10" i="216"/>
  <c r="O6" i="216"/>
  <c r="N6" i="216"/>
  <c r="M5" i="216"/>
  <c r="G13" i="216" l="1"/>
  <c r="G14" i="216" s="1"/>
  <c r="N3" i="216"/>
  <c r="P12" i="216"/>
  <c r="K13" i="216"/>
  <c r="K14" i="216" s="1"/>
  <c r="F22" i="216"/>
  <c r="F23" i="216" s="1"/>
  <c r="O14" i="216"/>
  <c r="S12" i="216"/>
  <c r="I21" i="216" s="1"/>
  <c r="K21" i="216" s="1"/>
  <c r="R12" i="216"/>
  <c r="H21" i="216" s="1"/>
  <c r="H22" i="216" s="1"/>
  <c r="H23" i="216" s="1"/>
  <c r="S10" i="216"/>
  <c r="I19" i="216" s="1"/>
  <c r="R10" i="216"/>
  <c r="H19" i="216" s="1"/>
  <c r="Q10" i="216"/>
  <c r="G19" i="216" s="1"/>
  <c r="P10" i="216"/>
  <c r="O13" i="216"/>
  <c r="V22" i="216"/>
  <c r="W20" i="216" s="1"/>
  <c r="F13" i="216"/>
  <c r="F14" i="216" s="1"/>
  <c r="L13" i="216"/>
  <c r="L14" i="216" s="1"/>
  <c r="I13" i="216"/>
  <c r="H13" i="216"/>
  <c r="H14" i="216" s="1"/>
  <c r="N13" i="216"/>
  <c r="N14" i="216" s="1"/>
  <c r="E14" i="216"/>
  <c r="G22" i="216" l="1"/>
  <c r="G23" i="216" s="1"/>
  <c r="P19" i="216"/>
  <c r="R13" i="216"/>
  <c r="R14" i="216" s="1"/>
  <c r="I22" i="216"/>
  <c r="I23" i="216" s="1"/>
  <c r="L25" i="216" s="1"/>
  <c r="Q13" i="216"/>
  <c r="Q14" i="216" s="1"/>
  <c r="P13" i="216"/>
  <c r="P14" i="216" s="1"/>
  <c r="K19" i="216"/>
  <c r="K22" i="216" s="1"/>
  <c r="K23" i="216" s="1"/>
  <c r="S13" i="216"/>
  <c r="S14" i="216" s="1"/>
  <c r="I14" i="216"/>
  <c r="N23" i="216" l="1"/>
  <c r="L23" i="216"/>
  <c r="M23" i="216" l="1"/>
</calcChain>
</file>

<file path=xl/sharedStrings.xml><?xml version="1.0" encoding="utf-8"?>
<sst xmlns="http://schemas.openxmlformats.org/spreadsheetml/2006/main" count="1835" uniqueCount="292">
  <si>
    <t xml:space="preserve">Name </t>
  </si>
  <si>
    <t>Instructions for filling the format</t>
  </si>
  <si>
    <t>Enter 1st day of reporting month  ===&gt;</t>
  </si>
  <si>
    <t>Year</t>
  </si>
  <si>
    <t>Days</t>
  </si>
  <si>
    <t>1) Only red figures to be filled</t>
  </si>
  <si>
    <t>2) Figures of CV in table A &amp; B - CIMFR results. If not available, plant lab results</t>
  </si>
  <si>
    <r>
      <rPr>
        <b/>
        <u/>
        <sz val="16"/>
        <color indexed="8"/>
        <rFont val="Calibri"/>
        <family val="2"/>
      </rPr>
      <t>Name of the TPS :</t>
    </r>
    <r>
      <rPr>
        <b/>
        <sz val="16"/>
        <color indexed="8"/>
        <rFont val="Calibri"/>
        <family val="2"/>
      </rPr>
      <t xml:space="preserve"> Bhusawal Thermal Power Station </t>
    </r>
  </si>
  <si>
    <t>PART I</t>
  </si>
  <si>
    <t>Month</t>
  </si>
  <si>
    <t>3) Figures of coal details in table A &amp; B should be as reported in FAC</t>
  </si>
  <si>
    <t>A</t>
  </si>
  <si>
    <t>Coal stock and receipt  for station</t>
  </si>
  <si>
    <t xml:space="preserve">4) Format is aimed at analysis of the gap between heat available for firing as per MERC </t>
  </si>
  <si>
    <t>S.N</t>
  </si>
  <si>
    <t>Source</t>
  </si>
  <si>
    <t>Opening coal stock</t>
  </si>
  <si>
    <t>Receipt</t>
  </si>
  <si>
    <t>Opening stock + Receipt</t>
  </si>
  <si>
    <t xml:space="preserve">     regulations and heat utilised for generation considering coal firing capacity and achievable heat rate</t>
  </si>
  <si>
    <t>Qty     (MT)</t>
  </si>
  <si>
    <t>Landed cost (Rs/MT)</t>
  </si>
  <si>
    <t>As billed Eq CV (loading end) Kcal/kg</t>
  </si>
  <si>
    <t xml:space="preserve"> Eq CV (Unloading end) Kcal/kg</t>
  </si>
  <si>
    <t>ARB CV (Kcal/kg)</t>
  </si>
  <si>
    <t>Qty (MT)</t>
  </si>
  <si>
    <t xml:space="preserve">5) Gap in achievable AVF with availabe heat and actual AVF mentioned at S.N (I) in table D due to various reasons is to be furnished. Loss due to coal quality is already calaculated.Hence,need not be furnised </t>
  </si>
  <si>
    <t>Raw Coal</t>
  </si>
  <si>
    <t>6) Loss due to LD backing down /RSD/Zero schedule will not appear in format as it is already covered in MERC AVF achieved</t>
  </si>
  <si>
    <t>Wash Coal</t>
  </si>
  <si>
    <t>Imported Coal</t>
  </si>
  <si>
    <t>8) Losses booked in the format may not match with MORM reports</t>
  </si>
  <si>
    <t>Total</t>
  </si>
  <si>
    <t>B</t>
  </si>
  <si>
    <t>Coal Consumption details</t>
  </si>
  <si>
    <t>ARB CV after moisture correction (Kcal/kg)</t>
  </si>
  <si>
    <t>Bunkered CV tested at TPS (Kcal/kg)</t>
  </si>
  <si>
    <t>ARB CV allowable as per norm (Kcal/kg)</t>
  </si>
  <si>
    <t>Bunker CV allowable  as per norm (Kcal/kg)</t>
  </si>
  <si>
    <t>Add Gr slippage + M loss than allowable</t>
  </si>
  <si>
    <t>Add stack loss than allowable</t>
  </si>
  <si>
    <t>Cost Rs/MT</t>
  </si>
  <si>
    <t>Description</t>
  </si>
  <si>
    <t>Qty</t>
  </si>
  <si>
    <t>RR NO</t>
  </si>
  <si>
    <t>RR DATE / BILL DATE</t>
  </si>
  <si>
    <t>Loading End GCV (EM)</t>
  </si>
  <si>
    <t>Unloading End GCV (ARB)</t>
  </si>
  <si>
    <t>Raw Coal Opening Stock</t>
  </si>
  <si>
    <t>TRANSITION</t>
  </si>
  <si>
    <t>New Majri UG-OC Convrsion Mine</t>
  </si>
  <si>
    <t>Ballarpur 3&amp; 4 Pits UG Mine</t>
  </si>
  <si>
    <t>Mungoli  Nirguda OC Mine</t>
  </si>
  <si>
    <t>PPDP MCL RSR</t>
  </si>
  <si>
    <t>Stage IV</t>
  </si>
  <si>
    <t>660 MW</t>
  </si>
  <si>
    <t>Unit-6 (660 MW)</t>
  </si>
  <si>
    <t>QTY</t>
  </si>
  <si>
    <t>AFB GCV</t>
  </si>
  <si>
    <t>RAW</t>
  </si>
  <si>
    <t>IMP</t>
  </si>
  <si>
    <t>TOTAL</t>
  </si>
  <si>
    <t>Pouni 2 &amp; 3 OC Mine</t>
  </si>
  <si>
    <t>Gouri Expansion OC Mine</t>
  </si>
  <si>
    <t>Penganga OC Mine</t>
  </si>
  <si>
    <t>BELPAHAR OC</t>
  </si>
  <si>
    <t>CHHAL OC</t>
  </si>
  <si>
    <t>BAROUD OC</t>
  </si>
  <si>
    <t>GGPP</t>
  </si>
  <si>
    <t>CGM</t>
  </si>
  <si>
    <t>GGS</t>
  </si>
  <si>
    <t>GSG</t>
  </si>
  <si>
    <t>MBCB</t>
  </si>
  <si>
    <t>SLCC</t>
  </si>
  <si>
    <t>RSR</t>
  </si>
  <si>
    <t xml:space="preserve">                                                                                                                                 </t>
  </si>
  <si>
    <t xml:space="preserve"> </t>
  </si>
  <si>
    <t xml:space="preserve"> LOADING END RESULTS analysed by M/s. IGI</t>
  </si>
  <si>
    <t>Analysed by CIMFR at BTPS</t>
  </si>
  <si>
    <t xml:space="preserve">UNLOADING END RESULTS analysed by M/s.RAVI ENERGIE </t>
  </si>
  <si>
    <t>Unloading End Results Tested at BTPS</t>
  </si>
  <si>
    <t>Grade Slippage BTPS</t>
  </si>
  <si>
    <t>GCV Diff. at ULE (BTPS &amp; RAVI)</t>
  </si>
  <si>
    <t>Grade Slippage Unloading end</t>
  </si>
  <si>
    <t>GCV Diff. bet LE &amp; ULD Eq</t>
  </si>
  <si>
    <t>Grade Slippage UnLoading end</t>
  </si>
  <si>
    <t>Grade Slippage Loading end</t>
  </si>
  <si>
    <t xml:space="preserve">Refree </t>
  </si>
  <si>
    <t>Analysis on Air Dry Basis</t>
  </si>
  <si>
    <t>Acid Correction (Kcal/kg)</t>
  </si>
  <si>
    <t>Analysis on Equilibrated Basis</t>
  </si>
  <si>
    <t>As Received Basis GCV (Kcal/Kg)</t>
  </si>
  <si>
    <t>Analysis on As received Basis</t>
  </si>
  <si>
    <t>Siding / colliery</t>
  </si>
  <si>
    <t>Company</t>
  </si>
  <si>
    <t>Date of sampling / loading</t>
  </si>
  <si>
    <t>date of Testing</t>
  </si>
  <si>
    <t>Sr. No.</t>
  </si>
  <si>
    <t>Trip. No.</t>
  </si>
  <si>
    <t>Rake Received Date</t>
  </si>
  <si>
    <t>R.R. No.</t>
  </si>
  <si>
    <t>R.R.Date</t>
  </si>
  <si>
    <t>Date of Sampling</t>
  </si>
  <si>
    <t>Date of Preparation</t>
  </si>
  <si>
    <t>TPS Qty. (CHP)</t>
  </si>
  <si>
    <t>TPS Qty. Collieriwise (FAC)</t>
  </si>
  <si>
    <t>FAC QTY CALCULATION</t>
  </si>
  <si>
    <t>TPS Qty. (Boxwise)</t>
  </si>
  <si>
    <t>No. Of Boxes Received</t>
  </si>
  <si>
    <t>collieriwise boxes</t>
  </si>
  <si>
    <t>Coal Company</t>
  </si>
  <si>
    <t>Source/ Siding</t>
  </si>
  <si>
    <t>Colliery Discription</t>
  </si>
  <si>
    <t>Colliery description as per CIMFR</t>
  </si>
  <si>
    <t>RAIL / Cost Plus / RCR /WASH/IMP/RSR</t>
  </si>
  <si>
    <t>Billed grade</t>
  </si>
  <si>
    <t>Decl. Gr.</t>
  </si>
  <si>
    <t>Decl. Gr. Range</t>
  </si>
  <si>
    <t>MID POINT</t>
  </si>
  <si>
    <t>R.R.QTY (CHP)</t>
  </si>
  <si>
    <t>BILL QTY</t>
  </si>
  <si>
    <t>Samplling Date</t>
  </si>
  <si>
    <t>Test Report No</t>
  </si>
  <si>
    <t>Test Report Date</t>
  </si>
  <si>
    <t>R.R.QTY for LE Reports</t>
  </si>
  <si>
    <t>TM%</t>
  </si>
  <si>
    <t>Q*TM%</t>
  </si>
  <si>
    <t>MOIST. %</t>
  </si>
  <si>
    <t>Q*(ADB)M%</t>
  </si>
  <si>
    <t>ASH %</t>
  </si>
  <si>
    <t>Q*(ADB)ASH%</t>
  </si>
  <si>
    <t>GCV (Kcal/Kg) by Bomb Calorimeter</t>
  </si>
  <si>
    <t>Q*(ADB)GCV%</t>
  </si>
  <si>
    <t>M%</t>
  </si>
  <si>
    <t>Q*M%</t>
  </si>
  <si>
    <t xml:space="preserve">Ash% </t>
  </si>
  <si>
    <t>Q*A%</t>
  </si>
  <si>
    <t>EQ GCV (Kcal/KG)</t>
  </si>
  <si>
    <t>Q*GCV</t>
  </si>
  <si>
    <t>Observed Grade</t>
  </si>
  <si>
    <t>GCV (ARB)</t>
  </si>
  <si>
    <t>Ash % (ARB)</t>
  </si>
  <si>
    <t>Q*A</t>
  </si>
  <si>
    <t>SM%</t>
  </si>
  <si>
    <t>Q*SM</t>
  </si>
  <si>
    <t>X%</t>
  </si>
  <si>
    <t>Y%</t>
  </si>
  <si>
    <t>Z%</t>
  </si>
  <si>
    <t>TM    %</t>
  </si>
  <si>
    <t>TPS Qty.</t>
  </si>
  <si>
    <t>(Eq.)   M%</t>
  </si>
  <si>
    <t>Q*(Eq.)M%</t>
  </si>
  <si>
    <t>(Eq.)A %</t>
  </si>
  <si>
    <t>Q*(Eq.)A %</t>
  </si>
  <si>
    <t>(Eq.) GCV (Kcal/Kg)</t>
  </si>
  <si>
    <t>Q*GCV (Eq.)</t>
  </si>
  <si>
    <t>Q*GCV (ARB)</t>
  </si>
  <si>
    <t>Ash% (ARB)</t>
  </si>
  <si>
    <t>Q*Ash (ARB)</t>
  </si>
  <si>
    <t>Q*SM%</t>
  </si>
  <si>
    <t>TPS Qty. Collieriwise</t>
  </si>
  <si>
    <t>(ADB)             Ash %</t>
  </si>
  <si>
    <t>Q*(ADB)A%</t>
  </si>
  <si>
    <t>(ADB)             Moist %</t>
  </si>
  <si>
    <t>Q*MOIST%</t>
  </si>
  <si>
    <t>(ADB)             Vm %</t>
  </si>
  <si>
    <t>Q*VM%</t>
  </si>
  <si>
    <t>GCV on ADB</t>
  </si>
  <si>
    <t>Q*GCV on ADB</t>
  </si>
  <si>
    <t>GCV on ADB (BY BOMB)</t>
  </si>
  <si>
    <t>Q*GCV on ADB (BY BOMB)</t>
  </si>
  <si>
    <t>(Eq.)               A %</t>
  </si>
  <si>
    <t>Q*Eq A%</t>
  </si>
  <si>
    <t>(Eq.)       M%</t>
  </si>
  <si>
    <t>Q*Eq M%</t>
  </si>
  <si>
    <t>(Eq.)               VM %</t>
  </si>
  <si>
    <t>Q*Eq VM%</t>
  </si>
  <si>
    <t>Q*(Eq.) GCV (Kcal/Kg)</t>
  </si>
  <si>
    <t>A%          (ARB)</t>
  </si>
  <si>
    <t>Q*A% (ARB)</t>
  </si>
  <si>
    <t>WCL</t>
  </si>
  <si>
    <t>RAIL</t>
  </si>
  <si>
    <t xml:space="preserve">G11 </t>
  </si>
  <si>
    <t>4000-4300</t>
  </si>
  <si>
    <t>G12</t>
  </si>
  <si>
    <t>G11</t>
  </si>
  <si>
    <t>G16</t>
  </si>
  <si>
    <t>G15</t>
  </si>
  <si>
    <t>G10</t>
  </si>
  <si>
    <t>4300-4600</t>
  </si>
  <si>
    <t>G13</t>
  </si>
  <si>
    <t>G7</t>
  </si>
  <si>
    <t>5200-5500</t>
  </si>
  <si>
    <t>G14</t>
  </si>
  <si>
    <t>3400-3700</t>
  </si>
  <si>
    <t>3700-4000</t>
  </si>
  <si>
    <t>WCL COAL WTD AVG</t>
  </si>
  <si>
    <t xml:space="preserve">MCL </t>
  </si>
  <si>
    <t xml:space="preserve">G14 </t>
  </si>
  <si>
    <t>3100-3400</t>
  </si>
  <si>
    <t>MCGB</t>
  </si>
  <si>
    <t>SCCL COAL WTD AVG</t>
  </si>
  <si>
    <t>SECL</t>
  </si>
  <si>
    <t>BOMK</t>
  </si>
  <si>
    <t>SECL COAL WTD AVG</t>
  </si>
  <si>
    <t>RAIL MODE WTD AVG</t>
  </si>
  <si>
    <t>RSR COAL</t>
  </si>
  <si>
    <t>Fines %</t>
  </si>
  <si>
    <t>Sulphur %</t>
  </si>
  <si>
    <t>MCL</t>
  </si>
  <si>
    <t>MCL RSR</t>
  </si>
  <si>
    <t>RCR</t>
  </si>
  <si>
    <t>RcR</t>
  </si>
  <si>
    <t>RcR MCL COAL WTD AVG</t>
  </si>
  <si>
    <t>RcR MCL+SECL  COAL WTD AVG</t>
  </si>
  <si>
    <t>TOTAL RAW COAL (RAIL+RsR) WTD AVG</t>
  </si>
  <si>
    <t>IMPORTED COAL</t>
  </si>
  <si>
    <t>fines</t>
  </si>
  <si>
    <t>TM</t>
  </si>
  <si>
    <t>FINES</t>
  </si>
  <si>
    <t>TOTAL  IMP COAL</t>
  </si>
  <si>
    <t>TOTAL RAW COAL (RAIL+RsR+RcR)+IMP COAL WTD AVG</t>
  </si>
  <si>
    <t>Neeljay Deep OC Mine</t>
  </si>
  <si>
    <t>G17</t>
  </si>
  <si>
    <t>Ballarpur Expansion OC Mine</t>
  </si>
  <si>
    <t>(750)</t>
  </si>
  <si>
    <t>CCOTL ID</t>
  </si>
  <si>
    <t>Grade</t>
  </si>
  <si>
    <t>WANI</t>
  </si>
  <si>
    <t>Ukani Deep OC Mine</t>
  </si>
  <si>
    <t>Bellora Naigaon Deep OC Mine</t>
  </si>
  <si>
    <t>Dhuptalla (Sasti UG to OC)</t>
  </si>
  <si>
    <t>stack loss (85)</t>
  </si>
  <si>
    <t>660 MW GCV Details - June -2025</t>
  </si>
  <si>
    <t>Month: June - 2025</t>
  </si>
  <si>
    <t>Diff betn Ravi Eq &amp; BTps Eq</t>
  </si>
  <si>
    <t>ULD  RAVI - BTPS</t>
  </si>
  <si>
    <t>02.06.2025</t>
  </si>
  <si>
    <t>17.06.2025</t>
  </si>
  <si>
    <t>18.06.2025</t>
  </si>
  <si>
    <t>03.06.2025</t>
  </si>
  <si>
    <t>05.06.2025</t>
  </si>
  <si>
    <t>06.06.2025</t>
  </si>
  <si>
    <t>25.06.2025</t>
  </si>
  <si>
    <t>21.06.2025</t>
  </si>
  <si>
    <t>07.06.2025</t>
  </si>
  <si>
    <t>23.06.2025</t>
  </si>
  <si>
    <t>27.06.2025</t>
  </si>
  <si>
    <t>28.06.2025</t>
  </si>
  <si>
    <t>30.06.2025</t>
  </si>
  <si>
    <t>02.07.2025</t>
  </si>
  <si>
    <t>LOMB</t>
  </si>
  <si>
    <t>SAMLESWARI OC</t>
  </si>
  <si>
    <t>13.06.2025</t>
  </si>
  <si>
    <t>16.06.2025</t>
  </si>
  <si>
    <t>26/06/2025</t>
  </si>
  <si>
    <t>MCL COAL WTD AVG</t>
  </si>
  <si>
    <t>RSR COAL WTD AVG</t>
  </si>
  <si>
    <t>MCL RAW+RSR</t>
  </si>
  <si>
    <t>RcR MODE</t>
  </si>
  <si>
    <t>DO 1110012803</t>
  </si>
  <si>
    <t>QTY-50,000</t>
  </si>
  <si>
    <t>09.06.2025</t>
  </si>
  <si>
    <t>WCL (RCR)</t>
  </si>
  <si>
    <t>FWSM</t>
  </si>
  <si>
    <t>WANI,PENGANGA</t>
  </si>
  <si>
    <t>10.06.2025</t>
  </si>
  <si>
    <t>11.06.2025</t>
  </si>
  <si>
    <t>RcR WCL COAL WTD AVG</t>
  </si>
  <si>
    <t>HGIC</t>
  </si>
  <si>
    <t>PPDP</t>
  </si>
  <si>
    <t>HGIC PPDP</t>
  </si>
  <si>
    <t>DMGM</t>
  </si>
  <si>
    <t>BOCB</t>
  </si>
  <si>
    <t>JUNAD EXTENSION OC</t>
  </si>
  <si>
    <t>31/05/2025</t>
  </si>
  <si>
    <t>Junad OC Mine</t>
  </si>
  <si>
    <t>Makardhokdha III OC Mine</t>
  </si>
  <si>
    <t>BELPAHAR</t>
  </si>
  <si>
    <t>Note:  Total 77 coal samples</t>
  </si>
  <si>
    <t>31.05.2025</t>
  </si>
  <si>
    <t>01.06.2025</t>
  </si>
  <si>
    <t>15A</t>
  </si>
  <si>
    <t>15B</t>
  </si>
  <si>
    <t>04.06.2025</t>
  </si>
  <si>
    <t>15-06-2025</t>
  </si>
  <si>
    <t>30.6.2025</t>
  </si>
  <si>
    <t>15.06.2025</t>
  </si>
  <si>
    <t>At loading end for raw coal M/S IGI 26 results available till date</t>
  </si>
  <si>
    <t>At loading end for raw coal 51 midpoint are considered since results are awaited.</t>
  </si>
  <si>
    <t xml:space="preserve">At unloading end for Raw coal 58 results third party Ravi Engeri Pvt. Ltd., </t>
  </si>
  <si>
    <t>At unloading end for Raw coal 19 BTPS analysis is considered since result awaited till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</si>
</sst>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dd/mm/yyyy;@"/>
    <numFmt numFmtId="165" formatCode="#,##0.000"/>
    <numFmt numFmtId="166" formatCode="0_ "/>
    <numFmt numFmtId="167" formatCode="dd\.mm\.yyyy;@"/>
    <numFmt numFmtId="168" formatCode="dd/mmm/yyyy"/>
    <numFmt numFmtId="169" formatCode="0.000"/>
    <numFmt numFmtId="171" formatCode="0.0"/>
    <numFmt numFmtId="172" formatCode="0.00_ "/>
    <numFmt numFmtId="173" formatCode="_ * #,##0_ ;_ * \-#,##0_ ;_ * &quot;-&quot;??_ ;_ @_ "/>
    <numFmt numFmtId="174" formatCode="d/mm/yyyy;@"/>
  </numFmts>
  <fonts count="5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11"/>
      <color rgb="FF40404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u/>
      <sz val="16"/>
      <color indexed="8"/>
      <name val="Calibri"/>
      <family val="2"/>
    </font>
    <font>
      <b/>
      <sz val="10"/>
      <color rgb="FFFF0000"/>
      <name val="Times New Roman"/>
      <family val="1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404040"/>
      <name val="Calibri"/>
      <family val="2"/>
      <scheme val="minor"/>
    </font>
    <font>
      <b/>
      <sz val="12"/>
      <name val="Calibri"/>
      <family val="2"/>
    </font>
    <font>
      <b/>
      <sz val="12"/>
      <color rgb="FFFF0000"/>
      <name val="Calibri"/>
      <family val="2"/>
    </font>
    <font>
      <sz val="11"/>
      <color rgb="FFFF0000"/>
      <name val="Calibri"/>
      <family val="2"/>
    </font>
    <font>
      <sz val="12"/>
      <name val="Calibri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6"/>
      <color rgb="FF00206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66FFFF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242424"/>
      <name val="Aptos Narrow"/>
      <charset val="1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1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3" tint="0.79934080019531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7" fillId="0" borderId="0"/>
    <xf numFmtId="0" fontId="24" fillId="0" borderId="0"/>
    <xf numFmtId="0" fontId="25" fillId="0" borderId="0"/>
    <xf numFmtId="0" fontId="24" fillId="0" borderId="0"/>
    <xf numFmtId="0" fontId="2" fillId="0" borderId="0"/>
    <xf numFmtId="0" fontId="53" fillId="0" borderId="0"/>
    <xf numFmtId="0" fontId="1" fillId="0" borderId="0"/>
  </cellStyleXfs>
  <cellXfs count="697">
    <xf numFmtId="0" fontId="0" fillId="0" borderId="0" xfId="0"/>
    <xf numFmtId="0" fontId="7" fillId="0" borderId="0" xfId="9" applyFont="1"/>
    <xf numFmtId="0" fontId="9" fillId="0" borderId="5" xfId="13" applyFont="1" applyBorder="1" applyAlignment="1">
      <alignment horizontal="center" vertical="center" wrapText="1"/>
    </xf>
    <xf numFmtId="165" fontId="9" fillId="0" borderId="5" xfId="13" applyNumberFormat="1" applyFont="1" applyBorder="1" applyAlignment="1">
      <alignment horizontal="center" vertical="center" wrapText="1"/>
    </xf>
    <xf numFmtId="14" fontId="9" fillId="0" borderId="5" xfId="13" applyNumberFormat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5" xfId="12" applyFont="1" applyBorder="1" applyAlignment="1">
      <alignment horizontal="left" vertical="center" wrapText="1"/>
    </xf>
    <xf numFmtId="0" fontId="13" fillId="0" borderId="0" xfId="8" applyFont="1" applyAlignment="1">
      <alignment vertical="center"/>
    </xf>
    <xf numFmtId="0" fontId="24" fillId="0" borderId="0" xfId="2"/>
    <xf numFmtId="0" fontId="15" fillId="0" borderId="0" xfId="2" applyFont="1" applyAlignment="1">
      <alignment horizontal="center"/>
    </xf>
    <xf numFmtId="168" fontId="16" fillId="0" borderId="0" xfId="2" applyNumberFormat="1" applyFont="1" applyAlignment="1">
      <alignment horizontal="center"/>
    </xf>
    <xf numFmtId="0" fontId="17" fillId="0" borderId="0" xfId="2" applyFont="1" applyAlignment="1">
      <alignment horizontal="left" vertical="center"/>
    </xf>
    <xf numFmtId="0" fontId="18" fillId="0" borderId="0" xfId="2" applyFont="1" applyAlignment="1">
      <alignment horizontal="center"/>
    </xf>
    <xf numFmtId="0" fontId="19" fillId="4" borderId="0" xfId="2" applyFont="1" applyFill="1" applyAlignment="1">
      <alignment horizontal="center"/>
    </xf>
    <xf numFmtId="0" fontId="18" fillId="0" borderId="0" xfId="2" applyFont="1"/>
    <xf numFmtId="1" fontId="24" fillId="0" borderId="0" xfId="2" applyNumberFormat="1"/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2" fontId="11" fillId="0" borderId="9" xfId="4" applyNumberFormat="1" applyFont="1" applyBorder="1" applyAlignment="1">
      <alignment horizontal="center" vertical="center"/>
    </xf>
    <xf numFmtId="1" fontId="11" fillId="2" borderId="8" xfId="4" applyNumberFormat="1" applyFont="1" applyFill="1" applyBorder="1" applyAlignment="1">
      <alignment horizontal="center" vertical="center"/>
    </xf>
    <xf numFmtId="1" fontId="11" fillId="0" borderId="5" xfId="2" applyNumberFormat="1" applyFont="1" applyBorder="1" applyAlignment="1">
      <alignment horizontal="center" vertical="center"/>
    </xf>
    <xf numFmtId="1" fontId="7" fillId="0" borderId="5" xfId="2" applyNumberFormat="1" applyFont="1" applyBorder="1" applyAlignment="1">
      <alignment horizontal="center" vertical="center"/>
    </xf>
    <xf numFmtId="1" fontId="6" fillId="5" borderId="18" xfId="2" applyNumberFormat="1" applyFont="1" applyFill="1" applyBorder="1" applyAlignment="1">
      <alignment horizontal="center" vertical="center"/>
    </xf>
    <xf numFmtId="1" fontId="6" fillId="5" borderId="3" xfId="2" applyNumberFormat="1" applyFont="1" applyFill="1" applyBorder="1" applyAlignment="1">
      <alignment horizontal="center" vertical="center"/>
    </xf>
    <xf numFmtId="1" fontId="6" fillId="5" borderId="5" xfId="2" applyNumberFormat="1" applyFont="1" applyFill="1" applyBorder="1" applyAlignment="1">
      <alignment horizontal="center" vertical="center"/>
    </xf>
    <xf numFmtId="0" fontId="6" fillId="6" borderId="10" xfId="2" applyFont="1" applyFill="1" applyBorder="1" applyAlignment="1">
      <alignment horizontal="center"/>
    </xf>
    <xf numFmtId="1" fontId="6" fillId="6" borderId="10" xfId="2" applyNumberFormat="1" applyFont="1" applyFill="1" applyBorder="1" applyAlignment="1">
      <alignment horizontal="center" vertical="center"/>
    </xf>
    <xf numFmtId="1" fontId="6" fillId="6" borderId="15" xfId="2" applyNumberFormat="1" applyFont="1" applyFill="1" applyBorder="1" applyAlignment="1">
      <alignment horizontal="center" vertical="center"/>
    </xf>
    <xf numFmtId="1" fontId="6" fillId="6" borderId="11" xfId="2" applyNumberFormat="1" applyFont="1" applyFill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1" fontId="6" fillId="0" borderId="0" xfId="2" applyNumberFormat="1" applyFont="1" applyAlignment="1">
      <alignment horizontal="center" vertical="center"/>
    </xf>
    <xf numFmtId="0" fontId="18" fillId="0" borderId="20" xfId="2" applyFont="1" applyBorder="1"/>
    <xf numFmtId="0" fontId="6" fillId="0" borderId="5" xfId="2" applyFont="1" applyBorder="1" applyAlignment="1">
      <alignment horizontal="center" vertical="center" wrapText="1"/>
    </xf>
    <xf numFmtId="0" fontId="6" fillId="6" borderId="14" xfId="2" applyFont="1" applyFill="1" applyBorder="1"/>
    <xf numFmtId="0" fontId="24" fillId="0" borderId="0" xfId="2" applyAlignment="1">
      <alignment horizontal="left" vertical="top" indent="1"/>
    </xf>
    <xf numFmtId="1" fontId="24" fillId="0" borderId="0" xfId="2" applyNumberFormat="1" applyAlignment="1">
      <alignment horizontal="center" vertical="center"/>
    </xf>
    <xf numFmtId="1" fontId="7" fillId="0" borderId="0" xfId="2" applyNumberFormat="1" applyFont="1"/>
    <xf numFmtId="0" fontId="8" fillId="0" borderId="1" xfId="2" applyFont="1" applyBorder="1" applyAlignment="1">
      <alignment horizontal="center" vertical="center"/>
    </xf>
    <xf numFmtId="17" fontId="8" fillId="0" borderId="1" xfId="2" applyNumberFormat="1" applyFont="1" applyBorder="1" applyAlignment="1">
      <alignment horizontal="center" vertical="center"/>
    </xf>
    <xf numFmtId="0" fontId="20" fillId="0" borderId="0" xfId="2" applyFont="1"/>
    <xf numFmtId="0" fontId="6" fillId="0" borderId="14" xfId="2" applyFont="1" applyBorder="1" applyAlignment="1">
      <alignment horizontal="center" vertical="center" wrapText="1"/>
    </xf>
    <xf numFmtId="1" fontId="24" fillId="0" borderId="4" xfId="2" applyNumberFormat="1" applyBorder="1" applyAlignment="1">
      <alignment horizontal="center" vertical="center"/>
    </xf>
    <xf numFmtId="2" fontId="11" fillId="0" borderId="3" xfId="2" applyNumberFormat="1" applyFont="1" applyBorder="1" applyAlignment="1">
      <alignment horizontal="center" vertical="center"/>
    </xf>
    <xf numFmtId="1" fontId="11" fillId="0" borderId="3" xfId="2" applyNumberFormat="1" applyFont="1" applyBorder="1" applyAlignment="1">
      <alignment horizontal="center" vertical="center"/>
    </xf>
    <xf numFmtId="1" fontId="6" fillId="5" borderId="30" xfId="2" applyNumberFormat="1" applyFont="1" applyFill="1" applyBorder="1" applyAlignment="1">
      <alignment horizontal="center" vertical="center"/>
    </xf>
    <xf numFmtId="1" fontId="6" fillId="6" borderId="14" xfId="2" applyNumberFormat="1" applyFont="1" applyFill="1" applyBorder="1" applyAlignment="1">
      <alignment horizontal="center" vertical="center"/>
    </xf>
    <xf numFmtId="1" fontId="13" fillId="6" borderId="15" xfId="2" applyNumberFormat="1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1" fillId="0" borderId="0" xfId="2" applyFont="1"/>
    <xf numFmtId="1" fontId="24" fillId="0" borderId="32" xfId="2" applyNumberFormat="1" applyBorder="1" applyAlignment="1">
      <alignment horizontal="center" vertical="center"/>
    </xf>
    <xf numFmtId="1" fontId="22" fillId="0" borderId="0" xfId="2" applyNumberFormat="1" applyFont="1" applyAlignment="1">
      <alignment horizontal="center" vertical="center"/>
    </xf>
    <xf numFmtId="14" fontId="9" fillId="0" borderId="4" xfId="12" applyNumberFormat="1" applyFont="1" applyBorder="1" applyAlignment="1">
      <alignment vertical="center" wrapText="1"/>
    </xf>
    <xf numFmtId="168" fontId="23" fillId="3" borderId="0" xfId="2" applyNumberFormat="1" applyFont="1" applyFill="1" applyAlignment="1">
      <alignment horizontal="center"/>
    </xf>
    <xf numFmtId="0" fontId="6" fillId="0" borderId="6" xfId="2" applyFont="1" applyBorder="1" applyAlignment="1">
      <alignment horizontal="center" vertical="center" wrapText="1"/>
    </xf>
    <xf numFmtId="0" fontId="6" fillId="0" borderId="3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2" fontId="11" fillId="0" borderId="18" xfId="4" applyNumberFormat="1" applyFont="1" applyBorder="1" applyAlignment="1">
      <alignment horizontal="center" vertical="center"/>
    </xf>
    <xf numFmtId="2" fontId="11" fillId="0" borderId="18" xfId="2" applyNumberFormat="1" applyFont="1" applyBorder="1" applyAlignment="1">
      <alignment horizontal="center" vertical="center"/>
    </xf>
    <xf numFmtId="1" fontId="6" fillId="5" borderId="10" xfId="2" applyNumberFormat="1" applyFont="1" applyFill="1" applyBorder="1" applyAlignment="1">
      <alignment horizontal="center" vertical="center"/>
    </xf>
    <xf numFmtId="1" fontId="6" fillId="5" borderId="11" xfId="2" applyNumberFormat="1" applyFont="1" applyFill="1" applyBorder="1" applyAlignment="1">
      <alignment horizontal="center" vertical="center"/>
    </xf>
    <xf numFmtId="1" fontId="6" fillId="6" borderId="27" xfId="2" applyNumberFormat="1" applyFont="1" applyFill="1" applyBorder="1" applyAlignment="1">
      <alignment horizontal="center" vertical="center"/>
    </xf>
    <xf numFmtId="1" fontId="6" fillId="6" borderId="28" xfId="2" applyNumberFormat="1" applyFont="1" applyFill="1" applyBorder="1" applyAlignment="1">
      <alignment horizontal="center" vertical="center"/>
    </xf>
    <xf numFmtId="1" fontId="6" fillId="6" borderId="12" xfId="2" applyNumberFormat="1" applyFont="1" applyFill="1" applyBorder="1" applyAlignment="1">
      <alignment horizontal="center" vertical="center"/>
    </xf>
    <xf numFmtId="0" fontId="0" fillId="0" borderId="32" xfId="2" applyFont="1" applyBorder="1"/>
    <xf numFmtId="1" fontId="7" fillId="0" borderId="0" xfId="9" applyNumberFormat="1" applyFont="1"/>
    <xf numFmtId="0" fontId="6" fillId="0" borderId="34" xfId="2" applyFont="1" applyBorder="1" applyAlignment="1">
      <alignment horizontal="center" vertical="center" wrapText="1"/>
    </xf>
    <xf numFmtId="166" fontId="11" fillId="0" borderId="5" xfId="2" applyNumberFormat="1" applyFont="1" applyBorder="1" applyAlignment="1">
      <alignment horizontal="center" vertical="center"/>
    </xf>
    <xf numFmtId="1" fontId="11" fillId="0" borderId="30" xfId="2" applyNumberFormat="1" applyFont="1" applyBorder="1" applyAlignment="1">
      <alignment horizontal="center" vertical="center"/>
    </xf>
    <xf numFmtId="1" fontId="6" fillId="5" borderId="14" xfId="2" applyNumberFormat="1" applyFont="1" applyFill="1" applyBorder="1" applyAlignment="1">
      <alignment horizontal="center" vertical="center"/>
    </xf>
    <xf numFmtId="1" fontId="6" fillId="6" borderId="29" xfId="2" applyNumberFormat="1" applyFont="1" applyFill="1" applyBorder="1" applyAlignment="1">
      <alignment horizontal="center" vertical="center"/>
    </xf>
    <xf numFmtId="2" fontId="6" fillId="6" borderId="10" xfId="2" applyNumberFormat="1" applyFont="1" applyFill="1" applyBorder="1" applyAlignment="1">
      <alignment horizontal="center" vertical="center"/>
    </xf>
    <xf numFmtId="169" fontId="6" fillId="0" borderId="0" xfId="2" applyNumberFormat="1" applyFont="1" applyAlignment="1">
      <alignment horizontal="center" vertical="center"/>
    </xf>
    <xf numFmtId="1" fontId="7" fillId="3" borderId="0" xfId="9" applyNumberFormat="1" applyFont="1" applyFill="1"/>
    <xf numFmtId="0" fontId="12" fillId="2" borderId="5" xfId="0" applyFont="1" applyFill="1" applyBorder="1" applyAlignment="1">
      <alignment horizontal="center" vertical="center"/>
    </xf>
    <xf numFmtId="0" fontId="24" fillId="0" borderId="0" xfId="2" applyAlignment="1">
      <alignment horizontal="right"/>
    </xf>
    <xf numFmtId="0" fontId="7" fillId="0" borderId="0" xfId="2" applyFont="1"/>
    <xf numFmtId="0" fontId="29" fillId="0" borderId="0" xfId="5" applyFont="1"/>
    <xf numFmtId="169" fontId="7" fillId="0" borderId="0" xfId="9" applyNumberFormat="1" applyFont="1"/>
    <xf numFmtId="169" fontId="6" fillId="6" borderId="11" xfId="2" applyNumberFormat="1" applyFont="1" applyFill="1" applyBorder="1" applyAlignment="1">
      <alignment horizontal="center" vertical="center"/>
    </xf>
    <xf numFmtId="2" fontId="6" fillId="5" borderId="30" xfId="2" applyNumberFormat="1" applyFont="1" applyFill="1" applyBorder="1" applyAlignment="1">
      <alignment horizontal="center" vertical="center"/>
    </xf>
    <xf numFmtId="1" fontId="24" fillId="0" borderId="17" xfId="2" applyNumberFormat="1" applyBorder="1" applyAlignment="1">
      <alignment horizontal="center" vertical="center"/>
    </xf>
    <xf numFmtId="1" fontId="24" fillId="3" borderId="0" xfId="2" applyNumberFormat="1" applyFill="1"/>
    <xf numFmtId="171" fontId="24" fillId="0" borderId="0" xfId="2" applyNumberFormat="1"/>
    <xf numFmtId="0" fontId="6" fillId="0" borderId="35" xfId="2" applyFont="1" applyBorder="1" applyAlignment="1">
      <alignment horizontal="center" vertical="center" wrapText="1"/>
    </xf>
    <xf numFmtId="0" fontId="6" fillId="0" borderId="36" xfId="2" applyFont="1" applyBorder="1" applyAlignment="1">
      <alignment horizontal="center" vertical="center" wrapText="1"/>
    </xf>
    <xf numFmtId="0" fontId="6" fillId="0" borderId="37" xfId="2" applyFont="1" applyBorder="1" applyAlignment="1">
      <alignment horizontal="center" vertical="center" wrapText="1"/>
    </xf>
    <xf numFmtId="0" fontId="6" fillId="0" borderId="38" xfId="2" applyFont="1" applyBorder="1" applyAlignment="1">
      <alignment horizontal="center" vertical="center" wrapText="1"/>
    </xf>
    <xf numFmtId="1" fontId="24" fillId="0" borderId="0" xfId="2" applyNumberFormat="1" applyAlignment="1">
      <alignment vertical="center"/>
    </xf>
    <xf numFmtId="0" fontId="24" fillId="0" borderId="0" xfId="2" applyAlignment="1">
      <alignment vertical="center"/>
    </xf>
    <xf numFmtId="0" fontId="24" fillId="0" borderId="18" xfId="2" applyBorder="1" applyAlignment="1">
      <alignment horizontal="center" vertical="center"/>
    </xf>
    <xf numFmtId="0" fontId="24" fillId="0" borderId="19" xfId="2" applyBorder="1" applyAlignment="1">
      <alignment vertical="center"/>
    </xf>
    <xf numFmtId="1" fontId="24" fillId="0" borderId="8" xfId="4" applyNumberFormat="1" applyBorder="1" applyAlignment="1">
      <alignment horizontal="center" vertical="center"/>
    </xf>
    <xf numFmtId="0" fontId="24" fillId="0" borderId="2" xfId="2" applyBorder="1" applyAlignment="1">
      <alignment vertical="center"/>
    </xf>
    <xf numFmtId="1" fontId="24" fillId="0" borderId="5" xfId="4" applyNumberFormat="1" applyBorder="1" applyAlignment="1">
      <alignment horizontal="center" vertical="center"/>
    </xf>
    <xf numFmtId="1" fontId="24" fillId="0" borderId="30" xfId="4" applyNumberForma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0" fontId="6" fillId="5" borderId="18" xfId="2" applyFont="1" applyFill="1" applyBorder="1" applyAlignment="1">
      <alignment horizontal="center" vertical="center"/>
    </xf>
    <xf numFmtId="0" fontId="6" fillId="5" borderId="2" xfId="2" applyFont="1" applyFill="1" applyBorder="1" applyAlignment="1">
      <alignment vertical="center"/>
    </xf>
    <xf numFmtId="0" fontId="6" fillId="6" borderId="10" xfId="2" applyFont="1" applyFill="1" applyBorder="1" applyAlignment="1">
      <alignment horizontal="center" vertical="center"/>
    </xf>
    <xf numFmtId="0" fontId="6" fillId="6" borderId="14" xfId="2" applyFont="1" applyFill="1" applyBorder="1" applyAlignment="1">
      <alignment vertical="center"/>
    </xf>
    <xf numFmtId="1" fontId="6" fillId="2" borderId="0" xfId="2" applyNumberFormat="1" applyFont="1" applyFill="1" applyAlignment="1">
      <alignment horizontal="center" vertical="center"/>
    </xf>
    <xf numFmtId="166" fontId="6" fillId="2" borderId="0" xfId="2" applyNumberFormat="1" applyFont="1" applyFill="1" applyAlignment="1">
      <alignment horizontal="center" vertical="center"/>
    </xf>
    <xf numFmtId="0" fontId="30" fillId="0" borderId="0" xfId="9" applyFont="1"/>
    <xf numFmtId="1" fontId="30" fillId="0" borderId="0" xfId="2" applyNumberFormat="1" applyFont="1"/>
    <xf numFmtId="169" fontId="30" fillId="0" borderId="0" xfId="2" applyNumberFormat="1" applyFont="1"/>
    <xf numFmtId="0" fontId="30" fillId="0" borderId="0" xfId="2" applyFont="1" applyAlignment="1">
      <alignment horizontal="right"/>
    </xf>
    <xf numFmtId="1" fontId="30" fillId="0" borderId="0" xfId="2" applyNumberFormat="1" applyFont="1" applyAlignment="1">
      <alignment horizontal="right"/>
    </xf>
    <xf numFmtId="0" fontId="30" fillId="0" borderId="0" xfId="2" applyFont="1" applyAlignment="1">
      <alignment horizontal="center"/>
    </xf>
    <xf numFmtId="1" fontId="24" fillId="2" borderId="5" xfId="4" applyNumberFormat="1" applyFill="1" applyBorder="1" applyAlignment="1">
      <alignment horizontal="center" vertical="center"/>
    </xf>
    <xf numFmtId="1" fontId="24" fillId="2" borderId="30" xfId="4" applyNumberFormat="1" applyFill="1" applyBorder="1" applyAlignment="1">
      <alignment horizontal="center" vertical="center"/>
    </xf>
    <xf numFmtId="0" fontId="7" fillId="3" borderId="0" xfId="9" applyFont="1" applyFill="1"/>
    <xf numFmtId="1" fontId="24" fillId="2" borderId="0" xfId="2" applyNumberFormat="1" applyFill="1" applyAlignment="1">
      <alignment horizontal="center" vertical="center"/>
    </xf>
    <xf numFmtId="1" fontId="24" fillId="2" borderId="0" xfId="2" applyNumberFormat="1" applyFill="1"/>
    <xf numFmtId="1" fontId="7" fillId="2" borderId="0" xfId="9" applyNumberFormat="1" applyFont="1" applyFill="1"/>
    <xf numFmtId="1" fontId="30" fillId="0" borderId="0" xfId="9" applyNumberFormat="1" applyFont="1"/>
    <xf numFmtId="1" fontId="13" fillId="2" borderId="5" xfId="2" applyNumberFormat="1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/>
    </xf>
    <xf numFmtId="166" fontId="13" fillId="2" borderId="5" xfId="2" applyNumberFormat="1" applyFont="1" applyFill="1" applyBorder="1" applyAlignment="1">
      <alignment horizontal="center"/>
    </xf>
    <xf numFmtId="1" fontId="13" fillId="2" borderId="5" xfId="2" applyNumberFormat="1" applyFont="1" applyFill="1" applyBorder="1" applyAlignment="1">
      <alignment horizontal="center"/>
    </xf>
    <xf numFmtId="2" fontId="13" fillId="2" borderId="5" xfId="4" applyNumberFormat="1" applyFont="1" applyFill="1" applyBorder="1" applyAlignment="1">
      <alignment horizontal="center"/>
    </xf>
    <xf numFmtId="1" fontId="13" fillId="2" borderId="5" xfId="4" applyNumberFormat="1" applyFont="1" applyFill="1" applyBorder="1" applyAlignment="1">
      <alignment horizontal="center"/>
    </xf>
    <xf numFmtId="169" fontId="13" fillId="2" borderId="5" xfId="2" applyNumberFormat="1" applyFont="1" applyFill="1" applyBorder="1" applyAlignment="1">
      <alignment horizont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1" fontId="11" fillId="0" borderId="4" xfId="2" applyNumberFormat="1" applyFont="1" applyBorder="1" applyAlignment="1">
      <alignment horizontal="center" vertical="center"/>
    </xf>
    <xf numFmtId="0" fontId="6" fillId="8" borderId="18" xfId="2" applyFont="1" applyFill="1" applyBorder="1" applyAlignment="1">
      <alignment horizontal="center"/>
    </xf>
    <xf numFmtId="0" fontId="6" fillId="8" borderId="30" xfId="2" applyFont="1" applyFill="1" applyBorder="1"/>
    <xf numFmtId="2" fontId="7" fillId="0" borderId="0" xfId="2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1" fontId="0" fillId="0" borderId="0" xfId="0" applyNumberFormat="1"/>
    <xf numFmtId="0" fontId="0" fillId="2" borderId="0" xfId="0" applyFill="1" applyAlignment="1">
      <alignment horizontal="center" vertical="center"/>
    </xf>
    <xf numFmtId="1" fontId="8" fillId="3" borderId="0" xfId="2" applyNumberFormat="1" applyFont="1" applyFill="1"/>
    <xf numFmtId="1" fontId="11" fillId="0" borderId="13" xfId="4" applyNumberFormat="1" applyFont="1" applyBorder="1" applyAlignment="1">
      <alignment horizontal="center" vertical="center"/>
    </xf>
    <xf numFmtId="169" fontId="13" fillId="2" borderId="5" xfId="4" applyNumberFormat="1" applyFont="1" applyFill="1" applyBorder="1" applyAlignment="1">
      <alignment horizontal="center"/>
    </xf>
    <xf numFmtId="164" fontId="32" fillId="2" borderId="5" xfId="0" applyNumberFormat="1" applyFont="1" applyFill="1" applyBorder="1" applyAlignment="1">
      <alignment horizontal="center" vertical="center" wrapText="1"/>
    </xf>
    <xf numFmtId="1" fontId="32" fillId="2" borderId="5" xfId="0" applyNumberFormat="1" applyFont="1" applyFill="1" applyBorder="1" applyAlignment="1">
      <alignment horizontal="center" vertical="center" wrapText="1"/>
    </xf>
    <xf numFmtId="2" fontId="32" fillId="0" borderId="5" xfId="0" applyNumberFormat="1" applyFont="1" applyBorder="1" applyAlignment="1">
      <alignment horizontal="center" vertical="center" wrapText="1"/>
    </xf>
    <xf numFmtId="2" fontId="32" fillId="9" borderId="5" xfId="0" applyNumberFormat="1" applyFont="1" applyFill="1" applyBorder="1" applyAlignment="1">
      <alignment horizontal="center" vertical="center" wrapText="1"/>
    </xf>
    <xf numFmtId="2" fontId="33" fillId="10" borderId="5" xfId="0" applyNumberFormat="1" applyFont="1" applyFill="1" applyBorder="1" applyAlignment="1">
      <alignment horizontal="center" vertical="center" wrapText="1"/>
    </xf>
    <xf numFmtId="2" fontId="33" fillId="10" borderId="1" xfId="0" applyNumberFormat="1" applyFont="1" applyFill="1" applyBorder="1" applyAlignment="1">
      <alignment horizontal="center" vertical="center" wrapText="1"/>
    </xf>
    <xf numFmtId="2" fontId="32" fillId="2" borderId="5" xfId="0" applyNumberFormat="1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2" fontId="32" fillId="10" borderId="5" xfId="0" applyNumberFormat="1" applyFont="1" applyFill="1" applyBorder="1" applyAlignment="1">
      <alignment horizontal="center" vertical="center" wrapText="1"/>
    </xf>
    <xf numFmtId="0" fontId="12" fillId="12" borderId="5" xfId="0" applyFont="1" applyFill="1" applyBorder="1" applyAlignment="1">
      <alignment horizontal="center" vertical="center"/>
    </xf>
    <xf numFmtId="167" fontId="12" fillId="12" borderId="5" xfId="0" applyNumberFormat="1" applyFont="1" applyFill="1" applyBorder="1" applyAlignment="1">
      <alignment horizontal="center" vertical="center"/>
    </xf>
    <xf numFmtId="2" fontId="12" fillId="12" borderId="5" xfId="0" applyNumberFormat="1" applyFont="1" applyFill="1" applyBorder="1" applyAlignment="1">
      <alignment horizontal="center" vertical="center"/>
    </xf>
    <xf numFmtId="0" fontId="34" fillId="12" borderId="5" xfId="0" applyFont="1" applyFill="1" applyBorder="1" applyAlignment="1">
      <alignment horizontal="center" vertical="center"/>
    </xf>
    <xf numFmtId="172" fontId="12" fillId="11" borderId="5" xfId="0" applyNumberFormat="1" applyFont="1" applyFill="1" applyBorder="1" applyAlignment="1">
      <alignment horizontal="center" vertical="center"/>
    </xf>
    <xf numFmtId="2" fontId="12" fillId="11" borderId="5" xfId="0" applyNumberFormat="1" applyFont="1" applyFill="1" applyBorder="1" applyAlignment="1">
      <alignment horizontal="center" vertical="center"/>
    </xf>
    <xf numFmtId="0" fontId="34" fillId="11" borderId="5" xfId="0" applyFont="1" applyFill="1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2" fontId="34" fillId="6" borderId="5" xfId="0" applyNumberFormat="1" applyFont="1" applyFill="1" applyBorder="1" applyAlignment="1">
      <alignment horizontal="center" vertical="center"/>
    </xf>
    <xf numFmtId="171" fontId="34" fillId="6" borderId="5" xfId="0" applyNumberFormat="1" applyFont="1" applyFill="1" applyBorder="1" applyAlignment="1">
      <alignment horizontal="center" vertical="center"/>
    </xf>
    <xf numFmtId="171" fontId="12" fillId="6" borderId="5" xfId="0" applyNumberFormat="1" applyFont="1" applyFill="1" applyBorder="1" applyAlignment="1">
      <alignment horizontal="center" vertical="center"/>
    </xf>
    <xf numFmtId="0" fontId="34" fillId="6" borderId="5" xfId="0" applyFont="1" applyFill="1" applyBorder="1" applyAlignment="1">
      <alignment horizontal="center" vertical="center"/>
    </xf>
    <xf numFmtId="2" fontId="35" fillId="2" borderId="5" xfId="0" applyNumberFormat="1" applyFont="1" applyFill="1" applyBorder="1" applyAlignment="1">
      <alignment horizontal="center" vertical="center"/>
    </xf>
    <xf numFmtId="171" fontId="36" fillId="13" borderId="5" xfId="0" applyNumberFormat="1" applyFont="1" applyFill="1" applyBorder="1" applyAlignment="1">
      <alignment horizontal="center" vertical="center"/>
    </xf>
    <xf numFmtId="0" fontId="36" fillId="13" borderId="5" xfId="0" applyFont="1" applyFill="1" applyBorder="1" applyAlignment="1">
      <alignment horizontal="center" vertical="center"/>
    </xf>
    <xf numFmtId="2" fontId="11" fillId="13" borderId="5" xfId="0" applyNumberFormat="1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2" fontId="12" fillId="13" borderId="5" xfId="0" applyNumberFormat="1" applyFont="1" applyFill="1" applyBorder="1" applyAlignment="1">
      <alignment horizontal="center" vertical="center"/>
    </xf>
    <xf numFmtId="1" fontId="12" fillId="13" borderId="5" xfId="0" applyNumberFormat="1" applyFont="1" applyFill="1" applyBorder="1" applyAlignment="1">
      <alignment horizontal="center" vertical="center"/>
    </xf>
    <xf numFmtId="2" fontId="32" fillId="13" borderId="5" xfId="0" applyNumberFormat="1" applyFont="1" applyFill="1" applyBorder="1" applyAlignment="1">
      <alignment horizontal="center" vertical="center"/>
    </xf>
    <xf numFmtId="1" fontId="32" fillId="13" borderId="5" xfId="0" applyNumberFormat="1" applyFont="1" applyFill="1" applyBorder="1" applyAlignment="1">
      <alignment horizontal="center" vertical="center"/>
    </xf>
    <xf numFmtId="173" fontId="12" fillId="3" borderId="5" xfId="0" applyNumberFormat="1" applyFont="1" applyFill="1" applyBorder="1" applyAlignment="1">
      <alignment horizontal="center" vertical="center"/>
    </xf>
    <xf numFmtId="1" fontId="12" fillId="14" borderId="5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15" borderId="5" xfId="0" applyFont="1" applyFill="1" applyBorder="1" applyAlignment="1">
      <alignment horizontal="center" vertical="center"/>
    </xf>
    <xf numFmtId="0" fontId="32" fillId="9" borderId="5" xfId="0" applyFont="1" applyFill="1" applyBorder="1" applyAlignment="1">
      <alignment horizontal="center" vertical="center"/>
    </xf>
    <xf numFmtId="0" fontId="12" fillId="16" borderId="5" xfId="0" applyFont="1" applyFill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17" borderId="5" xfId="0" applyFont="1" applyFill="1" applyBorder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4" fontId="39" fillId="2" borderId="5" xfId="0" applyNumberFormat="1" applyFont="1" applyFill="1" applyBorder="1" applyAlignment="1">
      <alignment horizontal="center" vertical="center" wrapText="1"/>
    </xf>
    <xf numFmtId="1" fontId="39" fillId="2" borderId="5" xfId="0" applyNumberFormat="1" applyFont="1" applyFill="1" applyBorder="1" applyAlignment="1">
      <alignment horizontal="center" vertical="center" wrapText="1"/>
    </xf>
    <xf numFmtId="2" fontId="39" fillId="0" borderId="5" xfId="0" applyNumberFormat="1" applyFont="1" applyBorder="1" applyAlignment="1">
      <alignment horizontal="center" vertical="center" wrapText="1"/>
    </xf>
    <xf numFmtId="2" fontId="39" fillId="9" borderId="5" xfId="0" applyNumberFormat="1" applyFont="1" applyFill="1" applyBorder="1" applyAlignment="1">
      <alignment horizontal="center" vertical="center" wrapText="1"/>
    </xf>
    <xf numFmtId="2" fontId="40" fillId="10" borderId="5" xfId="0" applyNumberFormat="1" applyFont="1" applyFill="1" applyBorder="1" applyAlignment="1">
      <alignment horizontal="center" vertical="center" wrapText="1"/>
    </xf>
    <xf numFmtId="2" fontId="40" fillId="10" borderId="1" xfId="0" applyNumberFormat="1" applyFont="1" applyFill="1" applyBorder="1" applyAlignment="1">
      <alignment horizontal="center" vertical="center" wrapText="1"/>
    </xf>
    <xf numFmtId="2" fontId="39" fillId="2" borderId="5" xfId="0" applyNumberFormat="1" applyFont="1" applyFill="1" applyBorder="1" applyAlignment="1">
      <alignment horizontal="center" vertical="center" wrapText="1"/>
    </xf>
    <xf numFmtId="0" fontId="39" fillId="2" borderId="5" xfId="0" applyFont="1" applyFill="1" applyBorder="1" applyAlignment="1">
      <alignment horizontal="center" vertical="center" wrapText="1"/>
    </xf>
    <xf numFmtId="0" fontId="41" fillId="11" borderId="5" xfId="0" applyFont="1" applyFill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 vertical="center" wrapText="1"/>
    </xf>
    <xf numFmtId="2" fontId="39" fillId="12" borderId="1" xfId="0" applyNumberFormat="1" applyFont="1" applyFill="1" applyBorder="1" applyAlignment="1">
      <alignment horizontal="center" vertical="center" wrapText="1"/>
    </xf>
    <xf numFmtId="2" fontId="39" fillId="10" borderId="5" xfId="0" applyNumberFormat="1" applyFont="1" applyFill="1" applyBorder="1" applyAlignment="1">
      <alignment horizontal="center" vertical="center" wrapText="1"/>
    </xf>
    <xf numFmtId="0" fontId="14" fillId="12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0" fontId="14" fillId="16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167" fontId="14" fillId="12" borderId="5" xfId="0" applyNumberFormat="1" applyFont="1" applyFill="1" applyBorder="1" applyAlignment="1">
      <alignment horizontal="center" vertical="center" wrapText="1"/>
    </xf>
    <xf numFmtId="0" fontId="22" fillId="12" borderId="5" xfId="0" applyFont="1" applyFill="1" applyBorder="1" applyAlignment="1">
      <alignment horizontal="center" vertical="center" wrapText="1"/>
    </xf>
    <xf numFmtId="0" fontId="14" fillId="12" borderId="2" xfId="0" applyFont="1" applyFill="1" applyBorder="1" applyAlignment="1">
      <alignment horizontal="center" vertical="center" wrapText="1"/>
    </xf>
    <xf numFmtId="0" fontId="22" fillId="12" borderId="43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2" fontId="14" fillId="6" borderId="5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14" fillId="13" borderId="4" xfId="0" applyNumberFormat="1" applyFont="1" applyFill="1" applyBorder="1" applyAlignment="1">
      <alignment horizontal="center" vertical="center" wrapText="1"/>
    </xf>
    <xf numFmtId="1" fontId="14" fillId="13" borderId="4" xfId="0" applyNumberFormat="1" applyFont="1" applyFill="1" applyBorder="1" applyAlignment="1">
      <alignment horizontal="center" vertical="center" wrapText="1"/>
    </xf>
    <xf numFmtId="0" fontId="31" fillId="13" borderId="4" xfId="0" applyFont="1" applyFill="1" applyBorder="1" applyAlignment="1">
      <alignment horizontal="center" vertical="center" wrapText="1"/>
    </xf>
    <xf numFmtId="0" fontId="14" fillId="13" borderId="4" xfId="0" applyFont="1" applyFill="1" applyBorder="1" applyAlignment="1">
      <alignment horizontal="center" vertical="center" wrapText="1"/>
    </xf>
    <xf numFmtId="2" fontId="39" fillId="13" borderId="5" xfId="0" applyNumberFormat="1" applyFont="1" applyFill="1" applyBorder="1" applyAlignment="1">
      <alignment horizontal="center" vertical="center" wrapText="1"/>
    </xf>
    <xf numFmtId="2" fontId="14" fillId="13" borderId="5" xfId="0" applyNumberFormat="1" applyFont="1" applyFill="1" applyBorder="1" applyAlignment="1">
      <alignment horizontal="center" vertical="center" wrapText="1"/>
    </xf>
    <xf numFmtId="1" fontId="39" fillId="13" borderId="5" xfId="0" applyNumberFormat="1" applyFont="1" applyFill="1" applyBorder="1" applyAlignment="1">
      <alignment horizontal="center" vertical="center" wrapText="1"/>
    </xf>
    <xf numFmtId="0" fontId="31" fillId="13" borderId="5" xfId="0" applyFont="1" applyFill="1" applyBorder="1" applyAlignment="1">
      <alignment horizontal="center" vertical="center" wrapText="1"/>
    </xf>
    <xf numFmtId="0" fontId="42" fillId="19" borderId="1" xfId="0" applyFont="1" applyFill="1" applyBorder="1" applyAlignment="1">
      <alignment horizontal="center" vertical="center" wrapText="1"/>
    </xf>
    <xf numFmtId="0" fontId="43" fillId="19" borderId="42" xfId="0" applyFont="1" applyFill="1" applyBorder="1" applyAlignment="1">
      <alignment horizontal="center" vertical="center" wrapText="1"/>
    </xf>
    <xf numFmtId="0" fontId="42" fillId="19" borderId="42" xfId="0" applyFont="1" applyFill="1" applyBorder="1" applyAlignment="1">
      <alignment horizontal="center" vertical="center" wrapText="1"/>
    </xf>
    <xf numFmtId="0" fontId="44" fillId="19" borderId="3" xfId="0" applyFont="1" applyFill="1" applyBorder="1"/>
    <xf numFmtId="2" fontId="45" fillId="19" borderId="3" xfId="0" applyNumberFormat="1" applyFont="1" applyFill="1" applyBorder="1" applyAlignment="1">
      <alignment horizontal="center" vertical="center"/>
    </xf>
    <xf numFmtId="0" fontId="12" fillId="0" borderId="0" xfId="0" applyFont="1"/>
    <xf numFmtId="0" fontId="39" fillId="20" borderId="5" xfId="0" applyFont="1" applyFill="1" applyBorder="1" applyAlignment="1">
      <alignment horizontal="left" vertical="center"/>
    </xf>
    <xf numFmtId="0" fontId="39" fillId="20" borderId="5" xfId="0" applyFont="1" applyFill="1" applyBorder="1" applyAlignment="1">
      <alignment horizontal="center" vertical="center"/>
    </xf>
    <xf numFmtId="2" fontId="39" fillId="20" borderId="5" xfId="0" applyNumberFormat="1" applyFont="1" applyFill="1" applyBorder="1" applyAlignment="1">
      <alignment horizontal="center" vertical="center"/>
    </xf>
    <xf numFmtId="1" fontId="39" fillId="3" borderId="5" xfId="0" applyNumberFormat="1" applyFont="1" applyFill="1" applyBorder="1" applyAlignment="1">
      <alignment horizontal="center" vertical="center"/>
    </xf>
    <xf numFmtId="167" fontId="39" fillId="20" borderId="5" xfId="0" applyNumberFormat="1" applyFont="1" applyFill="1" applyBorder="1" applyAlignment="1">
      <alignment horizontal="center" vertical="center"/>
    </xf>
    <xf numFmtId="172" fontId="39" fillId="20" borderId="5" xfId="0" applyNumberFormat="1" applyFont="1" applyFill="1" applyBorder="1" applyAlignment="1">
      <alignment horizontal="center" vertical="center"/>
    </xf>
    <xf numFmtId="2" fontId="11" fillId="20" borderId="5" xfId="0" applyNumberFormat="1" applyFont="1" applyFill="1" applyBorder="1" applyAlignment="1">
      <alignment horizontal="center" vertical="center"/>
    </xf>
    <xf numFmtId="1" fontId="39" fillId="20" borderId="5" xfId="0" applyNumberFormat="1" applyFont="1" applyFill="1" applyBorder="1" applyAlignment="1">
      <alignment horizontal="center" vertical="center"/>
    </xf>
    <xf numFmtId="171" fontId="39" fillId="20" borderId="5" xfId="0" applyNumberFormat="1" applyFont="1" applyFill="1" applyBorder="1" applyAlignment="1">
      <alignment horizontal="center" vertical="center"/>
    </xf>
    <xf numFmtId="173" fontId="32" fillId="3" borderId="5" xfId="0" applyNumberFormat="1" applyFont="1" applyFill="1" applyBorder="1" applyAlignment="1">
      <alignment horizontal="center" vertical="center"/>
    </xf>
    <xf numFmtId="1" fontId="11" fillId="20" borderId="5" xfId="0" applyNumberFormat="1" applyFont="1" applyFill="1" applyBorder="1" applyAlignment="1">
      <alignment horizontal="center" vertical="center"/>
    </xf>
    <xf numFmtId="0" fontId="46" fillId="20" borderId="5" xfId="0" applyFont="1" applyFill="1" applyBorder="1" applyAlignment="1">
      <alignment horizontal="center" vertical="center"/>
    </xf>
    <xf numFmtId="0" fontId="32" fillId="15" borderId="5" xfId="0" applyFont="1" applyFill="1" applyBorder="1" applyAlignment="1">
      <alignment horizontal="center" vertical="center"/>
    </xf>
    <xf numFmtId="0" fontId="11" fillId="20" borderId="0" xfId="0" applyFont="1" applyFill="1" applyAlignment="1">
      <alignment horizontal="center" vertical="center"/>
    </xf>
    <xf numFmtId="0" fontId="11" fillId="17" borderId="0" xfId="0" applyFont="1" applyFill="1" applyAlignment="1">
      <alignment horizontal="center" vertical="center"/>
    </xf>
    <xf numFmtId="0" fontId="14" fillId="20" borderId="5" xfId="0" applyFont="1" applyFill="1" applyBorder="1" applyAlignment="1">
      <alignment horizontal="left" vertical="center"/>
    </xf>
    <xf numFmtId="0" fontId="14" fillId="20" borderId="5" xfId="0" applyFont="1" applyFill="1" applyBorder="1" applyAlignment="1">
      <alignment horizontal="center" vertical="center"/>
    </xf>
    <xf numFmtId="2" fontId="14" fillId="20" borderId="5" xfId="0" applyNumberFormat="1" applyFont="1" applyFill="1" applyBorder="1" applyAlignment="1">
      <alignment horizontal="center" vertical="center"/>
    </xf>
    <xf numFmtId="167" fontId="14" fillId="20" borderId="5" xfId="0" applyNumberFormat="1" applyFont="1" applyFill="1" applyBorder="1" applyAlignment="1">
      <alignment horizontal="center" vertical="center"/>
    </xf>
    <xf numFmtId="172" fontId="14" fillId="20" borderId="5" xfId="0" applyNumberFormat="1" applyFont="1" applyFill="1" applyBorder="1" applyAlignment="1">
      <alignment horizontal="center" vertical="center"/>
    </xf>
    <xf numFmtId="1" fontId="14" fillId="20" borderId="5" xfId="0" applyNumberFormat="1" applyFont="1" applyFill="1" applyBorder="1" applyAlignment="1">
      <alignment horizontal="center" vertical="center"/>
    </xf>
    <xf numFmtId="171" fontId="14" fillId="20" borderId="5" xfId="0" applyNumberFormat="1" applyFont="1" applyFill="1" applyBorder="1" applyAlignment="1">
      <alignment horizontal="center" vertical="center"/>
    </xf>
    <xf numFmtId="1" fontId="0" fillId="20" borderId="5" xfId="0" applyNumberFormat="1" applyFill="1" applyBorder="1" applyAlignment="1">
      <alignment horizontal="center" vertical="center"/>
    </xf>
    <xf numFmtId="0" fontId="47" fillId="20" borderId="5" xfId="0" applyFont="1" applyFill="1" applyBorder="1" applyAlignment="1">
      <alignment horizontal="center" vertical="center"/>
    </xf>
    <xf numFmtId="0" fontId="0" fillId="20" borderId="0" xfId="0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14" fillId="21" borderId="5" xfId="0" applyFont="1" applyFill="1" applyBorder="1" applyAlignment="1">
      <alignment horizontal="left" vertical="center"/>
    </xf>
    <xf numFmtId="0" fontId="14" fillId="21" borderId="5" xfId="0" applyFont="1" applyFill="1" applyBorder="1" applyAlignment="1">
      <alignment horizontal="center" vertical="center"/>
    </xf>
    <xf numFmtId="2" fontId="39" fillId="21" borderId="5" xfId="0" applyNumberFormat="1" applyFont="1" applyFill="1" applyBorder="1" applyAlignment="1">
      <alignment horizontal="center" vertical="center"/>
    </xf>
    <xf numFmtId="1" fontId="14" fillId="3" borderId="5" xfId="0" applyNumberFormat="1" applyFont="1" applyFill="1" applyBorder="1" applyAlignment="1">
      <alignment horizontal="center" vertical="center"/>
    </xf>
    <xf numFmtId="167" fontId="14" fillId="21" borderId="5" xfId="0" applyNumberFormat="1" applyFont="1" applyFill="1" applyBorder="1" applyAlignment="1">
      <alignment horizontal="center" vertical="center"/>
    </xf>
    <xf numFmtId="172" fontId="14" fillId="21" borderId="5" xfId="0" applyNumberFormat="1" applyFont="1" applyFill="1" applyBorder="1" applyAlignment="1">
      <alignment horizontal="center" vertical="center"/>
    </xf>
    <xf numFmtId="166" fontId="14" fillId="21" borderId="5" xfId="0" applyNumberFormat="1" applyFont="1" applyFill="1" applyBorder="1" applyAlignment="1">
      <alignment horizontal="center" vertical="center"/>
    </xf>
    <xf numFmtId="2" fontId="11" fillId="21" borderId="5" xfId="0" applyNumberFormat="1" applyFont="1" applyFill="1" applyBorder="1" applyAlignment="1">
      <alignment horizontal="center" vertical="center"/>
    </xf>
    <xf numFmtId="2" fontId="14" fillId="21" borderId="5" xfId="0" applyNumberFormat="1" applyFont="1" applyFill="1" applyBorder="1" applyAlignment="1">
      <alignment horizontal="center" vertical="center"/>
    </xf>
    <xf numFmtId="1" fontId="14" fillId="21" borderId="5" xfId="0" applyNumberFormat="1" applyFont="1" applyFill="1" applyBorder="1" applyAlignment="1">
      <alignment horizontal="center" vertical="center"/>
    </xf>
    <xf numFmtId="171" fontId="14" fillId="21" borderId="5" xfId="0" applyNumberFormat="1" applyFont="1" applyFill="1" applyBorder="1" applyAlignment="1">
      <alignment horizontal="center" vertical="center"/>
    </xf>
    <xf numFmtId="173" fontId="12" fillId="21" borderId="5" xfId="0" applyNumberFormat="1" applyFont="1" applyFill="1" applyBorder="1" applyAlignment="1">
      <alignment horizontal="center" vertical="center"/>
    </xf>
    <xf numFmtId="1" fontId="0" fillId="21" borderId="5" xfId="0" applyNumberFormat="1" applyFill="1" applyBorder="1" applyAlignment="1">
      <alignment horizontal="center" vertical="center"/>
    </xf>
    <xf numFmtId="0" fontId="47" fillId="21" borderId="5" xfId="0" applyFont="1" applyFill="1" applyBorder="1" applyAlignment="1">
      <alignment horizontal="center" vertical="center"/>
    </xf>
    <xf numFmtId="0" fontId="32" fillId="21" borderId="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48" fillId="22" borderId="5" xfId="0" applyFont="1" applyFill="1" applyBorder="1" applyAlignment="1">
      <alignment horizontal="left" vertical="center"/>
    </xf>
    <xf numFmtId="0" fontId="14" fillId="22" borderId="5" xfId="0" applyFont="1" applyFill="1" applyBorder="1" applyAlignment="1">
      <alignment horizontal="center" vertical="center"/>
    </xf>
    <xf numFmtId="2" fontId="39" fillId="22" borderId="5" xfId="0" applyNumberFormat="1" applyFont="1" applyFill="1" applyBorder="1" applyAlignment="1">
      <alignment horizontal="center" vertical="center"/>
    </xf>
    <xf numFmtId="1" fontId="14" fillId="22" borderId="5" xfId="0" applyNumberFormat="1" applyFont="1" applyFill="1" applyBorder="1" applyAlignment="1">
      <alignment horizontal="center" vertical="center"/>
    </xf>
    <xf numFmtId="167" fontId="14" fillId="22" borderId="5" xfId="0" applyNumberFormat="1" applyFont="1" applyFill="1" applyBorder="1" applyAlignment="1">
      <alignment horizontal="center" vertical="center"/>
    </xf>
    <xf numFmtId="172" fontId="14" fillId="22" borderId="5" xfId="0" applyNumberFormat="1" applyFont="1" applyFill="1" applyBorder="1" applyAlignment="1">
      <alignment horizontal="center" vertical="center"/>
    </xf>
    <xf numFmtId="166" fontId="14" fillId="22" borderId="5" xfId="0" applyNumberFormat="1" applyFont="1" applyFill="1" applyBorder="1" applyAlignment="1">
      <alignment horizontal="center" vertical="center"/>
    </xf>
    <xf numFmtId="0" fontId="22" fillId="22" borderId="5" xfId="0" applyFont="1" applyFill="1" applyBorder="1" applyAlignment="1">
      <alignment horizontal="center" vertical="center"/>
    </xf>
    <xf numFmtId="0" fontId="14" fillId="22" borderId="2" xfId="0" applyFont="1" applyFill="1" applyBorder="1" applyAlignment="1">
      <alignment horizontal="center" vertical="center"/>
    </xf>
    <xf numFmtId="0" fontId="14" fillId="22" borderId="39" xfId="0" applyFont="1" applyFill="1" applyBorder="1" applyAlignment="1">
      <alignment horizontal="center" vertical="center"/>
    </xf>
    <xf numFmtId="0" fontId="14" fillId="22" borderId="3" xfId="0" applyFont="1" applyFill="1" applyBorder="1" applyAlignment="1">
      <alignment horizontal="center" vertical="center"/>
    </xf>
    <xf numFmtId="2" fontId="49" fillId="22" borderId="2" xfId="0" applyNumberFormat="1" applyFont="1" applyFill="1" applyBorder="1" applyAlignment="1">
      <alignment horizontal="center" vertical="center"/>
    </xf>
    <xf numFmtId="0" fontId="47" fillId="22" borderId="5" xfId="0" applyFont="1" applyFill="1" applyBorder="1" applyAlignment="1">
      <alignment horizontal="center" vertical="center" wrapText="1"/>
    </xf>
    <xf numFmtId="2" fontId="49" fillId="22" borderId="39" xfId="0" applyNumberFormat="1" applyFont="1" applyFill="1" applyBorder="1" applyAlignment="1">
      <alignment horizontal="center" vertical="center"/>
    </xf>
    <xf numFmtId="2" fontId="49" fillId="22" borderId="3" xfId="0" applyNumberFormat="1" applyFont="1" applyFill="1" applyBorder="1" applyAlignment="1">
      <alignment horizontal="center" vertical="center"/>
    </xf>
    <xf numFmtId="2" fontId="14" fillId="22" borderId="5" xfId="0" applyNumberFormat="1" applyFont="1" applyFill="1" applyBorder="1" applyAlignment="1">
      <alignment horizontal="center" vertical="center"/>
    </xf>
    <xf numFmtId="2" fontId="12" fillId="22" borderId="5" xfId="0" applyNumberFormat="1" applyFont="1" applyFill="1" applyBorder="1" applyAlignment="1">
      <alignment horizontal="center" vertical="center"/>
    </xf>
    <xf numFmtId="1" fontId="12" fillId="22" borderId="5" xfId="0" applyNumberFormat="1" applyFont="1" applyFill="1" applyBorder="1" applyAlignment="1">
      <alignment horizontal="center" vertical="center"/>
    </xf>
    <xf numFmtId="2" fontId="11" fillId="22" borderId="5" xfId="0" applyNumberFormat="1" applyFont="1" applyFill="1" applyBorder="1" applyAlignment="1">
      <alignment horizontal="center" vertical="center"/>
    </xf>
    <xf numFmtId="1" fontId="0" fillId="22" borderId="5" xfId="0" applyNumberFormat="1" applyFill="1" applyBorder="1" applyAlignment="1">
      <alignment horizontal="center" vertical="center"/>
    </xf>
    <xf numFmtId="0" fontId="47" fillId="22" borderId="5" xfId="0" applyFont="1" applyFill="1" applyBorder="1" applyAlignment="1">
      <alignment horizontal="center" vertical="center"/>
    </xf>
    <xf numFmtId="0" fontId="0" fillId="22" borderId="5" xfId="0" applyFill="1" applyBorder="1" applyAlignment="1">
      <alignment horizontal="center" vertical="center"/>
    </xf>
    <xf numFmtId="0" fontId="32" fillId="22" borderId="5" xfId="0" applyFont="1" applyFill="1" applyBorder="1" applyAlignment="1">
      <alignment horizontal="center" vertical="center"/>
    </xf>
    <xf numFmtId="0" fontId="12" fillId="22" borderId="5" xfId="0" applyFont="1" applyFill="1" applyBorder="1" applyAlignment="1">
      <alignment horizontal="center" vertical="center"/>
    </xf>
    <xf numFmtId="0" fontId="0" fillId="22" borderId="0" xfId="0" applyFill="1" applyAlignment="1">
      <alignment horizontal="center" vertical="center"/>
    </xf>
    <xf numFmtId="1" fontId="32" fillId="3" borderId="5" xfId="0" applyNumberFormat="1" applyFont="1" applyFill="1" applyBorder="1" applyAlignment="1">
      <alignment horizontal="center" vertical="center" wrapText="1"/>
    </xf>
    <xf numFmtId="0" fontId="8" fillId="23" borderId="5" xfId="0" applyFont="1" applyFill="1" applyBorder="1" applyAlignment="1">
      <alignment horizontal="center" vertical="center"/>
    </xf>
    <xf numFmtId="2" fontId="8" fillId="23" borderId="5" xfId="0" applyNumberFormat="1" applyFont="1" applyFill="1" applyBorder="1" applyAlignment="1">
      <alignment horizontal="center" vertical="center"/>
    </xf>
    <xf numFmtId="167" fontId="8" fillId="23" borderId="5" xfId="0" applyNumberFormat="1" applyFont="1" applyFill="1" applyBorder="1" applyAlignment="1">
      <alignment horizontal="center" vertical="center"/>
    </xf>
    <xf numFmtId="1" fontId="8" fillId="23" borderId="5" xfId="0" applyNumberFormat="1" applyFont="1" applyFill="1" applyBorder="1" applyAlignment="1">
      <alignment horizontal="center" vertical="center"/>
    </xf>
    <xf numFmtId="0" fontId="40" fillId="23" borderId="5" xfId="0" applyFont="1" applyFill="1" applyBorder="1" applyAlignment="1">
      <alignment horizontal="center" vertical="center"/>
    </xf>
    <xf numFmtId="0" fontId="35" fillId="23" borderId="0" xfId="0" applyFont="1" applyFill="1" applyAlignment="1">
      <alignment horizontal="center" vertical="center"/>
    </xf>
    <xf numFmtId="0" fontId="14" fillId="16" borderId="43" xfId="0" applyFont="1" applyFill="1" applyBorder="1" applyAlignment="1">
      <alignment horizontal="center" vertical="center"/>
    </xf>
    <xf numFmtId="2" fontId="39" fillId="16" borderId="43" xfId="0" applyNumberFormat="1" applyFont="1" applyFill="1" applyBorder="1" applyAlignment="1">
      <alignment horizontal="center" vertical="center"/>
    </xf>
    <xf numFmtId="1" fontId="14" fillId="16" borderId="43" xfId="0" applyNumberFormat="1" applyFont="1" applyFill="1" applyBorder="1" applyAlignment="1">
      <alignment horizontal="center" vertical="center"/>
    </xf>
    <xf numFmtId="167" fontId="14" fillId="16" borderId="43" xfId="0" applyNumberFormat="1" applyFont="1" applyFill="1" applyBorder="1" applyAlignment="1">
      <alignment horizontal="center" vertical="center"/>
    </xf>
    <xf numFmtId="172" fontId="14" fillId="16" borderId="43" xfId="0" applyNumberFormat="1" applyFont="1" applyFill="1" applyBorder="1" applyAlignment="1">
      <alignment horizontal="center" vertical="center"/>
    </xf>
    <xf numFmtId="166" fontId="14" fillId="16" borderId="43" xfId="0" applyNumberFormat="1" applyFont="1" applyFill="1" applyBorder="1" applyAlignment="1">
      <alignment horizontal="center" vertical="center"/>
    </xf>
    <xf numFmtId="0" fontId="22" fillId="16" borderId="43" xfId="0" applyFont="1" applyFill="1" applyBorder="1" applyAlignment="1">
      <alignment horizontal="center" vertical="center"/>
    </xf>
    <xf numFmtId="2" fontId="14" fillId="16" borderId="43" xfId="0" applyNumberFormat="1" applyFont="1" applyFill="1" applyBorder="1" applyAlignment="1">
      <alignment horizontal="center" vertical="center"/>
    </xf>
    <xf numFmtId="2" fontId="12" fillId="16" borderId="43" xfId="0" applyNumberFormat="1" applyFont="1" applyFill="1" applyBorder="1" applyAlignment="1">
      <alignment horizontal="center" vertical="center"/>
    </xf>
    <xf numFmtId="1" fontId="12" fillId="16" borderId="43" xfId="0" applyNumberFormat="1" applyFont="1" applyFill="1" applyBorder="1" applyAlignment="1">
      <alignment horizontal="center" vertical="center"/>
    </xf>
    <xf numFmtId="2" fontId="11" fillId="16" borderId="43" xfId="0" applyNumberFormat="1" applyFont="1" applyFill="1" applyBorder="1" applyAlignment="1">
      <alignment horizontal="center" vertical="center"/>
    </xf>
    <xf numFmtId="2" fontId="39" fillId="16" borderId="3" xfId="0" applyNumberFormat="1" applyFont="1" applyFill="1" applyBorder="1" applyAlignment="1">
      <alignment horizontal="center" vertical="center"/>
    </xf>
    <xf numFmtId="0" fontId="22" fillId="16" borderId="5" xfId="0" applyFont="1" applyFill="1" applyBorder="1" applyAlignment="1">
      <alignment horizontal="center" vertical="center"/>
    </xf>
    <xf numFmtId="1" fontId="0" fillId="16" borderId="5" xfId="0" applyNumberFormat="1" applyFill="1" applyBorder="1" applyAlignment="1">
      <alignment horizontal="center" vertical="center"/>
    </xf>
    <xf numFmtId="0" fontId="47" fillId="16" borderId="5" xfId="0" applyFont="1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14" fillId="20" borderId="43" xfId="0" applyFont="1" applyFill="1" applyBorder="1" applyAlignment="1">
      <alignment vertical="center"/>
    </xf>
    <xf numFmtId="2" fontId="39" fillId="20" borderId="43" xfId="0" applyNumberFormat="1" applyFont="1" applyFill="1" applyBorder="1" applyAlignment="1">
      <alignment horizontal="center" vertical="center"/>
    </xf>
    <xf numFmtId="0" fontId="14" fillId="20" borderId="43" xfId="0" applyFont="1" applyFill="1" applyBorder="1" applyAlignment="1">
      <alignment horizontal="center" vertical="center"/>
    </xf>
    <xf numFmtId="1" fontId="14" fillId="20" borderId="43" xfId="0" applyNumberFormat="1" applyFont="1" applyFill="1" applyBorder="1" applyAlignment="1">
      <alignment horizontal="center" vertical="center"/>
    </xf>
    <xf numFmtId="167" fontId="14" fillId="20" borderId="43" xfId="0" applyNumberFormat="1" applyFont="1" applyFill="1" applyBorder="1" applyAlignment="1">
      <alignment horizontal="center" vertical="center"/>
    </xf>
    <xf numFmtId="172" fontId="14" fillId="20" borderId="43" xfId="0" applyNumberFormat="1" applyFont="1" applyFill="1" applyBorder="1" applyAlignment="1">
      <alignment horizontal="center" vertical="center"/>
    </xf>
    <xf numFmtId="166" fontId="14" fillId="20" borderId="43" xfId="0" applyNumberFormat="1" applyFont="1" applyFill="1" applyBorder="1" applyAlignment="1">
      <alignment horizontal="center" vertical="center"/>
    </xf>
    <xf numFmtId="2" fontId="14" fillId="20" borderId="43" xfId="0" applyNumberFormat="1" applyFont="1" applyFill="1" applyBorder="1" applyAlignment="1">
      <alignment horizontal="center" vertical="center"/>
    </xf>
    <xf numFmtId="171" fontId="14" fillId="20" borderId="43" xfId="0" applyNumberFormat="1" applyFont="1" applyFill="1" applyBorder="1" applyAlignment="1">
      <alignment horizontal="center" vertical="center"/>
    </xf>
    <xf numFmtId="2" fontId="11" fillId="20" borderId="43" xfId="0" applyNumberFormat="1" applyFont="1" applyFill="1" applyBorder="1" applyAlignment="1">
      <alignment horizontal="center" vertical="center"/>
    </xf>
    <xf numFmtId="2" fontId="12" fillId="20" borderId="43" xfId="0" applyNumberFormat="1" applyFont="1" applyFill="1" applyBorder="1" applyAlignment="1">
      <alignment horizontal="center" vertical="center"/>
    </xf>
    <xf numFmtId="1" fontId="12" fillId="20" borderId="43" xfId="0" applyNumberFormat="1" applyFont="1" applyFill="1" applyBorder="1" applyAlignment="1">
      <alignment horizontal="center" vertical="center"/>
    </xf>
    <xf numFmtId="2" fontId="39" fillId="20" borderId="0" xfId="0" applyNumberFormat="1" applyFont="1" applyFill="1" applyAlignment="1">
      <alignment horizontal="center" vertical="center"/>
    </xf>
    <xf numFmtId="0" fontId="22" fillId="20" borderId="5" xfId="0" applyFont="1" applyFill="1" applyBorder="1" applyAlignment="1">
      <alignment horizontal="center" vertical="center"/>
    </xf>
    <xf numFmtId="0" fontId="0" fillId="20" borderId="5" xfId="0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164" fontId="32" fillId="2" borderId="43" xfId="0" applyNumberFormat="1" applyFont="1" applyFill="1" applyBorder="1" applyAlignment="1">
      <alignment horizontal="center" vertical="center" wrapText="1"/>
    </xf>
    <xf numFmtId="1" fontId="32" fillId="2" borderId="43" xfId="0" applyNumberFormat="1" applyFont="1" applyFill="1" applyBorder="1" applyAlignment="1">
      <alignment horizontal="center" vertical="center" wrapText="1"/>
    </xf>
    <xf numFmtId="2" fontId="32" fillId="0" borderId="43" xfId="0" applyNumberFormat="1" applyFont="1" applyBorder="1" applyAlignment="1">
      <alignment horizontal="center" vertical="center" wrapText="1"/>
    </xf>
    <xf numFmtId="2" fontId="32" fillId="9" borderId="43" xfId="0" applyNumberFormat="1" applyFont="1" applyFill="1" applyBorder="1" applyAlignment="1">
      <alignment horizontal="center" vertical="center" wrapText="1"/>
    </xf>
    <xf numFmtId="2" fontId="33" fillId="10" borderId="43" xfId="0" applyNumberFormat="1" applyFont="1" applyFill="1" applyBorder="1" applyAlignment="1">
      <alignment horizontal="center" vertical="center" wrapText="1"/>
    </xf>
    <xf numFmtId="0" fontId="32" fillId="2" borderId="43" xfId="0" applyFont="1" applyFill="1" applyBorder="1" applyAlignment="1">
      <alignment horizontal="center" vertical="center" wrapText="1"/>
    </xf>
    <xf numFmtId="0" fontId="10" fillId="11" borderId="43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2" fontId="32" fillId="12" borderId="43" xfId="0" applyNumberFormat="1" applyFont="1" applyFill="1" applyBorder="1" applyAlignment="1">
      <alignment horizontal="center" vertical="center" wrapText="1"/>
    </xf>
    <xf numFmtId="2" fontId="32" fillId="10" borderId="43" xfId="0" applyNumberFormat="1" applyFont="1" applyFill="1" applyBorder="1" applyAlignment="1">
      <alignment horizontal="center" vertical="center" wrapText="1"/>
    </xf>
    <xf numFmtId="0" fontId="12" fillId="12" borderId="43" xfId="0" applyFont="1" applyFill="1" applyBorder="1" applyAlignment="1">
      <alignment horizontal="center" vertical="center"/>
    </xf>
    <xf numFmtId="167" fontId="12" fillId="12" borderId="43" xfId="0" applyNumberFormat="1" applyFont="1" applyFill="1" applyBorder="1" applyAlignment="1">
      <alignment horizontal="center" vertical="center"/>
    </xf>
    <xf numFmtId="2" fontId="12" fillId="12" borderId="43" xfId="0" applyNumberFormat="1" applyFont="1" applyFill="1" applyBorder="1" applyAlignment="1">
      <alignment horizontal="center" vertical="center"/>
    </xf>
    <xf numFmtId="0" fontId="34" fillId="12" borderId="43" xfId="0" applyFont="1" applyFill="1" applyBorder="1" applyAlignment="1">
      <alignment horizontal="center" vertical="center"/>
    </xf>
    <xf numFmtId="172" fontId="12" fillId="11" borderId="43" xfId="0" applyNumberFormat="1" applyFont="1" applyFill="1" applyBorder="1" applyAlignment="1">
      <alignment horizontal="center" vertical="center"/>
    </xf>
    <xf numFmtId="2" fontId="12" fillId="11" borderId="43" xfId="0" applyNumberFormat="1" applyFont="1" applyFill="1" applyBorder="1" applyAlignment="1">
      <alignment horizontal="center" vertical="center"/>
    </xf>
    <xf numFmtId="0" fontId="34" fillId="11" borderId="43" xfId="0" applyFont="1" applyFill="1" applyBorder="1" applyAlignment="1">
      <alignment horizontal="center" vertical="center"/>
    </xf>
    <xf numFmtId="2" fontId="12" fillId="6" borderId="43" xfId="0" applyNumberFormat="1" applyFont="1" applyFill="1" applyBorder="1" applyAlignment="1">
      <alignment horizontal="center" vertical="center"/>
    </xf>
    <xf numFmtId="0" fontId="12" fillId="6" borderId="43" xfId="0" applyFont="1" applyFill="1" applyBorder="1" applyAlignment="1">
      <alignment horizontal="center" vertical="center"/>
    </xf>
    <xf numFmtId="0" fontId="34" fillId="6" borderId="43" xfId="0" applyFont="1" applyFill="1" applyBorder="1" applyAlignment="1">
      <alignment horizontal="center" vertical="center"/>
    </xf>
    <xf numFmtId="2" fontId="35" fillId="2" borderId="43" xfId="0" applyNumberFormat="1" applyFont="1" applyFill="1" applyBorder="1" applyAlignment="1">
      <alignment horizontal="center" vertical="center"/>
    </xf>
    <xf numFmtId="171" fontId="36" fillId="13" borderId="43" xfId="0" applyNumberFormat="1" applyFont="1" applyFill="1" applyBorder="1" applyAlignment="1">
      <alignment horizontal="center" vertical="center"/>
    </xf>
    <xf numFmtId="0" fontId="36" fillId="13" borderId="43" xfId="0" applyFont="1" applyFill="1" applyBorder="1" applyAlignment="1">
      <alignment horizontal="center" vertical="center"/>
    </xf>
    <xf numFmtId="0" fontId="7" fillId="13" borderId="43" xfId="0" applyFont="1" applyFill="1" applyBorder="1" applyAlignment="1">
      <alignment horizontal="center" vertical="center"/>
    </xf>
    <xf numFmtId="0" fontId="12" fillId="13" borderId="43" xfId="0" applyFont="1" applyFill="1" applyBorder="1" applyAlignment="1">
      <alignment horizontal="center" vertical="center"/>
    </xf>
    <xf numFmtId="2" fontId="12" fillId="13" borderId="43" xfId="0" applyNumberFormat="1" applyFont="1" applyFill="1" applyBorder="1" applyAlignment="1">
      <alignment horizontal="center" vertical="center"/>
    </xf>
    <xf numFmtId="1" fontId="12" fillId="13" borderId="43" xfId="0" applyNumberFormat="1" applyFont="1" applyFill="1" applyBorder="1" applyAlignment="1">
      <alignment horizontal="center" vertical="center"/>
    </xf>
    <xf numFmtId="2" fontId="32" fillId="13" borderId="43" xfId="0" applyNumberFormat="1" applyFont="1" applyFill="1" applyBorder="1" applyAlignment="1">
      <alignment horizontal="center" vertical="center"/>
    </xf>
    <xf numFmtId="1" fontId="32" fillId="13" borderId="43" xfId="0" applyNumberFormat="1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7" fillId="11" borderId="43" xfId="0" applyFont="1" applyFill="1" applyBorder="1" applyAlignment="1">
      <alignment horizontal="center" vertical="center" wrapText="1"/>
    </xf>
    <xf numFmtId="0" fontId="14" fillId="20" borderId="43" xfId="0" applyFont="1" applyFill="1" applyBorder="1" applyAlignment="1">
      <alignment horizontal="left" vertical="center"/>
    </xf>
    <xf numFmtId="0" fontId="0" fillId="20" borderId="43" xfId="0" applyFill="1" applyBorder="1" applyAlignment="1">
      <alignment horizontal="center" vertical="center"/>
    </xf>
    <xf numFmtId="0" fontId="14" fillId="6" borderId="43" xfId="0" applyFont="1" applyFill="1" applyBorder="1" applyAlignment="1">
      <alignment horizontal="left" vertical="center"/>
    </xf>
    <xf numFmtId="0" fontId="14" fillId="6" borderId="43" xfId="0" applyFont="1" applyFill="1" applyBorder="1" applyAlignment="1">
      <alignment horizontal="center" vertical="center"/>
    </xf>
    <xf numFmtId="2" fontId="39" fillId="6" borderId="43" xfId="0" applyNumberFormat="1" applyFont="1" applyFill="1" applyBorder="1" applyAlignment="1">
      <alignment horizontal="center" vertical="center"/>
    </xf>
    <xf numFmtId="1" fontId="14" fillId="6" borderId="43" xfId="0" applyNumberFormat="1" applyFont="1" applyFill="1" applyBorder="1" applyAlignment="1">
      <alignment horizontal="center" vertical="center"/>
    </xf>
    <xf numFmtId="167" fontId="14" fillId="6" borderId="43" xfId="0" applyNumberFormat="1" applyFont="1" applyFill="1" applyBorder="1" applyAlignment="1">
      <alignment horizontal="center" vertical="center"/>
    </xf>
    <xf numFmtId="172" fontId="14" fillId="6" borderId="43" xfId="0" applyNumberFormat="1" applyFont="1" applyFill="1" applyBorder="1" applyAlignment="1">
      <alignment horizontal="center" vertical="center"/>
    </xf>
    <xf numFmtId="2" fontId="14" fillId="6" borderId="43" xfId="0" applyNumberFormat="1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 vertical="center"/>
    </xf>
    <xf numFmtId="2" fontId="13" fillId="6" borderId="43" xfId="0" applyNumberFormat="1" applyFont="1" applyFill="1" applyBorder="1" applyAlignment="1">
      <alignment horizontal="center" vertical="center"/>
    </xf>
    <xf numFmtId="1" fontId="6" fillId="6" borderId="5" xfId="0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10" fillId="2" borderId="43" xfId="0" applyFont="1" applyFill="1" applyBorder="1" applyAlignment="1">
      <alignment horizontal="center" vertical="center" wrapText="1"/>
    </xf>
    <xf numFmtId="2" fontId="39" fillId="20" borderId="3" xfId="0" applyNumberFormat="1" applyFont="1" applyFill="1" applyBorder="1" applyAlignment="1">
      <alignment horizontal="center" vertical="center"/>
    </xf>
    <xf numFmtId="0" fontId="12" fillId="20" borderId="0" xfId="0" applyFont="1" applyFill="1" applyAlignment="1">
      <alignment horizontal="center" vertical="center"/>
    </xf>
    <xf numFmtId="1" fontId="47" fillId="0" borderId="43" xfId="0" applyNumberFormat="1" applyFont="1" applyBorder="1" applyAlignment="1">
      <alignment horizontal="center" vertical="center"/>
    </xf>
    <xf numFmtId="2" fontId="32" fillId="2" borderId="43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164" fontId="32" fillId="2" borderId="4" xfId="0" applyNumberFormat="1" applyFont="1" applyFill="1" applyBorder="1" applyAlignment="1">
      <alignment horizontal="center" vertical="center" wrapText="1"/>
    </xf>
    <xf numFmtId="1" fontId="32" fillId="2" borderId="4" xfId="0" applyNumberFormat="1" applyFont="1" applyFill="1" applyBorder="1" applyAlignment="1">
      <alignment horizontal="center" vertical="center" wrapText="1"/>
    </xf>
    <xf numFmtId="2" fontId="32" fillId="2" borderId="4" xfId="0" applyNumberFormat="1" applyFont="1" applyFill="1" applyBorder="1" applyAlignment="1">
      <alignment horizontal="center" vertical="center" wrapText="1"/>
    </xf>
    <xf numFmtId="2" fontId="32" fillId="9" borderId="4" xfId="0" applyNumberFormat="1" applyFont="1" applyFill="1" applyBorder="1" applyAlignment="1">
      <alignment horizontal="center" vertical="center" wrapText="1"/>
    </xf>
    <xf numFmtId="2" fontId="33" fillId="10" borderId="4" xfId="0" applyNumberFormat="1" applyFont="1" applyFill="1" applyBorder="1" applyAlignment="1">
      <alignment horizontal="center" vertical="center" wrapText="1"/>
    </xf>
    <xf numFmtId="2" fontId="33" fillId="10" borderId="44" xfId="0" applyNumberFormat="1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2" fontId="32" fillId="10" borderId="4" xfId="0" applyNumberFormat="1" applyFont="1" applyFill="1" applyBorder="1" applyAlignment="1">
      <alignment horizontal="center" vertical="center" wrapText="1"/>
    </xf>
    <xf numFmtId="0" fontId="12" fillId="12" borderId="4" xfId="0" applyFont="1" applyFill="1" applyBorder="1" applyAlignment="1">
      <alignment horizontal="center" vertical="center"/>
    </xf>
    <xf numFmtId="167" fontId="12" fillId="12" borderId="4" xfId="0" applyNumberFormat="1" applyFont="1" applyFill="1" applyBorder="1" applyAlignment="1">
      <alignment horizontal="center" vertical="center"/>
    </xf>
    <xf numFmtId="2" fontId="12" fillId="12" borderId="4" xfId="0" applyNumberFormat="1" applyFont="1" applyFill="1" applyBorder="1" applyAlignment="1">
      <alignment horizontal="center" vertical="center"/>
    </xf>
    <xf numFmtId="0" fontId="34" fillId="12" borderId="4" xfId="0" applyFont="1" applyFill="1" applyBorder="1" applyAlignment="1">
      <alignment horizontal="center" vertical="center"/>
    </xf>
    <xf numFmtId="172" fontId="12" fillId="11" borderId="4" xfId="0" applyNumberFormat="1" applyFont="1" applyFill="1" applyBorder="1" applyAlignment="1">
      <alignment horizontal="center" vertical="center"/>
    </xf>
    <xf numFmtId="2" fontId="12" fillId="11" borderId="4" xfId="0" applyNumberFormat="1" applyFont="1" applyFill="1" applyBorder="1" applyAlignment="1">
      <alignment horizontal="center" vertical="center"/>
    </xf>
    <xf numFmtId="0" fontId="34" fillId="11" borderId="4" xfId="0" applyFont="1" applyFill="1" applyBorder="1" applyAlignment="1">
      <alignment horizontal="center" vertical="center"/>
    </xf>
    <xf numFmtId="2" fontId="12" fillId="6" borderId="4" xfId="0" applyNumberFormat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34" fillId="6" borderId="4" xfId="0" applyFont="1" applyFill="1" applyBorder="1" applyAlignment="1">
      <alignment horizontal="center" vertical="center"/>
    </xf>
    <xf numFmtId="2" fontId="35" fillId="2" borderId="4" xfId="0" applyNumberFormat="1" applyFont="1" applyFill="1" applyBorder="1" applyAlignment="1">
      <alignment horizontal="center" vertical="center"/>
    </xf>
    <xf numFmtId="171" fontId="36" fillId="13" borderId="4" xfId="0" applyNumberFormat="1" applyFont="1" applyFill="1" applyBorder="1" applyAlignment="1">
      <alignment horizontal="center" vertical="center"/>
    </xf>
    <xf numFmtId="2" fontId="36" fillId="13" borderId="4" xfId="0" applyNumberFormat="1" applyFont="1" applyFill="1" applyBorder="1" applyAlignment="1">
      <alignment horizontal="center" vertical="center"/>
    </xf>
    <xf numFmtId="0" fontId="13" fillId="13" borderId="4" xfId="0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/>
    </xf>
    <xf numFmtId="2" fontId="12" fillId="13" borderId="4" xfId="0" applyNumberFormat="1" applyFont="1" applyFill="1" applyBorder="1" applyAlignment="1">
      <alignment horizontal="center" vertical="center"/>
    </xf>
    <xf numFmtId="0" fontId="12" fillId="13" borderId="4" xfId="0" applyFont="1" applyFill="1" applyBorder="1" applyAlignment="1">
      <alignment horizontal="center" vertical="center"/>
    </xf>
    <xf numFmtId="1" fontId="12" fillId="13" borderId="4" xfId="0" applyNumberFormat="1" applyFont="1" applyFill="1" applyBorder="1" applyAlignment="1">
      <alignment horizontal="center" vertical="center"/>
    </xf>
    <xf numFmtId="2" fontId="32" fillId="13" borderId="4" xfId="0" applyNumberFormat="1" applyFont="1" applyFill="1" applyBorder="1" applyAlignment="1">
      <alignment horizontal="center" vertical="center"/>
    </xf>
    <xf numFmtId="1" fontId="32" fillId="13" borderId="4" xfId="0" applyNumberFormat="1" applyFont="1" applyFill="1" applyBorder="1" applyAlignment="1">
      <alignment horizontal="center" vertical="center"/>
    </xf>
    <xf numFmtId="0" fontId="14" fillId="20" borderId="5" xfId="0" applyFont="1" applyFill="1" applyBorder="1" applyAlignment="1">
      <alignment vertical="center"/>
    </xf>
    <xf numFmtId="2" fontId="36" fillId="13" borderId="5" xfId="0" applyNumberFormat="1" applyFont="1" applyFill="1" applyBorder="1" applyAlignment="1">
      <alignment horizontal="center" vertical="center"/>
    </xf>
    <xf numFmtId="0" fontId="13" fillId="13" borderId="5" xfId="0" applyFont="1" applyFill="1" applyBorder="1" applyAlignment="1">
      <alignment horizontal="center" vertical="center"/>
    </xf>
    <xf numFmtId="0" fontId="35" fillId="24" borderId="0" xfId="0" applyFont="1" applyFill="1" applyAlignment="1">
      <alignment vertical="center"/>
    </xf>
    <xf numFmtId="0" fontId="35" fillId="17" borderId="0" xfId="0" applyFont="1" applyFill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1" fontId="8" fillId="2" borderId="5" xfId="0" applyNumberFormat="1" applyFont="1" applyFill="1" applyBorder="1" applyAlignment="1">
      <alignment horizontal="center" vertical="center"/>
    </xf>
    <xf numFmtId="167" fontId="8" fillId="2" borderId="5" xfId="0" applyNumberFormat="1" applyFont="1" applyFill="1" applyBorder="1" applyAlignment="1">
      <alignment vertical="center"/>
    </xf>
    <xf numFmtId="2" fontId="8" fillId="24" borderId="5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8" fillId="2" borderId="39" xfId="0" applyFont="1" applyFill="1" applyBorder="1" applyAlignment="1">
      <alignment vertical="center"/>
    </xf>
    <xf numFmtId="2" fontId="14" fillId="24" borderId="5" xfId="0" applyNumberFormat="1" applyFont="1" applyFill="1" applyBorder="1" applyAlignment="1">
      <alignment horizontal="center" vertical="center"/>
    </xf>
    <xf numFmtId="1" fontId="8" fillId="24" borderId="5" xfId="0" applyNumberFormat="1" applyFont="1" applyFill="1" applyBorder="1" applyAlignment="1">
      <alignment horizontal="center" vertical="center"/>
    </xf>
    <xf numFmtId="2" fontId="8" fillId="2" borderId="39" xfId="0" applyNumberFormat="1" applyFont="1" applyFill="1" applyBorder="1" applyAlignment="1">
      <alignment horizontal="center" vertical="center"/>
    </xf>
    <xf numFmtId="0" fontId="8" fillId="24" borderId="5" xfId="0" applyFont="1" applyFill="1" applyBorder="1" applyAlignment="1">
      <alignment vertical="center"/>
    </xf>
    <xf numFmtId="2" fontId="8" fillId="24" borderId="5" xfId="0" applyNumberFormat="1" applyFont="1" applyFill="1" applyBorder="1" applyAlignment="1">
      <alignment vertical="center"/>
    </xf>
    <xf numFmtId="1" fontId="8" fillId="24" borderId="5" xfId="0" applyNumberFormat="1" applyFont="1" applyFill="1" applyBorder="1" applyAlignment="1">
      <alignment vertical="center"/>
    </xf>
    <xf numFmtId="2" fontId="51" fillId="24" borderId="5" xfId="0" applyNumberFormat="1" applyFont="1" applyFill="1" applyBorder="1" applyAlignment="1">
      <alignment horizontal="center" vertical="center"/>
    </xf>
    <xf numFmtId="0" fontId="40" fillId="24" borderId="5" xfId="0" applyFont="1" applyFill="1" applyBorder="1" applyAlignment="1">
      <alignment vertical="center"/>
    </xf>
    <xf numFmtId="0" fontId="50" fillId="16" borderId="5" xfId="0" applyFont="1" applyFill="1" applyBorder="1" applyAlignment="1">
      <alignment horizontal="left" vertical="center"/>
    </xf>
    <xf numFmtId="2" fontId="39" fillId="16" borderId="5" xfId="0" applyNumberFormat="1" applyFont="1" applyFill="1" applyBorder="1" applyAlignment="1">
      <alignment horizontal="center" vertical="center"/>
    </xf>
    <xf numFmtId="1" fontId="14" fillId="16" borderId="5" xfId="0" applyNumberFormat="1" applyFont="1" applyFill="1" applyBorder="1" applyAlignment="1">
      <alignment horizontal="center" vertical="center"/>
    </xf>
    <xf numFmtId="167" fontId="14" fillId="16" borderId="5" xfId="0" applyNumberFormat="1" applyFont="1" applyFill="1" applyBorder="1" applyAlignment="1">
      <alignment horizontal="center" vertical="center"/>
    </xf>
    <xf numFmtId="172" fontId="14" fillId="16" borderId="5" xfId="0" applyNumberFormat="1" applyFont="1" applyFill="1" applyBorder="1" applyAlignment="1">
      <alignment horizontal="center" vertical="center"/>
    </xf>
    <xf numFmtId="166" fontId="14" fillId="16" borderId="5" xfId="0" applyNumberFormat="1" applyFont="1" applyFill="1" applyBorder="1" applyAlignment="1">
      <alignment horizontal="center" vertical="center"/>
    </xf>
    <xf numFmtId="0" fontId="14" fillId="16" borderId="2" xfId="0" applyFont="1" applyFill="1" applyBorder="1" applyAlignment="1">
      <alignment horizontal="center" vertical="center"/>
    </xf>
    <xf numFmtId="0" fontId="14" fillId="16" borderId="39" xfId="0" applyFont="1" applyFill="1" applyBorder="1" applyAlignment="1">
      <alignment horizontal="center" vertical="center"/>
    </xf>
    <xf numFmtId="0" fontId="14" fillId="16" borderId="3" xfId="0" applyFont="1" applyFill="1" applyBorder="1" applyAlignment="1">
      <alignment horizontal="center" vertical="center"/>
    </xf>
    <xf numFmtId="2" fontId="49" fillId="16" borderId="2" xfId="0" applyNumberFormat="1" applyFont="1" applyFill="1" applyBorder="1" applyAlignment="1">
      <alignment horizontal="center" vertical="center"/>
    </xf>
    <xf numFmtId="0" fontId="47" fillId="0" borderId="5" xfId="0" applyFont="1" applyBorder="1" applyAlignment="1">
      <alignment horizontal="center" vertical="center" wrapText="1"/>
    </xf>
    <xf numFmtId="0" fontId="47" fillId="25" borderId="5" xfId="0" applyFont="1" applyFill="1" applyBorder="1" applyAlignment="1">
      <alignment horizontal="center" vertical="center" wrapText="1"/>
    </xf>
    <xf numFmtId="2" fontId="49" fillId="16" borderId="39" xfId="0" applyNumberFormat="1" applyFont="1" applyFill="1" applyBorder="1" applyAlignment="1">
      <alignment horizontal="center" vertical="center"/>
    </xf>
    <xf numFmtId="2" fontId="49" fillId="16" borderId="3" xfId="0" applyNumberFormat="1" applyFont="1" applyFill="1" applyBorder="1" applyAlignment="1">
      <alignment horizontal="center" vertical="center"/>
    </xf>
    <xf numFmtId="2" fontId="0" fillId="16" borderId="0" xfId="0" applyNumberFormat="1" applyFill="1" applyAlignment="1">
      <alignment horizontal="center" vertical="center"/>
    </xf>
    <xf numFmtId="1" fontId="0" fillId="16" borderId="0" xfId="0" applyNumberFormat="1" applyFill="1" applyAlignment="1">
      <alignment horizontal="center" vertical="center"/>
    </xf>
    <xf numFmtId="0" fontId="12" fillId="16" borderId="0" xfId="0" applyFont="1" applyFill="1" applyAlignment="1">
      <alignment horizontal="center" vertical="center"/>
    </xf>
    <xf numFmtId="2" fontId="11" fillId="3" borderId="5" xfId="0" applyNumberFormat="1" applyFont="1" applyFill="1" applyBorder="1" applyAlignment="1">
      <alignment horizontal="center" vertical="center"/>
    </xf>
    <xf numFmtId="167" fontId="37" fillId="22" borderId="5" xfId="0" applyNumberFormat="1" applyFont="1" applyFill="1" applyBorder="1" applyAlignment="1">
      <alignment vertical="center"/>
    </xf>
    <xf numFmtId="2" fontId="32" fillId="22" borderId="5" xfId="0" applyNumberFormat="1" applyFont="1" applyFill="1" applyBorder="1" applyAlignment="1">
      <alignment horizontal="center" vertical="center" wrapText="1"/>
    </xf>
    <xf numFmtId="0" fontId="0" fillId="22" borderId="5" xfId="0" applyFill="1" applyBorder="1"/>
    <xf numFmtId="167" fontId="0" fillId="22" borderId="5" xfId="0" applyNumberFormat="1" applyFill="1" applyBorder="1"/>
    <xf numFmtId="0" fontId="7" fillId="22" borderId="5" xfId="0" applyFont="1" applyFill="1" applyBorder="1"/>
    <xf numFmtId="2" fontId="8" fillId="24" borderId="3" xfId="0" applyNumberFormat="1" applyFont="1" applyFill="1" applyBorder="1" applyAlignment="1">
      <alignment horizontal="center" vertical="center"/>
    </xf>
    <xf numFmtId="0" fontId="0" fillId="22" borderId="0" xfId="0" applyFill="1"/>
    <xf numFmtId="2" fontId="6" fillId="22" borderId="43" xfId="0" applyNumberFormat="1" applyFont="1" applyFill="1" applyBorder="1" applyAlignment="1">
      <alignment horizontal="center" vertical="center"/>
    </xf>
    <xf numFmtId="2" fontId="39" fillId="22" borderId="43" xfId="0" applyNumberFormat="1" applyFont="1" applyFill="1" applyBorder="1" applyAlignment="1">
      <alignment horizontal="center" vertical="center" wrapText="1"/>
    </xf>
    <xf numFmtId="0" fontId="6" fillId="22" borderId="43" xfId="0" applyFont="1" applyFill="1" applyBorder="1" applyAlignment="1">
      <alignment horizontal="center" vertical="center"/>
    </xf>
    <xf numFmtId="1" fontId="6" fillId="22" borderId="43" xfId="0" applyNumberFormat="1" applyFont="1" applyFill="1" applyBorder="1" applyAlignment="1">
      <alignment horizontal="center" vertical="center"/>
    </xf>
    <xf numFmtId="2" fontId="32" fillId="22" borderId="3" xfId="0" applyNumberFormat="1" applyFont="1" applyFill="1" applyBorder="1" applyAlignment="1">
      <alignment horizontal="center" vertical="center" wrapText="1"/>
    </xf>
    <xf numFmtId="0" fontId="7" fillId="22" borderId="0" xfId="0" applyFont="1" applyFill="1"/>
    <xf numFmtId="0" fontId="39" fillId="26" borderId="5" xfId="0" applyFont="1" applyFill="1" applyBorder="1" applyAlignment="1">
      <alignment vertical="center"/>
    </xf>
    <xf numFmtId="0" fontId="11" fillId="26" borderId="5" xfId="0" applyFont="1" applyFill="1" applyBorder="1"/>
    <xf numFmtId="167" fontId="11" fillId="26" borderId="5" xfId="0" applyNumberFormat="1" applyFont="1" applyFill="1" applyBorder="1"/>
    <xf numFmtId="0" fontId="11" fillId="26" borderId="0" xfId="0" applyFont="1" applyFill="1"/>
    <xf numFmtId="167" fontId="0" fillId="0" borderId="0" xfId="0" applyNumberFormat="1"/>
    <xf numFmtId="0" fontId="0" fillId="10" borderId="0" xfId="0" applyFill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0" fillId="17" borderId="0" xfId="0" applyFill="1"/>
    <xf numFmtId="2" fontId="0" fillId="0" borderId="0" xfId="0" applyNumberFormat="1"/>
    <xf numFmtId="1" fontId="12" fillId="3" borderId="5" xfId="0" applyNumberFormat="1" applyFont="1" applyFill="1" applyBorder="1" applyAlignment="1">
      <alignment horizontal="center" vertical="center"/>
    </xf>
    <xf numFmtId="1" fontId="5" fillId="0" borderId="0" xfId="2" applyNumberFormat="1" applyFont="1"/>
    <xf numFmtId="0" fontId="5" fillId="0" borderId="0" xfId="2" applyFont="1" applyAlignment="1">
      <alignment horizontal="right"/>
    </xf>
    <xf numFmtId="1" fontId="5" fillId="0" borderId="0" xfId="2" applyNumberFormat="1" applyFont="1" applyAlignment="1">
      <alignment horizontal="right"/>
    </xf>
    <xf numFmtId="0" fontId="5" fillId="0" borderId="0" xfId="2" applyFont="1" applyAlignment="1">
      <alignment horizontal="center"/>
    </xf>
    <xf numFmtId="0" fontId="5" fillId="0" borderId="0" xfId="2" applyFont="1"/>
    <xf numFmtId="0" fontId="5" fillId="0" borderId="18" xfId="2" applyFont="1" applyBorder="1" applyAlignment="1">
      <alignment horizontal="center"/>
    </xf>
    <xf numFmtId="1" fontId="5" fillId="2" borderId="5" xfId="2" applyNumberFormat="1" applyFont="1" applyFill="1" applyBorder="1" applyAlignment="1">
      <alignment horizontal="center" vertical="center"/>
    </xf>
    <xf numFmtId="1" fontId="5" fillId="0" borderId="5" xfId="2" applyNumberFormat="1" applyFont="1" applyBorder="1" applyAlignment="1">
      <alignment horizontal="center" vertical="center"/>
    </xf>
    <xf numFmtId="2" fontId="5" fillId="0" borderId="5" xfId="2" applyNumberFormat="1" applyFont="1" applyBorder="1" applyAlignment="1">
      <alignment horizontal="center" vertical="center"/>
    </xf>
    <xf numFmtId="0" fontId="5" fillId="0" borderId="30" xfId="2" applyFont="1" applyBorder="1"/>
    <xf numFmtId="169" fontId="5" fillId="0" borderId="5" xfId="2" applyNumberFormat="1" applyFont="1" applyBorder="1" applyAlignment="1">
      <alignment horizontal="center" vertical="center"/>
    </xf>
    <xf numFmtId="2" fontId="5" fillId="0" borderId="5" xfId="2" applyNumberFormat="1" applyFont="1" applyBorder="1" applyAlignment="1">
      <alignment horizontal="center"/>
    </xf>
    <xf numFmtId="1" fontId="5" fillId="8" borderId="18" xfId="2" applyNumberFormat="1" applyFont="1" applyFill="1" applyBorder="1" applyAlignment="1">
      <alignment horizontal="center" vertical="center"/>
    </xf>
    <xf numFmtId="1" fontId="5" fillId="8" borderId="3" xfId="2" applyNumberFormat="1" applyFont="1" applyFill="1" applyBorder="1" applyAlignment="1">
      <alignment horizontal="center" vertical="center"/>
    </xf>
    <xf numFmtId="1" fontId="5" fillId="8" borderId="5" xfId="2" applyNumberFormat="1" applyFont="1" applyFill="1" applyBorder="1" applyAlignment="1">
      <alignment horizontal="center" vertical="center"/>
    </xf>
    <xf numFmtId="1" fontId="5" fillId="0" borderId="5" xfId="2" applyNumberFormat="1" applyFont="1" applyBorder="1"/>
    <xf numFmtId="1" fontId="5" fillId="6" borderId="15" xfId="2" applyNumberFormat="1" applyFont="1" applyFill="1" applyBorder="1" applyAlignment="1">
      <alignment horizontal="center" vertical="center"/>
    </xf>
    <xf numFmtId="2" fontId="5" fillId="6" borderId="11" xfId="2" applyNumberFormat="1" applyFont="1" applyFill="1" applyBorder="1" applyAlignment="1">
      <alignment horizontal="center" vertical="center"/>
    </xf>
    <xf numFmtId="1" fontId="5" fillId="6" borderId="11" xfId="2" applyNumberFormat="1" applyFont="1" applyFill="1" applyBorder="1" applyAlignment="1">
      <alignment horizontal="center" vertical="center"/>
    </xf>
    <xf numFmtId="169" fontId="5" fillId="6" borderId="11" xfId="2" applyNumberFormat="1" applyFont="1" applyFill="1" applyBorder="1" applyAlignment="1">
      <alignment horizontal="center" vertical="center"/>
    </xf>
    <xf numFmtId="1" fontId="5" fillId="6" borderId="5" xfId="2" applyNumberFormat="1" applyFont="1" applyFill="1" applyBorder="1" applyAlignment="1">
      <alignment horizontal="center" vertical="center"/>
    </xf>
    <xf numFmtId="169" fontId="5" fillId="8" borderId="3" xfId="2" applyNumberFormat="1" applyFont="1" applyFill="1" applyBorder="1" applyAlignment="1">
      <alignment horizontal="center" vertical="center"/>
    </xf>
    <xf numFmtId="0" fontId="4" fillId="0" borderId="0" xfId="2" applyFont="1"/>
    <xf numFmtId="1" fontId="4" fillId="3" borderId="0" xfId="2" applyNumberFormat="1" applyFont="1" applyFill="1"/>
    <xf numFmtId="2" fontId="5" fillId="6" borderId="10" xfId="2" applyNumberFormat="1" applyFont="1" applyFill="1" applyBorder="1" applyAlignment="1">
      <alignment horizontal="center" vertical="center"/>
    </xf>
    <xf numFmtId="2" fontId="14" fillId="12" borderId="5" xfId="0" applyNumberFormat="1" applyFont="1" applyFill="1" applyBorder="1" applyAlignment="1">
      <alignment horizontal="center" vertical="center" wrapText="1"/>
    </xf>
    <xf numFmtId="0" fontId="14" fillId="12" borderId="3" xfId="0" applyFont="1" applyFill="1" applyBorder="1" applyAlignment="1">
      <alignment horizontal="center" vertical="center" wrapText="1"/>
    </xf>
    <xf numFmtId="172" fontId="14" fillId="11" borderId="5" xfId="0" applyNumberFormat="1" applyFont="1" applyFill="1" applyBorder="1" applyAlignment="1">
      <alignment horizontal="center" vertical="center" wrapText="1"/>
    </xf>
    <xf numFmtId="2" fontId="14" fillId="11" borderId="5" xfId="0" applyNumberFormat="1" applyFont="1" applyFill="1" applyBorder="1" applyAlignment="1">
      <alignment horizontal="center" vertical="center" wrapText="1"/>
    </xf>
    <xf numFmtId="0" fontId="22" fillId="11" borderId="5" xfId="0" applyFont="1" applyFill="1" applyBorder="1" applyAlignment="1">
      <alignment horizontal="center" vertical="center" wrapText="1"/>
    </xf>
    <xf numFmtId="2" fontId="22" fillId="6" borderId="5" xfId="0" applyNumberFormat="1" applyFont="1" applyFill="1" applyBorder="1" applyAlignment="1">
      <alignment horizontal="center" vertical="center" wrapText="1"/>
    </xf>
    <xf numFmtId="171" fontId="22" fillId="6" borderId="5" xfId="0" applyNumberFormat="1" applyFont="1" applyFill="1" applyBorder="1" applyAlignment="1">
      <alignment horizontal="center" vertical="center" wrapText="1"/>
    </xf>
    <xf numFmtId="171" fontId="14" fillId="6" borderId="5" xfId="0" applyNumberFormat="1" applyFont="1" applyFill="1" applyBorder="1" applyAlignment="1">
      <alignment horizontal="center" vertical="center" wrapText="1"/>
    </xf>
    <xf numFmtId="171" fontId="38" fillId="13" borderId="5" xfId="0" applyNumberFormat="1" applyFont="1" applyFill="1" applyBorder="1" applyAlignment="1">
      <alignment horizontal="center" vertical="center" wrapText="1"/>
    </xf>
    <xf numFmtId="0" fontId="38" fillId="13" borderId="5" xfId="0" applyFont="1" applyFill="1" applyBorder="1" applyAlignment="1">
      <alignment horizontal="center" vertical="center" wrapText="1"/>
    </xf>
    <xf numFmtId="2" fontId="13" fillId="13" borderId="4" xfId="0" applyNumberFormat="1" applyFont="1" applyFill="1" applyBorder="1" applyAlignment="1">
      <alignment horizontal="center" vertical="center" wrapText="1"/>
    </xf>
    <xf numFmtId="173" fontId="14" fillId="3" borderId="5" xfId="0" applyNumberFormat="1" applyFont="1" applyFill="1" applyBorder="1" applyAlignment="1">
      <alignment horizontal="center" vertical="center" wrapText="1"/>
    </xf>
    <xf numFmtId="1" fontId="14" fillId="14" borderId="5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15" borderId="5" xfId="0" applyFont="1" applyFill="1" applyBorder="1" applyAlignment="1">
      <alignment horizontal="center" vertical="center" wrapText="1"/>
    </xf>
    <xf numFmtId="0" fontId="39" fillId="9" borderId="5" xfId="0" applyFont="1" applyFill="1" applyBorder="1" applyAlignment="1">
      <alignment horizontal="center" vertical="center" wrapText="1"/>
    </xf>
    <xf numFmtId="0" fontId="14" fillId="16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17" borderId="5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1" fontId="12" fillId="6" borderId="5" xfId="0" applyNumberFormat="1" applyFont="1" applyFill="1" applyBorder="1" applyAlignment="1">
      <alignment horizontal="center" vertical="center"/>
    </xf>
    <xf numFmtId="2" fontId="32" fillId="12" borderId="5" xfId="0" applyNumberFormat="1" applyFont="1" applyFill="1" applyBorder="1" applyAlignment="1">
      <alignment horizontal="center" vertical="center" wrapText="1"/>
    </xf>
    <xf numFmtId="1" fontId="30" fillId="2" borderId="0" xfId="2" applyNumberFormat="1" applyFont="1" applyFill="1" applyAlignment="1">
      <alignment horizontal="right"/>
    </xf>
    <xf numFmtId="1" fontId="11" fillId="0" borderId="5" xfId="3" applyNumberFormat="1" applyFont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 wrapText="1"/>
    </xf>
    <xf numFmtId="164" fontId="32" fillId="3" borderId="5" xfId="0" applyNumberFormat="1" applyFont="1" applyFill="1" applyBorder="1" applyAlignment="1">
      <alignment horizontal="center" vertical="center" wrapText="1"/>
    </xf>
    <xf numFmtId="2" fontId="32" fillId="3" borderId="5" xfId="0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2" fontId="34" fillId="12" borderId="5" xfId="0" applyNumberFormat="1" applyFont="1" applyFill="1" applyBorder="1" applyAlignment="1">
      <alignment horizontal="center" vertical="center" wrapText="1"/>
    </xf>
    <xf numFmtId="0" fontId="14" fillId="24" borderId="43" xfId="0" applyFont="1" applyFill="1" applyBorder="1" applyAlignment="1">
      <alignment vertical="center"/>
    </xf>
    <xf numFmtId="2" fontId="14" fillId="24" borderId="43" xfId="0" applyNumberFormat="1" applyFont="1" applyFill="1" applyBorder="1" applyAlignment="1">
      <alignment horizontal="center" vertical="center"/>
    </xf>
    <xf numFmtId="2" fontId="14" fillId="24" borderId="43" xfId="0" applyNumberFormat="1" applyFont="1" applyFill="1" applyBorder="1" applyAlignment="1">
      <alignment vertical="center"/>
    </xf>
    <xf numFmtId="1" fontId="14" fillId="3" borderId="43" xfId="0" applyNumberFormat="1" applyFont="1" applyFill="1" applyBorder="1" applyAlignment="1">
      <alignment horizontal="center" vertical="center"/>
    </xf>
    <xf numFmtId="167" fontId="14" fillId="24" borderId="43" xfId="0" applyNumberFormat="1" applyFont="1" applyFill="1" applyBorder="1" applyAlignment="1">
      <alignment vertical="center"/>
    </xf>
    <xf numFmtId="1" fontId="14" fillId="24" borderId="43" xfId="0" applyNumberFormat="1" applyFont="1" applyFill="1" applyBorder="1" applyAlignment="1">
      <alignment horizontal="center" vertical="center"/>
    </xf>
    <xf numFmtId="0" fontId="14" fillId="21" borderId="43" xfId="0" applyFont="1" applyFill="1" applyBorder="1" applyAlignment="1">
      <alignment horizontal="center" vertical="center"/>
    </xf>
    <xf numFmtId="2" fontId="8" fillId="23" borderId="43" xfId="0" applyNumberFormat="1" applyFont="1" applyFill="1" applyBorder="1" applyAlignment="1">
      <alignment horizontal="center" vertical="center"/>
    </xf>
    <xf numFmtId="0" fontId="14" fillId="24" borderId="5" xfId="0" applyFont="1" applyFill="1" applyBorder="1" applyAlignment="1">
      <alignment vertical="center"/>
    </xf>
    <xf numFmtId="2" fontId="32" fillId="22" borderId="0" xfId="0" applyNumberFormat="1" applyFont="1" applyFill="1" applyAlignment="1">
      <alignment horizontal="center" vertical="center" wrapText="1"/>
    </xf>
    <xf numFmtId="169" fontId="24" fillId="0" borderId="0" xfId="2" applyNumberFormat="1" applyAlignment="1">
      <alignment horizontal="center"/>
    </xf>
    <xf numFmtId="1" fontId="3" fillId="0" borderId="0" xfId="2" quotePrefix="1" applyNumberFormat="1" applyFont="1" applyAlignment="1">
      <alignment horizontal="center"/>
    </xf>
    <xf numFmtId="2" fontId="11" fillId="0" borderId="4" xfId="2" applyNumberFormat="1" applyFont="1" applyBorder="1" applyAlignment="1">
      <alignment horizontal="center" vertical="center"/>
    </xf>
    <xf numFmtId="2" fontId="13" fillId="13" borderId="43" xfId="0" applyNumberFormat="1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 wrapText="1"/>
    </xf>
    <xf numFmtId="2" fontId="32" fillId="12" borderId="1" xfId="0" applyNumberFormat="1" applyFont="1" applyFill="1" applyBorder="1" applyAlignment="1">
      <alignment horizontal="center" vertical="center" wrapText="1"/>
    </xf>
    <xf numFmtId="0" fontId="32" fillId="2" borderId="44" xfId="0" applyFont="1" applyFill="1" applyBorder="1" applyAlignment="1">
      <alignment horizontal="center" vertical="center" wrapText="1"/>
    </xf>
    <xf numFmtId="2" fontId="32" fillId="12" borderId="44" xfId="0" applyNumberFormat="1" applyFont="1" applyFill="1" applyBorder="1" applyAlignment="1">
      <alignment horizontal="center" vertical="center" wrapText="1"/>
    </xf>
    <xf numFmtId="2" fontId="32" fillId="0" borderId="4" xfId="0" applyNumberFormat="1" applyFont="1" applyBorder="1" applyAlignment="1">
      <alignment horizontal="center" vertical="center" wrapText="1"/>
    </xf>
    <xf numFmtId="169" fontId="24" fillId="0" borderId="0" xfId="2" applyNumberFormat="1"/>
    <xf numFmtId="2" fontId="11" fillId="0" borderId="17" xfId="15" applyNumberFormat="1" applyFont="1" applyBorder="1" applyAlignment="1">
      <alignment horizontal="center" vertical="center"/>
    </xf>
    <xf numFmtId="1" fontId="11" fillId="2" borderId="17" xfId="15" applyNumberFormat="1" applyFont="1" applyFill="1" applyBorder="1" applyAlignment="1">
      <alignment horizontal="center" vertical="center"/>
    </xf>
    <xf numFmtId="0" fontId="34" fillId="12" borderId="5" xfId="0" applyFont="1" applyFill="1" applyBorder="1" applyAlignment="1">
      <alignment horizontal="center" vertical="center" wrapText="1"/>
    </xf>
    <xf numFmtId="0" fontId="34" fillId="6" borderId="5" xfId="0" applyFont="1" applyFill="1" applyBorder="1" applyAlignment="1">
      <alignment horizontal="center" vertical="center" wrapText="1"/>
    </xf>
    <xf numFmtId="2" fontId="35" fillId="2" borderId="5" xfId="0" applyNumberFormat="1" applyFont="1" applyFill="1" applyBorder="1" applyAlignment="1">
      <alignment horizontal="center" vertical="center" wrapText="1"/>
    </xf>
    <xf numFmtId="173" fontId="12" fillId="3" borderId="5" xfId="0" applyNumberFormat="1" applyFont="1" applyFill="1" applyBorder="1" applyAlignment="1">
      <alignment horizontal="center" vertical="center" wrapText="1"/>
    </xf>
    <xf numFmtId="1" fontId="12" fillId="14" borderId="5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 wrapText="1"/>
    </xf>
    <xf numFmtId="0" fontId="32" fillId="9" borderId="5" xfId="0" applyFont="1" applyFill="1" applyBorder="1" applyAlignment="1">
      <alignment horizontal="center" vertical="center" wrapText="1"/>
    </xf>
    <xf numFmtId="0" fontId="12" fillId="16" borderId="5" xfId="0" applyFont="1" applyFill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17" borderId="5" xfId="0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2" fillId="12" borderId="1" xfId="0" applyFont="1" applyFill="1" applyBorder="1" applyAlignment="1">
      <alignment horizontal="center" vertical="center" wrapText="1"/>
    </xf>
    <xf numFmtId="0" fontId="38" fillId="13" borderId="2" xfId="0" applyFont="1" applyFill="1" applyBorder="1" applyAlignment="1">
      <alignment horizontal="center" vertical="center" wrapText="1"/>
    </xf>
    <xf numFmtId="0" fontId="31" fillId="13" borderId="3" xfId="0" applyFont="1" applyFill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2" fontId="33" fillId="10" borderId="40" xfId="0" applyNumberFormat="1" applyFont="1" applyFill="1" applyBorder="1" applyAlignment="1">
      <alignment horizontal="center" vertical="center" wrapText="1"/>
    </xf>
    <xf numFmtId="0" fontId="45" fillId="6" borderId="5" xfId="0" applyFont="1" applyFill="1" applyBorder="1" applyAlignment="1">
      <alignment horizontal="center" vertical="center" wrapText="1"/>
    </xf>
    <xf numFmtId="0" fontId="54" fillId="6" borderId="5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5" fillId="0" borderId="5" xfId="0" applyFont="1" applyBorder="1" applyAlignment="1">
      <alignment wrapText="1"/>
    </xf>
    <xf numFmtId="0" fontId="54" fillId="0" borderId="5" xfId="0" applyFont="1" applyBorder="1"/>
    <xf numFmtId="0" fontId="8" fillId="23" borderId="5" xfId="0" applyFont="1" applyFill="1" applyBorder="1" applyAlignment="1">
      <alignment horizontal="left" vertical="center"/>
    </xf>
    <xf numFmtId="0" fontId="8" fillId="27" borderId="43" xfId="0" applyFont="1" applyFill="1" applyBorder="1" applyAlignment="1">
      <alignment horizontal="left" vertical="center"/>
    </xf>
    <xf numFmtId="0" fontId="8" fillId="27" borderId="43" xfId="0" applyFont="1" applyFill="1" applyBorder="1" applyAlignment="1">
      <alignment horizontal="center" vertical="center"/>
    </xf>
    <xf numFmtId="2" fontId="8" fillId="27" borderId="43" xfId="0" applyNumberFormat="1" applyFont="1" applyFill="1" applyBorder="1" applyAlignment="1">
      <alignment horizontal="center" vertical="center"/>
    </xf>
    <xf numFmtId="1" fontId="8" fillId="3" borderId="43" xfId="0" applyNumberFormat="1" applyFont="1" applyFill="1" applyBorder="1" applyAlignment="1">
      <alignment horizontal="center" vertical="center"/>
    </xf>
    <xf numFmtId="167" fontId="8" fillId="27" borderId="43" xfId="0" applyNumberFormat="1" applyFont="1" applyFill="1" applyBorder="1" applyAlignment="1">
      <alignment horizontal="center" vertical="center"/>
    </xf>
    <xf numFmtId="1" fontId="8" fillId="27" borderId="43" xfId="0" applyNumberFormat="1" applyFont="1" applyFill="1" applyBorder="1" applyAlignment="1">
      <alignment horizontal="center" vertical="center"/>
    </xf>
    <xf numFmtId="2" fontId="8" fillId="27" borderId="3" xfId="0" applyNumberFormat="1" applyFont="1" applyFill="1" applyBorder="1" applyAlignment="1">
      <alignment horizontal="center" vertical="center"/>
    </xf>
    <xf numFmtId="0" fontId="40" fillId="27" borderId="5" xfId="0" applyFont="1" applyFill="1" applyBorder="1" applyAlignment="1">
      <alignment horizontal="center" vertical="center"/>
    </xf>
    <xf numFmtId="0" fontId="8" fillId="27" borderId="5" xfId="0" applyFont="1" applyFill="1" applyBorder="1" applyAlignment="1">
      <alignment horizontal="center" vertical="center"/>
    </xf>
    <xf numFmtId="0" fontId="35" fillId="27" borderId="0" xfId="0" applyFont="1" applyFill="1" applyAlignment="1">
      <alignment horizontal="center" vertical="center"/>
    </xf>
    <xf numFmtId="0" fontId="50" fillId="16" borderId="43" xfId="0" applyFont="1" applyFill="1" applyBorder="1" applyAlignment="1">
      <alignment horizontal="left" vertical="center"/>
    </xf>
    <xf numFmtId="0" fontId="1" fillId="16" borderId="0" xfId="0" applyFont="1" applyFill="1" applyAlignment="1">
      <alignment horizontal="center" vertical="center"/>
    </xf>
    <xf numFmtId="0" fontId="11" fillId="26" borderId="5" xfId="0" applyFont="1" applyFill="1" applyBorder="1" applyAlignment="1">
      <alignment horizontal="center" vertical="center"/>
    </xf>
    <xf numFmtId="2" fontId="6" fillId="22" borderId="0" xfId="0" applyNumberFormat="1" applyFont="1" applyFill="1" applyAlignment="1">
      <alignment horizontal="center" vertical="center"/>
    </xf>
    <xf numFmtId="2" fontId="39" fillId="22" borderId="0" xfId="0" applyNumberFormat="1" applyFont="1" applyFill="1" applyAlignment="1">
      <alignment horizontal="center" vertical="center" wrapText="1"/>
    </xf>
    <xf numFmtId="1" fontId="6" fillId="22" borderId="0" xfId="0" applyNumberFormat="1" applyFont="1" applyFill="1" applyAlignment="1">
      <alignment horizontal="center" vertical="center"/>
    </xf>
    <xf numFmtId="0" fontId="39" fillId="26" borderId="0" xfId="0" applyFont="1" applyFill="1" applyAlignment="1">
      <alignment vertical="center"/>
    </xf>
    <xf numFmtId="167" fontId="11" fillId="26" borderId="0" xfId="0" applyNumberFormat="1" applyFont="1" applyFill="1"/>
    <xf numFmtId="0" fontId="11" fillId="26" borderId="0" xfId="0" applyFont="1" applyFill="1" applyAlignment="1">
      <alignment horizontal="center" vertical="center"/>
    </xf>
    <xf numFmtId="0" fontId="1" fillId="0" borderId="0" xfId="17"/>
    <xf numFmtId="0" fontId="10" fillId="2" borderId="5" xfId="17" applyFont="1" applyFill="1" applyBorder="1" applyAlignment="1">
      <alignment horizontal="center" vertical="center" wrapText="1"/>
    </xf>
    <xf numFmtId="0" fontId="1" fillId="2" borderId="0" xfId="17" applyFill="1"/>
    <xf numFmtId="0" fontId="13" fillId="0" borderId="0" xfId="17" applyFont="1" applyAlignment="1">
      <alignment vertical="center"/>
    </xf>
    <xf numFmtId="0" fontId="11" fillId="0" borderId="0" xfId="17" applyFont="1"/>
    <xf numFmtId="0" fontId="11" fillId="0" borderId="0" xfId="17" applyFont="1" applyAlignment="1">
      <alignment horizontal="left"/>
    </xf>
    <xf numFmtId="0" fontId="7" fillId="0" borderId="0" xfId="17" applyFont="1"/>
    <xf numFmtId="0" fontId="30" fillId="0" borderId="0" xfId="17" applyFont="1"/>
    <xf numFmtId="0" fontId="1" fillId="0" borderId="0" xfId="17" applyAlignment="1">
      <alignment horizontal="left"/>
    </xf>
    <xf numFmtId="2" fontId="13" fillId="2" borderId="5" xfId="17" applyNumberFormat="1" applyFont="1" applyFill="1" applyBorder="1" applyAlignment="1">
      <alignment horizontal="center" vertical="center" wrapText="1"/>
    </xf>
    <xf numFmtId="1" fontId="13" fillId="0" borderId="17" xfId="17" applyNumberFormat="1" applyFont="1" applyBorder="1" applyAlignment="1">
      <alignment horizontal="center" vertical="center"/>
    </xf>
    <xf numFmtId="1" fontId="13" fillId="2" borderId="4" xfId="17" applyNumberFormat="1" applyFont="1" applyFill="1" applyBorder="1" applyAlignment="1">
      <alignment horizontal="center" vertical="center"/>
    </xf>
    <xf numFmtId="1" fontId="13" fillId="0" borderId="4" xfId="17" applyNumberFormat="1" applyFont="1" applyBorder="1" applyAlignment="1">
      <alignment horizontal="center" vertical="center"/>
    </xf>
    <xf numFmtId="2" fontId="11" fillId="2" borderId="5" xfId="17" applyNumberFormat="1" applyFont="1" applyFill="1" applyBorder="1" applyAlignment="1">
      <alignment horizontal="center" vertical="center" wrapText="1"/>
    </xf>
    <xf numFmtId="0" fontId="6" fillId="0" borderId="5" xfId="17" applyFont="1" applyBorder="1" applyAlignment="1">
      <alignment horizontal="center" vertical="center"/>
    </xf>
    <xf numFmtId="169" fontId="6" fillId="0" borderId="5" xfId="17" applyNumberFormat="1" applyFont="1" applyBorder="1" applyAlignment="1">
      <alignment horizontal="center" vertical="center"/>
    </xf>
    <xf numFmtId="169" fontId="1" fillId="0" borderId="0" xfId="17" applyNumberFormat="1"/>
    <xf numFmtId="0" fontId="1" fillId="0" borderId="0" xfId="17" applyAlignment="1">
      <alignment wrapText="1"/>
    </xf>
    <xf numFmtId="0" fontId="29" fillId="0" borderId="0" xfId="15" applyFont="1"/>
    <xf numFmtId="174" fontId="32" fillId="2" borderId="5" xfId="0" applyNumberFormat="1" applyFont="1" applyFill="1" applyBorder="1" applyAlignment="1">
      <alignment horizontal="center" vertical="center" wrapText="1"/>
    </xf>
    <xf numFmtId="1" fontId="11" fillId="0" borderId="5" xfId="17" applyNumberFormat="1" applyFont="1" applyBorder="1" applyAlignment="1">
      <alignment horizontal="center" vertical="center"/>
    </xf>
    <xf numFmtId="2" fontId="55" fillId="28" borderId="8" xfId="0" applyNumberFormat="1" applyFont="1" applyFill="1" applyBorder="1" applyAlignment="1">
      <alignment horizontal="center" vertical="center"/>
    </xf>
    <xf numFmtId="2" fontId="12" fillId="0" borderId="0" xfId="0" applyNumberFormat="1" applyFont="1" applyAlignment="1">
      <alignment horizontal="center"/>
    </xf>
    <xf numFmtId="1" fontId="11" fillId="0" borderId="5" xfId="16" applyNumberFormat="1" applyFont="1" applyBorder="1" applyAlignment="1">
      <alignment horizontal="center" vertical="center"/>
    </xf>
    <xf numFmtId="1" fontId="12" fillId="0" borderId="0" xfId="0" applyNumberFormat="1" applyFont="1"/>
    <xf numFmtId="0" fontId="7" fillId="0" borderId="0" xfId="5" applyFont="1" applyAlignment="1">
      <alignment horizontal="left" wrapText="1"/>
    </xf>
    <xf numFmtId="0" fontId="6" fillId="0" borderId="9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14" fillId="7" borderId="5" xfId="2" applyFont="1" applyFill="1" applyBorder="1" applyAlignment="1">
      <alignment horizontal="center" vertical="center"/>
    </xf>
    <xf numFmtId="169" fontId="30" fillId="0" borderId="0" xfId="2" applyNumberFormat="1" applyFont="1" applyAlignment="1">
      <alignment horizontal="center"/>
    </xf>
    <xf numFmtId="1" fontId="30" fillId="2" borderId="0" xfId="2" applyNumberFormat="1" applyFont="1" applyFill="1" applyAlignment="1">
      <alignment horizontal="center" vertical="center"/>
    </xf>
    <xf numFmtId="1" fontId="30" fillId="0" borderId="0" xfId="2" applyNumberFormat="1" applyFont="1" applyAlignment="1">
      <alignment horizontal="center" vertical="center"/>
    </xf>
    <xf numFmtId="0" fontId="6" fillId="0" borderId="25" xfId="2" applyFont="1" applyBorder="1" applyAlignment="1">
      <alignment horizontal="center"/>
    </xf>
    <xf numFmtId="0" fontId="6" fillId="0" borderId="26" xfId="2" applyFont="1" applyBorder="1" applyAlignment="1">
      <alignment horizontal="center"/>
    </xf>
    <xf numFmtId="0" fontId="6" fillId="0" borderId="31" xfId="2" applyFont="1" applyBorder="1" applyAlignment="1">
      <alignment horizontal="center"/>
    </xf>
    <xf numFmtId="0" fontId="24" fillId="0" borderId="0" xfId="2" applyAlignment="1">
      <alignment horizontal="left" vertical="center" wrapText="1"/>
    </xf>
    <xf numFmtId="0" fontId="18" fillId="0" borderId="0" xfId="2" applyFont="1" applyAlignment="1">
      <alignment horizontal="center"/>
    </xf>
    <xf numFmtId="169" fontId="5" fillId="0" borderId="0" xfId="2" applyNumberFormat="1" applyFont="1" applyAlignment="1">
      <alignment horizontal="center"/>
    </xf>
    <xf numFmtId="169" fontId="24" fillId="0" borderId="0" xfId="2" applyNumberFormat="1" applyAlignment="1">
      <alignment horizontal="center"/>
    </xf>
    <xf numFmtId="1" fontId="5" fillId="0" borderId="0" xfId="2" applyNumberFormat="1" applyFont="1" applyAlignment="1">
      <alignment horizontal="center" vertical="center"/>
    </xf>
    <xf numFmtId="0" fontId="6" fillId="0" borderId="22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6" fillId="0" borderId="24" xfId="2" applyFont="1" applyBorder="1" applyAlignment="1">
      <alignment horizontal="center"/>
    </xf>
    <xf numFmtId="0" fontId="15" fillId="0" borderId="0" xfId="2" applyFont="1" applyAlignment="1">
      <alignment horizontal="left"/>
    </xf>
    <xf numFmtId="168" fontId="16" fillId="3" borderId="0" xfId="2" applyNumberFormat="1" applyFont="1" applyFill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8" fillId="0" borderId="0" xfId="17" applyFont="1" applyAlignment="1">
      <alignment horizontal="center" vertical="center"/>
    </xf>
    <xf numFmtId="0" fontId="7" fillId="0" borderId="0" xfId="15" applyFont="1" applyAlignment="1">
      <alignment horizontal="left" wrapText="1"/>
    </xf>
    <xf numFmtId="2" fontId="32" fillId="0" borderId="1" xfId="0" applyNumberFormat="1" applyFont="1" applyBorder="1" applyAlignment="1">
      <alignment horizontal="center" vertical="center" wrapText="1"/>
    </xf>
    <xf numFmtId="2" fontId="32" fillId="0" borderId="44" xfId="0" applyNumberFormat="1" applyFont="1" applyBorder="1" applyAlignment="1">
      <alignment horizontal="center" vertical="center" wrapText="1"/>
    </xf>
    <xf numFmtId="2" fontId="32" fillId="0" borderId="4" xfId="0" applyNumberFormat="1" applyFont="1" applyBorder="1" applyAlignment="1">
      <alignment horizontal="center" vertical="center" wrapText="1"/>
    </xf>
    <xf numFmtId="0" fontId="32" fillId="2" borderId="49" xfId="0" applyFont="1" applyFill="1" applyBorder="1" applyAlignment="1">
      <alignment horizontal="center" vertical="center" wrapText="1"/>
    </xf>
    <xf numFmtId="0" fontId="32" fillId="2" borderId="51" xfId="0" applyFont="1" applyFill="1" applyBorder="1" applyAlignment="1">
      <alignment horizontal="center" vertical="center" wrapText="1"/>
    </xf>
    <xf numFmtId="0" fontId="32" fillId="2" borderId="50" xfId="0" applyFont="1" applyFill="1" applyBorder="1" applyAlignment="1">
      <alignment horizontal="center" vertical="center" wrapText="1"/>
    </xf>
    <xf numFmtId="2" fontId="32" fillId="12" borderId="1" xfId="0" applyNumberFormat="1" applyFont="1" applyFill="1" applyBorder="1" applyAlignment="1">
      <alignment horizontal="center" vertical="center" wrapText="1"/>
    </xf>
    <xf numFmtId="2" fontId="32" fillId="12" borderId="44" xfId="0" applyNumberFormat="1" applyFont="1" applyFill="1" applyBorder="1" applyAlignment="1">
      <alignment horizontal="center" vertical="center" wrapText="1"/>
    </xf>
    <xf numFmtId="2" fontId="32" fillId="12" borderId="4" xfId="0" applyNumberFormat="1" applyFont="1" applyFill="1" applyBorder="1" applyAlignment="1">
      <alignment horizontal="center" vertical="center" wrapText="1"/>
    </xf>
    <xf numFmtId="2" fontId="32" fillId="2" borderId="1" xfId="0" applyNumberFormat="1" applyFont="1" applyFill="1" applyBorder="1" applyAlignment="1">
      <alignment horizontal="center" vertical="center" wrapText="1"/>
    </xf>
    <xf numFmtId="2" fontId="32" fillId="2" borderId="4" xfId="0" applyNumberFormat="1" applyFont="1" applyFill="1" applyBorder="1" applyAlignment="1">
      <alignment horizontal="center" vertical="center" wrapText="1"/>
    </xf>
    <xf numFmtId="0" fontId="32" fillId="2" borderId="52" xfId="0" applyFont="1" applyFill="1" applyBorder="1" applyAlignment="1">
      <alignment horizontal="center" vertical="center" wrapText="1"/>
    </xf>
    <xf numFmtId="0" fontId="32" fillId="2" borderId="53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2" borderId="39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52" fillId="18" borderId="2" xfId="0" applyFont="1" applyFill="1" applyBorder="1" applyAlignment="1">
      <alignment horizontal="center" vertical="center" wrapText="1"/>
    </xf>
    <xf numFmtId="0" fontId="52" fillId="18" borderId="39" xfId="0" applyFont="1" applyFill="1" applyBorder="1" applyAlignment="1">
      <alignment horizontal="center" vertical="center" wrapText="1"/>
    </xf>
    <xf numFmtId="0" fontId="52" fillId="18" borderId="3" xfId="0" applyFont="1" applyFill="1" applyBorder="1" applyAlignment="1">
      <alignment horizontal="center" vertical="center" wrapText="1"/>
    </xf>
    <xf numFmtId="172" fontId="12" fillId="11" borderId="2" xfId="0" applyNumberFormat="1" applyFont="1" applyFill="1" applyBorder="1" applyAlignment="1">
      <alignment horizontal="center" vertical="center" wrapText="1"/>
    </xf>
    <xf numFmtId="172" fontId="12" fillId="11" borderId="39" xfId="0" applyNumberFormat="1" applyFont="1" applyFill="1" applyBorder="1" applyAlignment="1">
      <alignment horizontal="center" vertical="center" wrapText="1"/>
    </xf>
    <xf numFmtId="172" fontId="12" fillId="11" borderId="3" xfId="0" applyNumberFormat="1" applyFont="1" applyFill="1" applyBorder="1" applyAlignment="1">
      <alignment horizontal="center" vertical="center" wrapText="1"/>
    </xf>
    <xf numFmtId="2" fontId="12" fillId="6" borderId="2" xfId="0" applyNumberFormat="1" applyFont="1" applyFill="1" applyBorder="1" applyAlignment="1">
      <alignment horizontal="center" vertical="center" wrapText="1"/>
    </xf>
    <xf numFmtId="2" fontId="12" fillId="6" borderId="39" xfId="0" applyNumberFormat="1" applyFont="1" applyFill="1" applyBorder="1" applyAlignment="1">
      <alignment horizontal="center" vertical="center" wrapText="1"/>
    </xf>
    <xf numFmtId="2" fontId="12" fillId="6" borderId="3" xfId="0" applyNumberFormat="1" applyFont="1" applyFill="1" applyBorder="1" applyAlignment="1">
      <alignment horizontal="center" vertical="center" wrapText="1"/>
    </xf>
    <xf numFmtId="171" fontId="38" fillId="13" borderId="40" xfId="0" applyNumberFormat="1" applyFont="1" applyFill="1" applyBorder="1" applyAlignment="1">
      <alignment horizontal="center" vertical="center" wrapText="1"/>
    </xf>
    <xf numFmtId="171" fontId="38" fillId="13" borderId="41" xfId="0" applyNumberFormat="1" applyFont="1" applyFill="1" applyBorder="1" applyAlignment="1">
      <alignment horizontal="center" vertical="center" wrapText="1"/>
    </xf>
    <xf numFmtId="171" fontId="38" fillId="13" borderId="42" xfId="0" applyNumberFormat="1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22" fillId="12" borderId="2" xfId="0" applyFont="1" applyFill="1" applyBorder="1" applyAlignment="1">
      <alignment horizontal="center" vertical="center" wrapText="1"/>
    </xf>
    <xf numFmtId="0" fontId="22" fillId="12" borderId="39" xfId="0" applyFont="1" applyFill="1" applyBorder="1" applyAlignment="1">
      <alignment horizontal="center" vertical="center" wrapText="1"/>
    </xf>
    <xf numFmtId="0" fontId="22" fillId="12" borderId="3" xfId="0" applyFont="1" applyFill="1" applyBorder="1" applyAlignment="1">
      <alignment horizontal="center" vertical="center" wrapText="1"/>
    </xf>
    <xf numFmtId="2" fontId="14" fillId="12" borderId="2" xfId="0" applyNumberFormat="1" applyFont="1" applyFill="1" applyBorder="1" applyAlignment="1">
      <alignment horizontal="center" vertical="center" wrapText="1"/>
    </xf>
    <xf numFmtId="2" fontId="14" fillId="12" borderId="39" xfId="0" applyNumberFormat="1" applyFont="1" applyFill="1" applyBorder="1" applyAlignment="1">
      <alignment horizontal="center" vertical="center" wrapText="1"/>
    </xf>
    <xf numFmtId="2" fontId="14" fillId="12" borderId="3" xfId="0" applyNumberFormat="1" applyFont="1" applyFill="1" applyBorder="1" applyAlignment="1">
      <alignment horizontal="center" vertical="center" wrapText="1"/>
    </xf>
    <xf numFmtId="2" fontId="14" fillId="6" borderId="2" xfId="0" applyNumberFormat="1" applyFont="1" applyFill="1" applyBorder="1" applyAlignment="1">
      <alignment horizontal="center" vertical="center" wrapText="1"/>
    </xf>
    <xf numFmtId="2" fontId="14" fillId="6" borderId="39" xfId="0" applyNumberFormat="1" applyFont="1" applyFill="1" applyBorder="1" applyAlignment="1">
      <alignment horizontal="center" vertical="center" wrapText="1"/>
    </xf>
    <xf numFmtId="2" fontId="14" fillId="6" borderId="3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39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2" fontId="13" fillId="13" borderId="46" xfId="0" applyNumberFormat="1" applyFont="1" applyFill="1" applyBorder="1" applyAlignment="1">
      <alignment horizontal="center" vertical="center" wrapText="1"/>
    </xf>
    <xf numFmtId="2" fontId="13" fillId="13" borderId="47" xfId="0" applyNumberFormat="1" applyFont="1" applyFill="1" applyBorder="1" applyAlignment="1">
      <alignment horizontal="center" vertical="center" wrapText="1"/>
    </xf>
    <xf numFmtId="2" fontId="13" fillId="13" borderId="48" xfId="0" applyNumberFormat="1" applyFont="1" applyFill="1" applyBorder="1" applyAlignment="1">
      <alignment horizontal="center" vertical="center" wrapText="1"/>
    </xf>
    <xf numFmtId="2" fontId="39" fillId="13" borderId="2" xfId="0" applyNumberFormat="1" applyFont="1" applyFill="1" applyBorder="1" applyAlignment="1">
      <alignment horizontal="center" vertical="center" wrapText="1"/>
    </xf>
    <xf numFmtId="2" fontId="39" fillId="13" borderId="39" xfId="0" applyNumberFormat="1" applyFont="1" applyFill="1" applyBorder="1" applyAlignment="1">
      <alignment horizontal="center" vertical="center" wrapText="1"/>
    </xf>
    <xf numFmtId="2" fontId="39" fillId="13" borderId="3" xfId="0" applyNumberFormat="1" applyFont="1" applyFill="1" applyBorder="1" applyAlignment="1">
      <alignment horizontal="center" vertical="center" wrapText="1"/>
    </xf>
    <xf numFmtId="1" fontId="39" fillId="13" borderId="2" xfId="0" applyNumberFormat="1" applyFont="1" applyFill="1" applyBorder="1" applyAlignment="1">
      <alignment horizontal="center" vertical="center" wrapText="1"/>
    </xf>
    <xf numFmtId="1" fontId="39" fillId="13" borderId="39" xfId="0" applyNumberFormat="1" applyFont="1" applyFill="1" applyBorder="1" applyAlignment="1">
      <alignment horizontal="center" vertical="center" wrapText="1"/>
    </xf>
    <xf numFmtId="1" fontId="39" fillId="13" borderId="3" xfId="0" applyNumberFormat="1" applyFont="1" applyFill="1" applyBorder="1" applyAlignment="1">
      <alignment horizontal="center" vertical="center" wrapText="1"/>
    </xf>
  </cellXfs>
  <cellStyles count="18">
    <cellStyle name="Normal" xfId="0" builtinId="0"/>
    <cellStyle name="Normal 10 3" xfId="16" xr:uid="{00000000-0005-0000-0000-000001000000}"/>
    <cellStyle name="Normal 160" xfId="1" xr:uid="{00000000-0005-0000-0000-000002000000}"/>
    <cellStyle name="Normal 2" xfId="2" xr:uid="{00000000-0005-0000-0000-000003000000}"/>
    <cellStyle name="Normal 2 10" xfId="3" xr:uid="{00000000-0005-0000-0000-000004000000}"/>
    <cellStyle name="Normal 2 30 2 4" xfId="4" xr:uid="{00000000-0005-0000-0000-000005000000}"/>
    <cellStyle name="Normal 2 30 2 4 4 3 11 8" xfId="5" xr:uid="{00000000-0005-0000-0000-000006000000}"/>
    <cellStyle name="Normal 2 30 2 4 4 3 11 8 20" xfId="15" xr:uid="{00000000-0005-0000-0000-000007000000}"/>
    <cellStyle name="Normal 2 30 2 4 4 3 11 8 6" xfId="6" xr:uid="{00000000-0005-0000-0000-000008000000}"/>
    <cellStyle name="Normal 2 30 2 4 8 6" xfId="7" xr:uid="{00000000-0005-0000-0000-000009000000}"/>
    <cellStyle name="Normal 2 30 2 7 4 3 11 8" xfId="8" xr:uid="{00000000-0005-0000-0000-00000A000000}"/>
    <cellStyle name="Normal 2 30 2 7 4 3 11 8 6" xfId="9" xr:uid="{00000000-0005-0000-0000-00000B000000}"/>
    <cellStyle name="Normal 2 30 2 7 4 3 11 8 6 17" xfId="17" xr:uid="{00000000-0005-0000-0000-00000C000000}"/>
    <cellStyle name="Normal 2 7" xfId="10" xr:uid="{00000000-0005-0000-0000-00000D000000}"/>
    <cellStyle name="Normal 2 7 2" xfId="11" xr:uid="{00000000-0005-0000-0000-00000E000000}"/>
    <cellStyle name="Normal 200 2 2 8 4 3 11 8 6" xfId="12" xr:uid="{00000000-0005-0000-0000-00000F000000}"/>
    <cellStyle name="Normal 207 2" xfId="13" xr:uid="{00000000-0005-0000-0000-000010000000}"/>
    <cellStyle name="Normal 242 4 3 11 8 6" xfId="14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neDrive%20-%20Maharashtra%20State%20Power%20Generation%20Co.%20Ltd\Monthly%20Reports\7.FAC%202020-21%20onwords\working\Part%20I\2025-2026\3.%20June-2025%20Part%20I%20Working\BTPS%20FAC%20Part%20I%20Jun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ved in 187 of 2024"/>
      <sheetName val="Annexure A"/>
      <sheetName val="F2"/>
      <sheetName val="F5"/>
      <sheetName val="F10"/>
      <sheetName val="F11"/>
      <sheetName val="F12 as per station"/>
      <sheetName val="F12"/>
      <sheetName val="F13"/>
      <sheetName val="GCV Data"/>
      <sheetName val="GCV Data (From Station)"/>
      <sheetName val="FAC BILL"/>
      <sheetName val="Coal Details 210 "/>
      <sheetName val="Coal Details 500 "/>
      <sheetName val="Coal Details 660"/>
      <sheetName val="F11 (210)"/>
      <sheetName val="F11 (500)"/>
      <sheetName val="F11 (660)"/>
      <sheetName val="Justification 210"/>
      <sheetName val="Justification 500"/>
      <sheetName val="Justification 660"/>
      <sheetName val="OVC"/>
      <sheetName val="Office Note"/>
      <sheetName val="GCV 660"/>
      <sheetName val="GCV 500"/>
    </sheetNames>
    <sheetDataSet>
      <sheetData sheetId="0"/>
      <sheetData sheetId="1"/>
      <sheetData sheetId="2"/>
      <sheetData sheetId="3"/>
      <sheetData sheetId="4"/>
      <sheetData sheetId="5"/>
      <sheetData sheetId="6">
        <row r="14">
          <cell r="I14">
            <v>0</v>
          </cell>
        </row>
        <row r="24">
          <cell r="I24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S37"/>
  <sheetViews>
    <sheetView topLeftCell="A9" zoomScale="77" zoomScaleNormal="77" workbookViewId="0">
      <selection activeCell="P29" sqref="P29"/>
    </sheetView>
  </sheetViews>
  <sheetFormatPr defaultColWidth="10.42578125" defaultRowHeight="15"/>
  <cols>
    <col min="1" max="1" width="6" style="8" customWidth="1"/>
    <col min="2" max="2" width="4.7109375" style="8" customWidth="1"/>
    <col min="3" max="3" width="7.42578125" style="8" customWidth="1"/>
    <col min="4" max="4" width="36.28515625" style="8" customWidth="1"/>
    <col min="5" max="5" width="11" style="8" customWidth="1"/>
    <col min="6" max="6" width="9.28515625" style="8" customWidth="1"/>
    <col min="7" max="7" width="15.140625" style="8" customWidth="1"/>
    <col min="8" max="10" width="11" style="8" customWidth="1"/>
    <col min="11" max="11" width="10" style="8" customWidth="1"/>
    <col min="12" max="12" width="11" style="8" customWidth="1"/>
    <col min="13" max="13" width="11.7109375" style="8" customWidth="1"/>
    <col min="14" max="15" width="11" style="8" customWidth="1"/>
    <col min="16" max="16" width="12.140625" style="8" customWidth="1"/>
    <col min="17" max="17" width="11.85546875" style="8" customWidth="1"/>
    <col min="18" max="19" width="11" style="8" customWidth="1"/>
    <col min="20" max="20" width="11.7109375" style="8" customWidth="1"/>
    <col min="21" max="21" width="11.140625" style="8" customWidth="1"/>
    <col min="22" max="22" width="11.7109375" style="8" customWidth="1"/>
    <col min="23" max="23" width="11.28515625" style="8" customWidth="1"/>
    <col min="24" max="24" width="11.42578125" style="8" customWidth="1"/>
    <col min="25" max="16384" width="10.42578125" style="8"/>
  </cols>
  <sheetData>
    <row r="2" spans="1:45" ht="15.75">
      <c r="C2" s="8" t="s">
        <v>0</v>
      </c>
      <c r="U2" s="49" t="s">
        <v>1</v>
      </c>
    </row>
    <row r="3" spans="1:45" ht="21">
      <c r="C3" s="640" t="s">
        <v>2</v>
      </c>
      <c r="D3" s="640"/>
      <c r="E3" s="640"/>
      <c r="F3" s="641">
        <v>45809</v>
      </c>
      <c r="G3" s="641"/>
      <c r="J3" s="8" t="s">
        <v>3</v>
      </c>
      <c r="K3" s="37"/>
      <c r="M3" s="8" t="s">
        <v>4</v>
      </c>
      <c r="N3" s="8">
        <f>-N6+O6</f>
        <v>30</v>
      </c>
      <c r="U3" s="8" t="s">
        <v>5</v>
      </c>
    </row>
    <row r="4" spans="1:45" ht="21">
      <c r="C4" s="9"/>
      <c r="D4" s="9"/>
      <c r="E4" s="9"/>
      <c r="F4" s="10"/>
      <c r="G4" s="10"/>
      <c r="H4" s="15"/>
      <c r="K4" s="37"/>
      <c r="U4" s="8" t="s">
        <v>6</v>
      </c>
    </row>
    <row r="5" spans="1:45" ht="21">
      <c r="C5" s="11" t="s">
        <v>7</v>
      </c>
      <c r="D5" s="9"/>
      <c r="E5" s="12" t="s">
        <v>54</v>
      </c>
      <c r="F5" s="53" t="s">
        <v>8</v>
      </c>
      <c r="H5" s="135" t="s">
        <v>55</v>
      </c>
      <c r="I5" s="15"/>
      <c r="J5" s="15"/>
      <c r="K5" s="15"/>
      <c r="L5" s="38" t="s">
        <v>9</v>
      </c>
      <c r="M5" s="39">
        <f>F3</f>
        <v>45809</v>
      </c>
      <c r="U5" s="8" t="s">
        <v>10</v>
      </c>
    </row>
    <row r="6" spans="1:45" ht="27" customHeight="1">
      <c r="H6" s="15"/>
      <c r="I6" s="15"/>
      <c r="J6" s="15"/>
      <c r="K6" s="496"/>
      <c r="L6" s="495"/>
      <c r="N6" s="40">
        <f>EOMONTH(F3,-1)</f>
        <v>45808</v>
      </c>
      <c r="O6" s="40">
        <f>EOMONTH(F3,0)</f>
        <v>45838</v>
      </c>
    </row>
    <row r="7" spans="1:45" ht="23.25" customHeight="1" thickBot="1">
      <c r="B7" s="13" t="s">
        <v>11</v>
      </c>
      <c r="C7" s="14" t="s">
        <v>12</v>
      </c>
      <c r="I7" s="15"/>
      <c r="J7" s="15"/>
      <c r="K7" s="15"/>
      <c r="U7" s="8" t="s">
        <v>13</v>
      </c>
    </row>
    <row r="8" spans="1:45" ht="15.75" thickBot="1">
      <c r="C8" s="621" t="s">
        <v>14</v>
      </c>
      <c r="D8" s="643" t="s">
        <v>15</v>
      </c>
      <c r="E8" s="629" t="s">
        <v>16</v>
      </c>
      <c r="F8" s="630"/>
      <c r="G8" s="630"/>
      <c r="H8" s="630"/>
      <c r="I8" s="631"/>
      <c r="J8" s="637" t="s">
        <v>17</v>
      </c>
      <c r="K8" s="638"/>
      <c r="L8" s="638"/>
      <c r="M8" s="638"/>
      <c r="N8" s="639"/>
      <c r="O8" s="629" t="s">
        <v>18</v>
      </c>
      <c r="P8" s="630"/>
      <c r="Q8" s="630"/>
      <c r="R8" s="630"/>
      <c r="S8" s="631"/>
      <c r="U8" s="8" t="s">
        <v>19</v>
      </c>
    </row>
    <row r="9" spans="1:45" ht="93" customHeight="1" thickBot="1">
      <c r="C9" s="642"/>
      <c r="D9" s="644"/>
      <c r="E9" s="54" t="s">
        <v>20</v>
      </c>
      <c r="F9" s="55" t="s">
        <v>21</v>
      </c>
      <c r="G9" s="56" t="s">
        <v>22</v>
      </c>
      <c r="H9" s="56" t="s">
        <v>23</v>
      </c>
      <c r="I9" s="66" t="s">
        <v>24</v>
      </c>
      <c r="J9" s="84" t="s">
        <v>25</v>
      </c>
      <c r="K9" s="85" t="s">
        <v>21</v>
      </c>
      <c r="L9" s="86" t="s">
        <v>22</v>
      </c>
      <c r="M9" s="86" t="s">
        <v>23</v>
      </c>
      <c r="N9" s="87" t="s">
        <v>24</v>
      </c>
      <c r="O9" s="16" t="s">
        <v>25</v>
      </c>
      <c r="P9" s="17" t="s">
        <v>21</v>
      </c>
      <c r="Q9" s="17" t="s">
        <v>22</v>
      </c>
      <c r="R9" s="17" t="s">
        <v>23</v>
      </c>
      <c r="S9" s="41" t="s">
        <v>24</v>
      </c>
      <c r="U9" s="632" t="s">
        <v>26</v>
      </c>
      <c r="V9" s="632"/>
      <c r="W9" s="632"/>
      <c r="X9" s="632"/>
      <c r="Y9" s="632"/>
      <c r="Z9" s="632"/>
      <c r="AA9" s="632"/>
      <c r="AB9" s="632"/>
      <c r="AC9" s="632"/>
    </row>
    <row r="10" spans="1:45" s="89" customFormat="1" ht="19.899999999999999" customHeight="1">
      <c r="A10" s="88"/>
      <c r="C10" s="90">
        <v>1</v>
      </c>
      <c r="D10" s="91" t="s">
        <v>27</v>
      </c>
      <c r="E10" s="18">
        <v>20798.640000000014</v>
      </c>
      <c r="F10" s="19"/>
      <c r="G10" s="92">
        <v>3968.4498020701271</v>
      </c>
      <c r="H10" s="92">
        <v>3471.8139769595209</v>
      </c>
      <c r="I10" s="136">
        <v>3211.299848618633</v>
      </c>
      <c r="J10" s="547">
        <v>261713</v>
      </c>
      <c r="K10" s="548">
        <f>'[1]F12 as per station'!I24</f>
        <v>0</v>
      </c>
      <c r="L10" s="618">
        <v>3910.1909657907709</v>
      </c>
      <c r="M10" s="618">
        <v>3384.7637648569016</v>
      </c>
      <c r="N10" s="618">
        <v>3155.0936895303339</v>
      </c>
      <c r="O10" s="81">
        <f>E10+J10</f>
        <v>282511.64</v>
      </c>
      <c r="P10" s="42">
        <f>((K10*J10)+(F10*E10))/O10</f>
        <v>0</v>
      </c>
      <c r="Q10" s="42">
        <f>((L10*J10)+(G10*E10))/O10</f>
        <v>3914.4800087576141</v>
      </c>
      <c r="R10" s="42">
        <f>((M10*J10)+(H10*E10))/O10</f>
        <v>3391.1724424726135</v>
      </c>
      <c r="S10" s="50">
        <f>((N10*J10)+(I10*E10))/O10</f>
        <v>3159.2316134355588</v>
      </c>
      <c r="U10" s="632" t="s">
        <v>28</v>
      </c>
      <c r="V10" s="632"/>
      <c r="W10" s="632"/>
      <c r="X10" s="632"/>
      <c r="Y10" s="632"/>
      <c r="Z10" s="632"/>
      <c r="AA10" s="632"/>
      <c r="AB10" s="632"/>
      <c r="AC10" s="632"/>
      <c r="AD10" s="88"/>
      <c r="AM10" s="88"/>
      <c r="AN10" s="88"/>
      <c r="AO10" s="88"/>
      <c r="AP10" s="88"/>
      <c r="AQ10" s="88"/>
      <c r="AR10" s="88"/>
      <c r="AS10" s="88"/>
    </row>
    <row r="11" spans="1:45" s="89" customFormat="1" ht="19.899999999999999" customHeight="1">
      <c r="A11" s="88"/>
      <c r="C11" s="90">
        <v>2</v>
      </c>
      <c r="D11" s="93" t="s">
        <v>29</v>
      </c>
      <c r="E11" s="57">
        <v>0</v>
      </c>
      <c r="F11" s="20"/>
      <c r="G11" s="94">
        <v>0</v>
      </c>
      <c r="H11" s="94">
        <v>0</v>
      </c>
      <c r="I11" s="95">
        <v>0</v>
      </c>
      <c r="J11" s="43"/>
      <c r="K11" s="21"/>
      <c r="L11" s="67"/>
      <c r="M11" s="20"/>
      <c r="N11" s="96"/>
      <c r="O11" s="81"/>
      <c r="P11" s="42"/>
      <c r="Q11" s="42"/>
      <c r="R11" s="42"/>
      <c r="S11" s="50"/>
      <c r="U11" s="632"/>
      <c r="V11" s="632"/>
      <c r="W11" s="632"/>
      <c r="X11" s="632"/>
      <c r="Y11" s="632"/>
      <c r="Z11" s="632"/>
      <c r="AA11" s="632"/>
      <c r="AB11" s="632"/>
      <c r="AC11" s="632"/>
      <c r="AD11" s="88"/>
      <c r="AM11" s="88"/>
      <c r="AN11" s="88"/>
      <c r="AO11" s="88"/>
      <c r="AP11" s="88"/>
      <c r="AQ11" s="88"/>
      <c r="AR11" s="88"/>
      <c r="AS11" s="88"/>
    </row>
    <row r="12" spans="1:45" s="89" customFormat="1" ht="19.899999999999999" customHeight="1">
      <c r="A12" s="88"/>
      <c r="C12" s="90">
        <v>3</v>
      </c>
      <c r="D12" s="93" t="s">
        <v>30</v>
      </c>
      <c r="E12" s="58">
        <v>41559.35</v>
      </c>
      <c r="F12" s="20"/>
      <c r="G12" s="109">
        <v>4602.8612519540484</v>
      </c>
      <c r="H12" s="109">
        <v>4602.8612519540484</v>
      </c>
      <c r="I12" s="110">
        <v>4602.8612519540484</v>
      </c>
      <c r="J12" s="43"/>
      <c r="K12" s="44"/>
      <c r="L12" s="20"/>
      <c r="M12" s="20"/>
      <c r="N12" s="68"/>
      <c r="O12" s="81">
        <f>E12+J12</f>
        <v>41559.35</v>
      </c>
      <c r="P12" s="42">
        <f>((K12*J12)+(F12*E12))/O12</f>
        <v>0</v>
      </c>
      <c r="Q12" s="42">
        <f>((L12*J12)+(G12*E12))/O12</f>
        <v>4602.8612519540484</v>
      </c>
      <c r="R12" s="42">
        <f>((M12*J12)+(H12*E12))/O12</f>
        <v>4602.8612519540484</v>
      </c>
      <c r="S12" s="50">
        <f>((N12*J12)+(I12*E12))/O12</f>
        <v>4602.8612519540484</v>
      </c>
      <c r="Y12" s="88"/>
      <c r="Z12" s="88"/>
      <c r="AA12" s="88"/>
      <c r="AB12" s="88"/>
      <c r="AC12" s="88"/>
      <c r="AD12" s="88"/>
      <c r="AM12" s="88"/>
      <c r="AN12" s="88"/>
      <c r="AO12" s="88"/>
      <c r="AP12" s="88"/>
      <c r="AQ12" s="88"/>
      <c r="AR12" s="88"/>
      <c r="AS12" s="88"/>
    </row>
    <row r="13" spans="1:45" s="89" customFormat="1" ht="19.899999999999999" customHeight="1" thickBot="1">
      <c r="C13" s="97"/>
      <c r="D13" s="98"/>
      <c r="E13" s="59">
        <f>SUM(E10:E12)</f>
        <v>62357.990000000013</v>
      </c>
      <c r="F13" s="60">
        <f>SUMPRODUCT(F10:F12,E10:E12)/E13</f>
        <v>0</v>
      </c>
      <c r="G13" s="60">
        <f>SUMPRODUCT(G10:G12,E10:E12)/E13</f>
        <v>4391.262139185761</v>
      </c>
      <c r="H13" s="60">
        <f>SUMPRODUCT(H10:H12,E10:E12)/E13</f>
        <v>4225.616169237428</v>
      </c>
      <c r="I13" s="69">
        <f>SUMPRODUCT(I10:I12,E10:E12)/E13</f>
        <v>4138.7253061695847</v>
      </c>
      <c r="J13" s="23">
        <f>SUM(J10:J12)</f>
        <v>261713</v>
      </c>
      <c r="K13" s="23">
        <f>SUMPRODUCT(K10:K12,J10:J12)/J13</f>
        <v>0</v>
      </c>
      <c r="L13" s="24">
        <f>SUMPRODUCT(L10:L12,J10:J12)/J13</f>
        <v>3910.1909657907709</v>
      </c>
      <c r="M13" s="24">
        <f>SUMPRODUCT(M10:M12,J10:J12)/J13</f>
        <v>3384.7637648569016</v>
      </c>
      <c r="N13" s="45">
        <f>SUMPRODUCT(N10:N12,J10:J12)/J13</f>
        <v>3155.0936895303339</v>
      </c>
      <c r="O13" s="22">
        <f>SUM(O10:O12)</f>
        <v>324070.99</v>
      </c>
      <c r="P13" s="24">
        <f>SUMPRODUCT(P10:P12,O10:O12)/O13</f>
        <v>0</v>
      </c>
      <c r="Q13" s="24">
        <f>SUMPRODUCT(Q10:Q12,O10:O12)/O13</f>
        <v>4002.7590522456958</v>
      </c>
      <c r="R13" s="24">
        <f>SUMPRODUCT(R10:R12,O10:O12)/O13</f>
        <v>3546.5612334419079</v>
      </c>
      <c r="S13" s="80">
        <f>SUMPRODUCT(S10:S12,O10:O12)/O13</f>
        <v>3344.3648443290845</v>
      </c>
      <c r="U13" s="89" t="s">
        <v>31</v>
      </c>
      <c r="Y13" s="88"/>
      <c r="Z13" s="88"/>
      <c r="AA13" s="88"/>
      <c r="AB13" s="88"/>
      <c r="AC13" s="88"/>
      <c r="AD13" s="88"/>
      <c r="AM13" s="88"/>
      <c r="AN13" s="88"/>
      <c r="AO13" s="88"/>
      <c r="AP13" s="88"/>
      <c r="AQ13" s="88"/>
      <c r="AR13" s="88"/>
      <c r="AS13" s="88"/>
    </row>
    <row r="14" spans="1:45" s="89" customFormat="1" ht="19.899999999999999" customHeight="1" thickBot="1">
      <c r="C14" s="99"/>
      <c r="D14" s="100" t="s">
        <v>32</v>
      </c>
      <c r="E14" s="61">
        <f>E13</f>
        <v>62357.990000000013</v>
      </c>
      <c r="F14" s="62">
        <f>F13</f>
        <v>0</v>
      </c>
      <c r="G14" s="63">
        <f>G13</f>
        <v>4391.262139185761</v>
      </c>
      <c r="H14" s="63">
        <f>H13</f>
        <v>4225.616169237428</v>
      </c>
      <c r="I14" s="70">
        <f>SUMPRODUCT(I13:I13,E13:E13)/E14</f>
        <v>4138.7253061695847</v>
      </c>
      <c r="J14" s="71">
        <f>SUM(J10:J12)</f>
        <v>261713</v>
      </c>
      <c r="K14" s="27">
        <f>K13</f>
        <v>0</v>
      </c>
      <c r="L14" s="28">
        <f>L13</f>
        <v>3910.1909657907709</v>
      </c>
      <c r="M14" s="28">
        <f>M13</f>
        <v>3384.7637648569016</v>
      </c>
      <c r="N14" s="46">
        <f>SUMPRODUCT(N13:N13,J13:J13)/J14</f>
        <v>3155.0936895303339</v>
      </c>
      <c r="O14" s="26">
        <f>SUM(O10:O12)</f>
        <v>324070.99</v>
      </c>
      <c r="P14" s="47">
        <f>P13</f>
        <v>0</v>
      </c>
      <c r="Q14" s="79">
        <f>Q13</f>
        <v>4002.7590522456958</v>
      </c>
      <c r="R14" s="28">
        <f>R13</f>
        <v>3546.5612334419079</v>
      </c>
      <c r="S14" s="79">
        <f>S13</f>
        <v>3344.3648443290845</v>
      </c>
      <c r="Y14" s="88"/>
      <c r="Z14" s="88"/>
      <c r="AA14" s="88"/>
      <c r="AB14" s="88"/>
      <c r="AC14" s="88"/>
      <c r="AD14" s="88"/>
      <c r="AM14" s="88"/>
      <c r="AN14" s="88"/>
      <c r="AO14" s="88"/>
      <c r="AP14" s="88"/>
      <c r="AQ14" s="88"/>
      <c r="AR14" s="88"/>
      <c r="AS14" s="88"/>
    </row>
    <row r="15" spans="1:45" ht="15.75">
      <c r="C15" s="29"/>
      <c r="D15" s="30"/>
      <c r="E15" s="31"/>
      <c r="F15" s="31"/>
      <c r="G15" s="101"/>
      <c r="H15" s="31"/>
      <c r="I15" s="31"/>
      <c r="J15" s="72"/>
      <c r="K15" s="48"/>
      <c r="L15" s="102"/>
      <c r="M15" s="101"/>
      <c r="N15" s="102"/>
      <c r="O15" s="31">
        <v>324070.99000000005</v>
      </c>
      <c r="P15" s="48"/>
      <c r="R15" s="546">
        <v>4002.7590522456953</v>
      </c>
      <c r="S15" s="537">
        <v>3344.3648443290826</v>
      </c>
      <c r="T15" s="36"/>
      <c r="U15" s="51"/>
      <c r="V15" s="36"/>
      <c r="W15" s="36"/>
      <c r="X15" s="36"/>
      <c r="Y15" s="15"/>
      <c r="Z15" s="15"/>
      <c r="AA15" s="15"/>
      <c r="AB15" s="15"/>
      <c r="AC15" s="15"/>
      <c r="AD15" s="15"/>
      <c r="AM15" s="15"/>
      <c r="AN15" s="15"/>
      <c r="AO15" s="15"/>
      <c r="AP15" s="15"/>
      <c r="AQ15" s="15"/>
      <c r="AR15" s="15"/>
      <c r="AS15" s="15"/>
    </row>
    <row r="16" spans="1:45" ht="24.75" customHeight="1" thickBot="1">
      <c r="B16" s="13" t="s">
        <v>33</v>
      </c>
      <c r="C16" s="32" t="s">
        <v>34</v>
      </c>
      <c r="D16" s="32"/>
      <c r="E16" s="14"/>
      <c r="F16" s="14"/>
      <c r="G16" s="14"/>
      <c r="H16" s="14"/>
      <c r="I16" s="14"/>
      <c r="J16" s="14"/>
      <c r="K16" s="633"/>
      <c r="L16" s="633"/>
      <c r="M16" s="31"/>
      <c r="N16" s="31"/>
      <c r="O16" s="31"/>
      <c r="P16" s="48"/>
      <c r="S16" s="634"/>
      <c r="T16" s="635"/>
      <c r="U16" s="636"/>
      <c r="V16" s="636"/>
      <c r="W16" s="636"/>
      <c r="X16" s="636"/>
      <c r="Y16" s="15"/>
      <c r="Z16" s="15"/>
      <c r="AA16" s="15"/>
      <c r="AB16" s="15"/>
      <c r="AC16" s="15"/>
      <c r="AD16" s="15"/>
      <c r="AM16" s="15"/>
      <c r="AN16" s="15"/>
      <c r="AO16" s="15"/>
      <c r="AP16" s="15"/>
      <c r="AQ16" s="15"/>
      <c r="AR16" s="15"/>
      <c r="AS16" s="15"/>
    </row>
    <row r="17" spans="3:45" ht="21" customHeight="1">
      <c r="C17" s="621" t="s">
        <v>14</v>
      </c>
      <c r="D17" s="623" t="s">
        <v>15</v>
      </c>
      <c r="E17" s="625" t="s">
        <v>56</v>
      </c>
      <c r="F17" s="625"/>
      <c r="G17" s="625"/>
      <c r="H17" s="625"/>
      <c r="I17" s="625"/>
      <c r="J17" s="625"/>
      <c r="K17" s="625"/>
      <c r="L17" s="625"/>
      <c r="M17" s="625"/>
      <c r="N17" s="625"/>
      <c r="O17" s="625"/>
      <c r="Q17" s="15"/>
      <c r="R17" s="473"/>
      <c r="S17" s="15"/>
      <c r="U17" s="474"/>
      <c r="V17" s="75"/>
      <c r="W17" s="475"/>
      <c r="X17" s="476"/>
      <c r="Y17" s="15"/>
      <c r="Z17" s="15"/>
      <c r="AA17" s="15"/>
      <c r="AB17" s="15"/>
      <c r="AC17" s="15"/>
      <c r="AD17" s="15"/>
      <c r="AM17" s="15"/>
      <c r="AN17" s="15"/>
      <c r="AO17" s="15"/>
      <c r="AP17" s="15"/>
      <c r="AQ17" s="15"/>
      <c r="AR17" s="15"/>
      <c r="AS17" s="15"/>
    </row>
    <row r="18" spans="3:45" ht="75">
      <c r="C18" s="622"/>
      <c r="D18" s="624"/>
      <c r="E18" s="123" t="s">
        <v>25</v>
      </c>
      <c r="F18" s="124" t="s">
        <v>21</v>
      </c>
      <c r="G18" s="125" t="s">
        <v>22</v>
      </c>
      <c r="H18" s="125" t="s">
        <v>23</v>
      </c>
      <c r="I18" s="125" t="s">
        <v>35</v>
      </c>
      <c r="J18" s="124" t="s">
        <v>36</v>
      </c>
      <c r="K18" s="125" t="s">
        <v>37</v>
      </c>
      <c r="L18" s="125" t="s">
        <v>38</v>
      </c>
      <c r="M18" s="125" t="s">
        <v>39</v>
      </c>
      <c r="N18" s="33" t="s">
        <v>40</v>
      </c>
      <c r="O18" s="33" t="s">
        <v>41</v>
      </c>
      <c r="S18" s="477"/>
      <c r="T18" s="477"/>
      <c r="Y18" s="15"/>
      <c r="Z18" s="15"/>
      <c r="AA18" s="15"/>
      <c r="AB18" s="15"/>
      <c r="AC18" s="15"/>
      <c r="AD18" s="15"/>
      <c r="AM18" s="15"/>
      <c r="AN18" s="15"/>
      <c r="AO18" s="15"/>
      <c r="AP18" s="15"/>
      <c r="AQ18" s="15"/>
      <c r="AR18" s="15"/>
      <c r="AS18" s="15"/>
    </row>
    <row r="19" spans="3:45" ht="18.600000000000001" customHeight="1">
      <c r="C19" s="478">
        <v>1</v>
      </c>
      <c r="D19" s="64" t="s">
        <v>27</v>
      </c>
      <c r="E19" s="615">
        <v>254491</v>
      </c>
      <c r="F19" s="44"/>
      <c r="G19" s="539">
        <f>Q10</f>
        <v>3914.4800087576141</v>
      </c>
      <c r="H19" s="126">
        <f t="shared" ref="H19" si="0">R10</f>
        <v>3391.1724424726135</v>
      </c>
      <c r="I19" s="20">
        <f>S10</f>
        <v>3159.2316134355588</v>
      </c>
      <c r="J19" s="521">
        <v>3105.0007809706435</v>
      </c>
      <c r="K19" s="479">
        <f>IF(G19-I19&gt;750,G19-650,I19)</f>
        <v>3264.4800087576141</v>
      </c>
      <c r="L19" s="480"/>
      <c r="M19" s="480"/>
      <c r="N19" s="480"/>
      <c r="O19" s="481"/>
      <c r="P19" s="82">
        <f>G19-I19</f>
        <v>755.24839532205533</v>
      </c>
      <c r="Q19" s="538" t="s">
        <v>225</v>
      </c>
      <c r="R19" s="15"/>
      <c r="U19" s="117"/>
      <c r="V19" s="118" t="s">
        <v>57</v>
      </c>
      <c r="W19" s="118" t="s">
        <v>58</v>
      </c>
      <c r="Y19" s="15"/>
      <c r="Z19" s="15"/>
      <c r="AA19" s="15"/>
      <c r="AB19" s="15"/>
      <c r="AC19" s="15"/>
      <c r="AD19" s="15"/>
      <c r="AM19" s="15"/>
      <c r="AN19" s="15"/>
      <c r="AO19" s="15"/>
      <c r="AP19" s="15"/>
      <c r="AQ19" s="15"/>
      <c r="AR19" s="15"/>
      <c r="AS19" s="15"/>
    </row>
    <row r="20" spans="3:45" ht="18.600000000000001" customHeight="1">
      <c r="C20" s="478">
        <v>2</v>
      </c>
      <c r="D20" s="482" t="s">
        <v>29</v>
      </c>
      <c r="E20" s="615">
        <v>0</v>
      </c>
      <c r="F20" s="44"/>
      <c r="G20" s="126"/>
      <c r="H20" s="126"/>
      <c r="I20" s="20"/>
      <c r="J20" s="483"/>
      <c r="K20" s="479">
        <f>IF(G20-I20&gt;300,G20-300,I20)</f>
        <v>0</v>
      </c>
      <c r="L20" s="480"/>
      <c r="M20" s="480"/>
      <c r="N20" s="480"/>
      <c r="O20" s="484"/>
      <c r="P20" s="15"/>
      <c r="Q20" s="15"/>
      <c r="R20" s="15"/>
      <c r="U20" s="119" t="s">
        <v>59</v>
      </c>
      <c r="V20" s="116">
        <f>E19</f>
        <v>254491</v>
      </c>
      <c r="W20" s="137">
        <f>(V22*W22-V21*W21)/V20</f>
        <v>3105.0007809706435</v>
      </c>
      <c r="Y20" s="15"/>
      <c r="Z20" s="15"/>
      <c r="AA20" s="15"/>
      <c r="AB20" s="15"/>
      <c r="AC20" s="15"/>
      <c r="AD20" s="15"/>
      <c r="AM20" s="15"/>
      <c r="AN20" s="15"/>
      <c r="AO20" s="15"/>
      <c r="AP20" s="15"/>
      <c r="AQ20" s="15"/>
      <c r="AR20" s="15"/>
      <c r="AS20" s="15"/>
    </row>
    <row r="21" spans="3:45" ht="18.600000000000001" customHeight="1">
      <c r="C21" s="478">
        <v>3</v>
      </c>
      <c r="D21" s="482" t="s">
        <v>30</v>
      </c>
      <c r="E21" s="615">
        <v>13394</v>
      </c>
      <c r="F21" s="44"/>
      <c r="G21" s="126">
        <f>Q12</f>
        <v>4602.8612519540484</v>
      </c>
      <c r="H21" s="126">
        <f t="shared" ref="H21:I21" si="1">R12</f>
        <v>4602.8612519540484</v>
      </c>
      <c r="I21" s="20">
        <f t="shared" si="1"/>
        <v>4602.8612519540484</v>
      </c>
      <c r="J21" s="480">
        <v>3900</v>
      </c>
      <c r="K21" s="480">
        <f>I21</f>
        <v>4602.8612519540484</v>
      </c>
      <c r="L21" s="480"/>
      <c r="M21" s="480"/>
      <c r="N21" s="480"/>
      <c r="O21" s="484"/>
      <c r="P21" s="15"/>
      <c r="Q21" s="473"/>
      <c r="R21" s="546"/>
      <c r="U21" s="121" t="s">
        <v>60</v>
      </c>
      <c r="V21" s="116">
        <f>E21</f>
        <v>13394</v>
      </c>
      <c r="W21" s="120">
        <v>3900</v>
      </c>
      <c r="Y21" s="15"/>
      <c r="Z21" s="15"/>
      <c r="AA21" s="15"/>
      <c r="AB21" s="15"/>
      <c r="AC21" s="15"/>
      <c r="AD21" s="15"/>
      <c r="AM21" s="15"/>
      <c r="AN21" s="15"/>
      <c r="AO21" s="15"/>
      <c r="AP21" s="15"/>
      <c r="AQ21" s="15"/>
      <c r="AR21" s="15"/>
      <c r="AS21" s="15"/>
    </row>
    <row r="22" spans="3:45" ht="18.600000000000001" customHeight="1">
      <c r="C22" s="127"/>
      <c r="D22" s="128" t="s">
        <v>32</v>
      </c>
      <c r="E22" s="485">
        <f>SUM(E19:E21)</f>
        <v>267885</v>
      </c>
      <c r="F22" s="486">
        <f>SUMPRODUCT(F19:F21,$E$19:$E$21)/$E$22</f>
        <v>0</v>
      </c>
      <c r="G22" s="486">
        <f>SUMPRODUCT(G19:G21,$E$19:$E$21)/$E$22</f>
        <v>3948.8984284950875</v>
      </c>
      <c r="H22" s="486">
        <f>SUMPRODUCT(H19:H21,$E$19:$E$21)/$E$22</f>
        <v>3451.7557521547319</v>
      </c>
      <c r="I22" s="486">
        <f>SUMPRODUCT(I19:I21,$E$19:$E$21)/$E$22</f>
        <v>3231.4117481139342</v>
      </c>
      <c r="J22" s="494">
        <f>SUMPRODUCT(J19:J21,$E$19:$E$21)/$E$22</f>
        <v>3144.75</v>
      </c>
      <c r="K22" s="487">
        <f>SUMPRODUCT(K19:K21,E19:E21)/E22</f>
        <v>3331.3978218915072</v>
      </c>
      <c r="L22" s="487"/>
      <c r="M22" s="487"/>
      <c r="N22" s="487"/>
      <c r="O22" s="488"/>
      <c r="P22" s="15"/>
      <c r="Q22" s="15"/>
      <c r="U22" s="121" t="s">
        <v>61</v>
      </c>
      <c r="V22" s="119">
        <f>SUM(V20:V21)</f>
        <v>267885</v>
      </c>
      <c r="W22" s="122">
        <v>3144.75</v>
      </c>
      <c r="Y22" s="15"/>
      <c r="Z22" s="15"/>
      <c r="AA22" s="15"/>
      <c r="AB22" s="15"/>
      <c r="AC22" s="15"/>
      <c r="AD22" s="15"/>
      <c r="AM22" s="15"/>
      <c r="AN22" s="15"/>
      <c r="AO22" s="15"/>
      <c r="AP22" s="15"/>
      <c r="AQ22" s="15"/>
      <c r="AR22" s="15"/>
      <c r="AS22" s="15"/>
    </row>
    <row r="23" spans="3:45" ht="18.600000000000001" customHeight="1" thickBot="1">
      <c r="C23" s="25"/>
      <c r="D23" s="34"/>
      <c r="E23" s="497">
        <f>SUM(E19:E21)</f>
        <v>267885</v>
      </c>
      <c r="F23" s="489">
        <f t="shared" ref="F23:K23" si="2">F22</f>
        <v>0</v>
      </c>
      <c r="G23" s="490">
        <f t="shared" si="2"/>
        <v>3948.8984284950875</v>
      </c>
      <c r="H23" s="491">
        <f t="shared" si="2"/>
        <v>3451.7557521547319</v>
      </c>
      <c r="I23" s="491">
        <f t="shared" si="2"/>
        <v>3231.4117481139342</v>
      </c>
      <c r="J23" s="492">
        <f t="shared" si="2"/>
        <v>3144.75</v>
      </c>
      <c r="K23" s="492">
        <f t="shared" si="2"/>
        <v>3331.3978218915072</v>
      </c>
      <c r="L23" s="491">
        <f>IF(I23-J23&gt;85,K23-85,K23-I23+J23)</f>
        <v>3246.3978218915072</v>
      </c>
      <c r="M23" s="491">
        <f>L23-J23-N23</f>
        <v>101.64782189150719</v>
      </c>
      <c r="N23" s="493">
        <f>IF(I23-J23&gt;120,I23-J23-120,0)</f>
        <v>0</v>
      </c>
      <c r="O23" s="488"/>
      <c r="P23" s="15"/>
      <c r="R23" s="15"/>
      <c r="S23" s="15"/>
      <c r="U23" s="15"/>
      <c r="Y23" s="15"/>
      <c r="Z23" s="15"/>
      <c r="AA23" s="15"/>
      <c r="AB23" s="15"/>
      <c r="AC23" s="15"/>
      <c r="AD23" s="15"/>
      <c r="AM23" s="15"/>
      <c r="AN23" s="15"/>
      <c r="AO23" s="15"/>
      <c r="AP23" s="15"/>
      <c r="AQ23" s="15"/>
      <c r="AR23" s="15"/>
      <c r="AS23" s="15"/>
    </row>
    <row r="24" spans="3:45">
      <c r="D24" s="35"/>
      <c r="E24" s="8">
        <v>5</v>
      </c>
      <c r="G24" s="15">
        <v>3949</v>
      </c>
      <c r="I24" s="15">
        <v>3232</v>
      </c>
      <c r="K24" s="112"/>
      <c r="L24" s="113"/>
      <c r="N24" s="15"/>
    </row>
    <row r="25" spans="3:45" s="1" customFormat="1">
      <c r="C25" s="7"/>
      <c r="G25" s="65"/>
      <c r="I25" s="65"/>
      <c r="K25" s="114"/>
      <c r="L25" s="114">
        <f>I23-J23</f>
        <v>86.661748113934209</v>
      </c>
      <c r="M25" s="78" t="s">
        <v>232</v>
      </c>
      <c r="O25" s="111"/>
      <c r="P25" s="73"/>
      <c r="Q25" s="73"/>
      <c r="R25" s="73"/>
      <c r="S25" s="111"/>
    </row>
    <row r="26" spans="3:45" s="103" customFormat="1">
      <c r="C26" s="598" t="s">
        <v>279</v>
      </c>
      <c r="D26" s="1"/>
      <c r="E26" s="1"/>
      <c r="F26" s="1"/>
      <c r="G26" s="1"/>
      <c r="H26" s="1"/>
      <c r="I26" s="626"/>
      <c r="J26" s="626"/>
      <c r="K26" s="627"/>
      <c r="L26" s="627"/>
      <c r="M26" s="628"/>
      <c r="N26" s="628"/>
    </row>
    <row r="27" spans="3:45" s="103" customFormat="1">
      <c r="C27" s="600" t="s">
        <v>290</v>
      </c>
      <c r="D27" s="1"/>
      <c r="E27" s="1"/>
      <c r="F27" s="1"/>
      <c r="G27" s="1"/>
      <c r="H27" s="1"/>
      <c r="I27" s="104"/>
      <c r="J27" s="105"/>
      <c r="K27" s="520"/>
      <c r="L27" s="520"/>
      <c r="M27" s="107"/>
      <c r="N27" s="108"/>
      <c r="P27" s="115"/>
      <c r="R27" s="115"/>
    </row>
    <row r="28" spans="3:45" s="103" customFormat="1">
      <c r="C28" s="600" t="s">
        <v>291</v>
      </c>
      <c r="D28" s="1"/>
      <c r="E28" s="1"/>
      <c r="F28" s="1"/>
      <c r="G28" s="1"/>
      <c r="H28" s="1"/>
      <c r="J28" s="105"/>
      <c r="K28" s="115"/>
      <c r="L28" s="107"/>
      <c r="M28" s="107"/>
      <c r="N28" s="108"/>
    </row>
    <row r="29" spans="3:45" s="103" customFormat="1">
      <c r="C29" s="600" t="s">
        <v>289</v>
      </c>
      <c r="D29" s="1"/>
      <c r="E29" s="1"/>
      <c r="F29" s="1"/>
      <c r="G29" s="1"/>
      <c r="H29" s="1"/>
      <c r="J29" s="105"/>
      <c r="L29" s="106"/>
      <c r="M29" s="107"/>
      <c r="N29" s="108"/>
    </row>
    <row r="30" spans="3:45" s="103" customFormat="1">
      <c r="C30" s="600" t="s">
        <v>288</v>
      </c>
      <c r="D30" s="1"/>
      <c r="E30" s="1"/>
      <c r="F30" s="1"/>
      <c r="G30" s="1"/>
      <c r="H30" s="1"/>
    </row>
    <row r="31" spans="3:45" s="1" customFormat="1">
      <c r="C31" s="620"/>
      <c r="D31" s="620"/>
      <c r="E31" s="620"/>
      <c r="F31" s="620"/>
      <c r="G31" s="620"/>
      <c r="H31" s="620"/>
      <c r="K31" s="65"/>
      <c r="L31" s="65"/>
      <c r="M31" s="65"/>
    </row>
    <row r="32" spans="3:45" s="76" customFormat="1">
      <c r="C32" s="77"/>
      <c r="D32" s="1"/>
      <c r="E32" s="1"/>
      <c r="F32" s="1"/>
      <c r="G32" s="1"/>
      <c r="H32" s="1"/>
      <c r="I32" s="1"/>
      <c r="J32" s="65"/>
      <c r="K32" s="65"/>
      <c r="L32" s="65"/>
      <c r="M32" s="65"/>
      <c r="N32" s="1"/>
    </row>
    <row r="33" spans="6:13" s="76" customFormat="1">
      <c r="F33" s="129"/>
      <c r="J33" s="37"/>
      <c r="K33" s="37"/>
      <c r="L33" s="37"/>
      <c r="M33" s="37"/>
    </row>
    <row r="34" spans="6:13">
      <c r="F34" s="129"/>
      <c r="G34" s="477"/>
      <c r="J34" s="15"/>
      <c r="K34" s="15"/>
      <c r="L34" s="15"/>
    </row>
    <row r="35" spans="6:13">
      <c r="F35" s="129"/>
      <c r="H35" s="15"/>
      <c r="I35" s="477"/>
      <c r="J35" s="15"/>
      <c r="K35" s="15"/>
      <c r="L35" s="15"/>
    </row>
    <row r="36" spans="6:13">
      <c r="F36" s="477"/>
      <c r="I36" s="477"/>
    </row>
    <row r="37" spans="6:13">
      <c r="I37" s="477"/>
      <c r="M37" s="83"/>
    </row>
  </sheetData>
  <mergeCells count="20">
    <mergeCell ref="C3:E3"/>
    <mergeCell ref="F3:G3"/>
    <mergeCell ref="C8:C9"/>
    <mergeCell ref="D8:D9"/>
    <mergeCell ref="E8:I8"/>
    <mergeCell ref="O8:S8"/>
    <mergeCell ref="U9:AC9"/>
    <mergeCell ref="U10:AC11"/>
    <mergeCell ref="K16:L16"/>
    <mergeCell ref="S16:T16"/>
    <mergeCell ref="U16:V16"/>
    <mergeCell ref="W16:X16"/>
    <mergeCell ref="J8:N8"/>
    <mergeCell ref="C31:H31"/>
    <mergeCell ref="C17:C18"/>
    <mergeCell ref="D17:D18"/>
    <mergeCell ref="E17:O17"/>
    <mergeCell ref="I26:J26"/>
    <mergeCell ref="K26:L26"/>
    <mergeCell ref="M26:N26"/>
  </mergeCells>
  <pageMargins left="0.21" right="0.28999999999999998" top="0.45" bottom="0.46" header="0.31496062992126" footer="0.31496062992126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8"/>
  <sheetViews>
    <sheetView tabSelected="1" topLeftCell="A59" zoomScale="87" zoomScaleNormal="87" workbookViewId="0">
      <selection activeCell="I9" sqref="I9"/>
    </sheetView>
  </sheetViews>
  <sheetFormatPr defaultColWidth="10.7109375" defaultRowHeight="15"/>
  <cols>
    <col min="1" max="1" width="29" style="595" customWidth="1"/>
    <col min="2" max="2" width="17.7109375" style="595" customWidth="1"/>
    <col min="3" max="3" width="16.5703125" style="595" customWidth="1"/>
    <col min="4" max="4" width="16.28515625" style="595" customWidth="1"/>
    <col min="5" max="5" width="14.85546875" style="595" customWidth="1"/>
    <col min="6" max="6" width="17.28515625" style="595" customWidth="1"/>
    <col min="7" max="10" width="10.7109375" style="595"/>
    <col min="11" max="11" width="16.28515625" style="595" customWidth="1"/>
    <col min="12" max="16384" width="10.7109375" style="595"/>
  </cols>
  <sheetData>
    <row r="1" spans="1:11" ht="18.75">
      <c r="A1" s="645" t="s">
        <v>233</v>
      </c>
      <c r="B1" s="645"/>
      <c r="C1" s="645"/>
      <c r="D1" s="645"/>
      <c r="E1" s="645"/>
      <c r="F1" s="645"/>
    </row>
    <row r="2" spans="1:11">
      <c r="A2" s="603"/>
    </row>
    <row r="3" spans="1:11" ht="25.5">
      <c r="A3" s="2" t="s">
        <v>42</v>
      </c>
      <c r="B3" s="3" t="s">
        <v>43</v>
      </c>
      <c r="C3" s="2" t="s">
        <v>44</v>
      </c>
      <c r="D3" s="4" t="s">
        <v>45</v>
      </c>
      <c r="E3" s="5" t="s">
        <v>46</v>
      </c>
      <c r="F3" s="5" t="s">
        <v>47</v>
      </c>
    </row>
    <row r="4" spans="1:11" ht="22.15" customHeight="1">
      <c r="A4" s="6" t="s">
        <v>48</v>
      </c>
      <c r="B4" s="604"/>
      <c r="C4" s="605"/>
      <c r="D4" s="52"/>
      <c r="E4" s="606"/>
      <c r="F4" s="606"/>
      <c r="G4" s="595">
        <v>62357.990000000013</v>
      </c>
      <c r="J4" s="595">
        <v>4391.262139185761</v>
      </c>
      <c r="K4" s="595">
        <v>4138.7253061695847</v>
      </c>
    </row>
    <row r="5" spans="1:11" ht="22.15" customHeight="1">
      <c r="A5" s="6" t="s">
        <v>49</v>
      </c>
      <c r="B5" s="607"/>
      <c r="C5" s="605"/>
      <c r="D5" s="52"/>
      <c r="E5" s="607"/>
      <c r="F5" s="607"/>
    </row>
    <row r="6" spans="1:11" s="597" customFormat="1" ht="30">
      <c r="A6" s="596" t="s">
        <v>50</v>
      </c>
      <c r="B6" s="608">
        <v>3950.45</v>
      </c>
      <c r="C6" s="139">
        <v>141000118</v>
      </c>
      <c r="D6" s="138">
        <v>45808</v>
      </c>
      <c r="E6" s="149">
        <v>4088</v>
      </c>
      <c r="F6" s="157">
        <v>2418</v>
      </c>
    </row>
    <row r="7" spans="1:11" s="597" customFormat="1" ht="15.75">
      <c r="A7" s="596" t="s">
        <v>274</v>
      </c>
      <c r="B7" s="608">
        <v>3876.35</v>
      </c>
      <c r="C7" s="139">
        <v>161000133</v>
      </c>
      <c r="D7" s="138">
        <v>45810</v>
      </c>
      <c r="E7" s="174">
        <v>4450</v>
      </c>
      <c r="F7" s="157">
        <v>3726</v>
      </c>
    </row>
    <row r="8" spans="1:11" s="597" customFormat="1" ht="15.75">
      <c r="A8" s="596" t="s">
        <v>222</v>
      </c>
      <c r="B8" s="608">
        <v>4026</v>
      </c>
      <c r="C8" s="139">
        <v>151001313</v>
      </c>
      <c r="D8" s="138">
        <v>45809</v>
      </c>
      <c r="E8" s="149">
        <v>3450</v>
      </c>
      <c r="F8" s="157">
        <v>3717</v>
      </c>
    </row>
    <row r="9" spans="1:11" s="597" customFormat="1" ht="15.75">
      <c r="A9" s="596" t="s">
        <v>64</v>
      </c>
      <c r="B9" s="608">
        <v>3921.25</v>
      </c>
      <c r="C9" s="139">
        <v>151000184</v>
      </c>
      <c r="D9" s="138">
        <v>45808</v>
      </c>
      <c r="E9" s="149">
        <v>4351</v>
      </c>
      <c r="F9" s="157">
        <v>2906</v>
      </c>
    </row>
    <row r="10" spans="1:11" s="597" customFormat="1" ht="30">
      <c r="A10" s="596" t="s">
        <v>50</v>
      </c>
      <c r="B10" s="608">
        <v>4069.65</v>
      </c>
      <c r="C10" s="139">
        <v>161005906</v>
      </c>
      <c r="D10" s="138">
        <v>45809</v>
      </c>
      <c r="E10" s="149">
        <v>3318</v>
      </c>
      <c r="F10" s="157">
        <v>3056</v>
      </c>
    </row>
    <row r="11" spans="1:11" s="597" customFormat="1" ht="15.75">
      <c r="A11" s="596" t="s">
        <v>51</v>
      </c>
      <c r="B11" s="608">
        <v>435.1</v>
      </c>
      <c r="C11" s="139">
        <v>161002561</v>
      </c>
      <c r="D11" s="138" t="s">
        <v>275</v>
      </c>
      <c r="E11" s="149">
        <v>5234</v>
      </c>
      <c r="F11" s="157">
        <v>3083</v>
      </c>
    </row>
    <row r="12" spans="1:11" s="597" customFormat="1" ht="15.75">
      <c r="A12" s="596" t="s">
        <v>231</v>
      </c>
      <c r="B12" s="608">
        <v>3310.75</v>
      </c>
      <c r="C12" s="139">
        <v>161002561</v>
      </c>
      <c r="D12" s="138" t="s">
        <v>275</v>
      </c>
      <c r="E12" s="149">
        <v>4056</v>
      </c>
      <c r="F12" s="157">
        <v>3440</v>
      </c>
    </row>
    <row r="13" spans="1:11" s="597" customFormat="1" ht="30">
      <c r="A13" s="596" t="s">
        <v>50</v>
      </c>
      <c r="B13" s="608">
        <v>3955.65</v>
      </c>
      <c r="C13" s="139">
        <v>151000841</v>
      </c>
      <c r="D13" s="138">
        <v>45811</v>
      </c>
      <c r="E13" s="149">
        <v>3714</v>
      </c>
      <c r="F13" s="157">
        <v>2685</v>
      </c>
    </row>
    <row r="14" spans="1:11" s="597" customFormat="1" ht="15.75">
      <c r="A14" s="596" t="s">
        <v>52</v>
      </c>
      <c r="B14" s="608">
        <v>3910.1</v>
      </c>
      <c r="C14" s="139">
        <v>151001316</v>
      </c>
      <c r="D14" s="138">
        <v>45810</v>
      </c>
      <c r="E14" s="149">
        <v>3455</v>
      </c>
      <c r="F14" s="157">
        <v>2920</v>
      </c>
    </row>
    <row r="15" spans="1:11" s="597" customFormat="1" ht="30">
      <c r="A15" s="596" t="s">
        <v>50</v>
      </c>
      <c r="B15" s="608">
        <v>3650.15</v>
      </c>
      <c r="C15" s="139">
        <v>141000119</v>
      </c>
      <c r="D15" s="138">
        <v>45812</v>
      </c>
      <c r="E15" s="149">
        <v>3273</v>
      </c>
      <c r="F15" s="157">
        <v>3366</v>
      </c>
    </row>
    <row r="16" spans="1:11" s="597" customFormat="1" ht="15.75">
      <c r="A16" s="596" t="s">
        <v>52</v>
      </c>
      <c r="B16" s="608">
        <v>3866.1</v>
      </c>
      <c r="C16" s="139">
        <v>161016404</v>
      </c>
      <c r="D16" s="138">
        <v>45753</v>
      </c>
      <c r="E16" s="149">
        <v>3451</v>
      </c>
      <c r="F16" s="157">
        <v>3765</v>
      </c>
    </row>
    <row r="17" spans="1:6" s="597" customFormat="1" ht="15.75">
      <c r="A17" s="596" t="s">
        <v>64</v>
      </c>
      <c r="B17" s="608">
        <v>4010.85</v>
      </c>
      <c r="C17" s="139">
        <v>161002894</v>
      </c>
      <c r="D17" s="138">
        <v>45814</v>
      </c>
      <c r="E17" s="149">
        <v>3738</v>
      </c>
      <c r="F17" s="157">
        <v>3056</v>
      </c>
    </row>
    <row r="18" spans="1:6" s="597" customFormat="1" ht="30">
      <c r="A18" s="596" t="s">
        <v>50</v>
      </c>
      <c r="B18" s="608">
        <v>3814.7</v>
      </c>
      <c r="C18" s="139">
        <v>161005914</v>
      </c>
      <c r="D18" s="138">
        <v>45815</v>
      </c>
      <c r="E18" s="149">
        <v>3539</v>
      </c>
      <c r="F18" s="157">
        <v>3170</v>
      </c>
    </row>
    <row r="19" spans="1:6" s="597" customFormat="1" ht="15.75">
      <c r="A19" s="596" t="s">
        <v>276</v>
      </c>
      <c r="B19" s="608">
        <v>699.2</v>
      </c>
      <c r="C19" s="139">
        <v>141000003</v>
      </c>
      <c r="D19" s="138">
        <v>45817</v>
      </c>
      <c r="E19" s="174">
        <v>4450</v>
      </c>
      <c r="F19" s="157">
        <v>2881</v>
      </c>
    </row>
    <row r="20" spans="1:6" s="597" customFormat="1" ht="15.75">
      <c r="A20" s="596" t="s">
        <v>229</v>
      </c>
      <c r="B20" s="608">
        <v>3183.8</v>
      </c>
      <c r="C20" s="139">
        <v>141000003</v>
      </c>
      <c r="D20" s="138">
        <v>45817</v>
      </c>
      <c r="E20" s="174">
        <v>4450</v>
      </c>
      <c r="F20" s="157">
        <v>2881</v>
      </c>
    </row>
    <row r="21" spans="1:6" s="597" customFormat="1" ht="30">
      <c r="A21" s="596" t="s">
        <v>50</v>
      </c>
      <c r="B21" s="608">
        <v>3962.15</v>
      </c>
      <c r="C21" s="139">
        <v>151000844</v>
      </c>
      <c r="D21" s="138">
        <v>45813</v>
      </c>
      <c r="E21" s="149">
        <v>4110</v>
      </c>
      <c r="F21" s="157">
        <v>3280</v>
      </c>
    </row>
    <row r="22" spans="1:6" s="597" customFormat="1" ht="15.75">
      <c r="A22" s="596" t="s">
        <v>222</v>
      </c>
      <c r="B22" s="608">
        <v>3994.45</v>
      </c>
      <c r="C22" s="139">
        <v>151001322</v>
      </c>
      <c r="D22" s="138">
        <v>45814</v>
      </c>
      <c r="E22" s="149">
        <v>3465</v>
      </c>
      <c r="F22" s="157">
        <v>2867</v>
      </c>
    </row>
    <row r="23" spans="1:6" s="597" customFormat="1" ht="30">
      <c r="A23" s="596" t="s">
        <v>50</v>
      </c>
      <c r="B23" s="608">
        <v>3967.6</v>
      </c>
      <c r="C23" s="139">
        <v>161005915</v>
      </c>
      <c r="D23" s="138">
        <v>45817</v>
      </c>
      <c r="E23" s="149">
        <v>4138</v>
      </c>
      <c r="F23" s="157">
        <v>2564</v>
      </c>
    </row>
    <row r="24" spans="1:6" s="597" customFormat="1" ht="15.75">
      <c r="A24" s="596" t="s">
        <v>63</v>
      </c>
      <c r="B24" s="608">
        <v>3916.25</v>
      </c>
      <c r="C24" s="139">
        <v>162000378</v>
      </c>
      <c r="D24" s="138">
        <v>45817</v>
      </c>
      <c r="E24" s="149">
        <v>4130</v>
      </c>
      <c r="F24" s="157">
        <v>3118</v>
      </c>
    </row>
    <row r="25" spans="1:6" s="597" customFormat="1" ht="15.75">
      <c r="A25" s="596" t="s">
        <v>52</v>
      </c>
      <c r="B25" s="608">
        <v>3930.4</v>
      </c>
      <c r="C25" s="139">
        <v>161016413</v>
      </c>
      <c r="D25" s="138">
        <v>45818</v>
      </c>
      <c r="E25" s="174">
        <v>4450</v>
      </c>
      <c r="F25" s="157">
        <v>3031</v>
      </c>
    </row>
    <row r="26" spans="1:6" s="597" customFormat="1" ht="15.75">
      <c r="A26" s="596" t="s">
        <v>52</v>
      </c>
      <c r="B26" s="608">
        <v>3943.1</v>
      </c>
      <c r="C26" s="139">
        <v>161016411</v>
      </c>
      <c r="D26" s="138">
        <v>45817</v>
      </c>
      <c r="E26" s="149">
        <v>3818</v>
      </c>
      <c r="F26" s="157">
        <v>3370</v>
      </c>
    </row>
    <row r="27" spans="1:6" s="597" customFormat="1" ht="15.75">
      <c r="A27" s="596" t="s">
        <v>231</v>
      </c>
      <c r="B27" s="608">
        <v>3707.05</v>
      </c>
      <c r="C27" s="139">
        <v>151000150</v>
      </c>
      <c r="D27" s="138">
        <v>45818</v>
      </c>
      <c r="E27" s="149">
        <v>4032</v>
      </c>
      <c r="F27" s="157">
        <v>3357</v>
      </c>
    </row>
    <row r="28" spans="1:6" s="597" customFormat="1" ht="15.75">
      <c r="A28" s="596" t="s">
        <v>63</v>
      </c>
      <c r="B28" s="608">
        <v>3999.05</v>
      </c>
      <c r="C28" s="139">
        <v>162000379</v>
      </c>
      <c r="D28" s="138">
        <v>45818</v>
      </c>
      <c r="E28" s="149">
        <v>4332</v>
      </c>
      <c r="F28" s="157">
        <v>385</v>
      </c>
    </row>
    <row r="29" spans="1:6" s="597" customFormat="1" ht="15.75">
      <c r="A29" s="596" t="s">
        <v>224</v>
      </c>
      <c r="B29" s="608">
        <v>3721.15</v>
      </c>
      <c r="C29" s="139">
        <v>161002567</v>
      </c>
      <c r="D29" s="138">
        <v>45819</v>
      </c>
      <c r="E29" s="149">
        <v>4051</v>
      </c>
      <c r="F29" s="157">
        <v>3355</v>
      </c>
    </row>
    <row r="30" spans="1:6" s="597" customFormat="1" ht="15.75">
      <c r="A30" s="596" t="s">
        <v>276</v>
      </c>
      <c r="B30" s="608">
        <v>4015</v>
      </c>
      <c r="C30" s="139">
        <v>151000198</v>
      </c>
      <c r="D30" s="138">
        <v>45819</v>
      </c>
      <c r="E30" s="174">
        <v>4450</v>
      </c>
      <c r="F30" s="157">
        <v>3542</v>
      </c>
    </row>
    <row r="31" spans="1:6" s="597" customFormat="1" ht="15.75">
      <c r="A31" s="596" t="s">
        <v>62</v>
      </c>
      <c r="B31" s="608">
        <v>1763.23</v>
      </c>
      <c r="C31" s="139">
        <v>162000380</v>
      </c>
      <c r="D31" s="138">
        <v>45819</v>
      </c>
      <c r="E31" s="149">
        <v>4045</v>
      </c>
      <c r="F31" s="157">
        <v>3512</v>
      </c>
    </row>
    <row r="32" spans="1:6" s="597" customFormat="1" ht="15.75">
      <c r="A32" s="596" t="s">
        <v>63</v>
      </c>
      <c r="B32" s="608">
        <v>1942.52</v>
      </c>
      <c r="C32" s="139">
        <v>162000380</v>
      </c>
      <c r="D32" s="138">
        <v>45819</v>
      </c>
      <c r="E32" s="149">
        <v>4319</v>
      </c>
      <c r="F32" s="157">
        <v>3512</v>
      </c>
    </row>
    <row r="33" spans="1:6" s="597" customFormat="1" ht="15.75">
      <c r="A33" s="596" t="s">
        <v>52</v>
      </c>
      <c r="B33" s="608">
        <v>4120.45</v>
      </c>
      <c r="C33" s="139">
        <v>151001328</v>
      </c>
      <c r="D33" s="138">
        <v>45818</v>
      </c>
      <c r="E33" s="149">
        <v>3482</v>
      </c>
      <c r="F33" s="157">
        <v>3066</v>
      </c>
    </row>
    <row r="34" spans="1:6" s="597" customFormat="1" ht="15.75">
      <c r="A34" s="596" t="s">
        <v>64</v>
      </c>
      <c r="B34" s="608">
        <v>3427.2</v>
      </c>
      <c r="C34" s="139">
        <v>161002896</v>
      </c>
      <c r="D34" s="138">
        <v>45821</v>
      </c>
      <c r="E34" s="174">
        <v>4450</v>
      </c>
      <c r="F34" s="157">
        <v>3205</v>
      </c>
    </row>
    <row r="35" spans="1:6" s="597" customFormat="1" ht="15.75">
      <c r="A35" s="596" t="s">
        <v>52</v>
      </c>
      <c r="B35" s="608">
        <v>4136.3500000000004</v>
      </c>
      <c r="C35" s="139">
        <v>151001331</v>
      </c>
      <c r="D35" s="138">
        <v>45821</v>
      </c>
      <c r="E35" s="174">
        <v>4450</v>
      </c>
      <c r="F35" s="157">
        <v>3055</v>
      </c>
    </row>
    <row r="36" spans="1:6" s="597" customFormat="1" ht="15.75">
      <c r="A36" s="596" t="s">
        <v>222</v>
      </c>
      <c r="B36" s="608">
        <v>3950.4</v>
      </c>
      <c r="C36" s="139">
        <v>161016415</v>
      </c>
      <c r="D36" s="138">
        <v>45820</v>
      </c>
      <c r="E36" s="149">
        <v>3328</v>
      </c>
      <c r="F36" s="157">
        <v>2522</v>
      </c>
    </row>
    <row r="37" spans="1:6" s="597" customFormat="1" ht="15.75">
      <c r="A37" s="596" t="s">
        <v>231</v>
      </c>
      <c r="B37" s="608">
        <v>3753.6</v>
      </c>
      <c r="C37" s="139">
        <v>161002569</v>
      </c>
      <c r="D37" s="138">
        <v>45822</v>
      </c>
      <c r="E37" s="174">
        <v>4150</v>
      </c>
      <c r="F37" s="157">
        <v>3288</v>
      </c>
    </row>
    <row r="38" spans="1:6" s="597" customFormat="1" ht="15.75">
      <c r="A38" s="596" t="s">
        <v>52</v>
      </c>
      <c r="B38" s="608">
        <v>3917</v>
      </c>
      <c r="C38" s="139">
        <v>151001334</v>
      </c>
      <c r="D38" s="138">
        <v>45821</v>
      </c>
      <c r="E38" s="149">
        <v>3453</v>
      </c>
      <c r="F38" s="157">
        <v>2901</v>
      </c>
    </row>
    <row r="39" spans="1:6" s="597" customFormat="1" ht="15.75">
      <c r="A39" s="596" t="s">
        <v>62</v>
      </c>
      <c r="B39" s="608">
        <v>1852.16</v>
      </c>
      <c r="C39" s="139">
        <v>162000387</v>
      </c>
      <c r="D39" s="138">
        <v>45823</v>
      </c>
      <c r="E39" s="174">
        <v>4150</v>
      </c>
      <c r="F39" s="157">
        <v>2237</v>
      </c>
    </row>
    <row r="40" spans="1:6" s="597" customFormat="1" ht="15.75">
      <c r="A40" s="596" t="s">
        <v>63</v>
      </c>
      <c r="B40" s="608">
        <v>1949.94</v>
      </c>
      <c r="C40" s="139">
        <v>162000387</v>
      </c>
      <c r="D40" s="138">
        <v>45823</v>
      </c>
      <c r="E40" s="174">
        <v>4450</v>
      </c>
      <c r="F40" s="157">
        <v>2237</v>
      </c>
    </row>
    <row r="41" spans="1:6" s="597" customFormat="1" ht="15.75">
      <c r="A41" s="596" t="s">
        <v>230</v>
      </c>
      <c r="B41" s="608">
        <v>3841.2</v>
      </c>
      <c r="C41" s="139">
        <v>151000186</v>
      </c>
      <c r="D41" s="138">
        <v>45824</v>
      </c>
      <c r="E41" s="174">
        <v>4450</v>
      </c>
      <c r="F41" s="157">
        <v>3437</v>
      </c>
    </row>
    <row r="42" spans="1:6" s="597" customFormat="1" ht="15.75">
      <c r="A42" s="596" t="s">
        <v>52</v>
      </c>
      <c r="B42" s="608">
        <v>3840.85</v>
      </c>
      <c r="C42" s="139">
        <v>151001342</v>
      </c>
      <c r="D42" s="138">
        <v>45824</v>
      </c>
      <c r="E42" s="174">
        <v>4450</v>
      </c>
      <c r="F42" s="157">
        <v>2293</v>
      </c>
    </row>
    <row r="43" spans="1:6" s="597" customFormat="1" ht="15.75">
      <c r="A43" s="596" t="s">
        <v>222</v>
      </c>
      <c r="B43" s="608">
        <v>3832.2</v>
      </c>
      <c r="C43" s="139">
        <v>151001340</v>
      </c>
      <c r="D43" s="138">
        <v>45823</v>
      </c>
      <c r="E43" s="149">
        <v>3455</v>
      </c>
      <c r="F43" s="157">
        <v>2871</v>
      </c>
    </row>
    <row r="44" spans="1:6" s="597" customFormat="1" ht="15.75">
      <c r="A44" s="596" t="s">
        <v>222</v>
      </c>
      <c r="B44" s="608">
        <v>3858.15</v>
      </c>
      <c r="C44" s="139">
        <v>161016422</v>
      </c>
      <c r="D44" s="138">
        <v>45825</v>
      </c>
      <c r="E44" s="174">
        <v>4450</v>
      </c>
      <c r="F44" s="157">
        <v>3335</v>
      </c>
    </row>
    <row r="45" spans="1:6" s="597" customFormat="1" ht="15.75">
      <c r="A45" s="596" t="s">
        <v>52</v>
      </c>
      <c r="B45" s="608">
        <v>3941.35</v>
      </c>
      <c r="C45" s="139">
        <v>151001347</v>
      </c>
      <c r="D45" s="138">
        <v>45826</v>
      </c>
      <c r="E45" s="174">
        <v>4450</v>
      </c>
      <c r="F45" s="157">
        <v>2854</v>
      </c>
    </row>
    <row r="46" spans="1:6" s="597" customFormat="1" ht="30">
      <c r="A46" s="596" t="s">
        <v>50</v>
      </c>
      <c r="B46" s="608">
        <v>3847.45</v>
      </c>
      <c r="C46" s="139">
        <v>161005925</v>
      </c>
      <c r="D46" s="138">
        <v>45827</v>
      </c>
      <c r="E46" s="174">
        <v>4150</v>
      </c>
      <c r="F46" s="472">
        <v>2522.1794143126176</v>
      </c>
    </row>
    <row r="47" spans="1:6" s="597" customFormat="1" ht="15.75">
      <c r="A47" s="596" t="s">
        <v>62</v>
      </c>
      <c r="B47" s="608">
        <v>829.86</v>
      </c>
      <c r="C47" s="139">
        <v>162000394</v>
      </c>
      <c r="D47" s="138">
        <v>45827</v>
      </c>
      <c r="E47" s="174">
        <v>4150</v>
      </c>
      <c r="F47" s="472">
        <v>3186.0270800426892</v>
      </c>
    </row>
    <row r="48" spans="1:6" s="597" customFormat="1" ht="15.75">
      <c r="A48" s="596" t="s">
        <v>63</v>
      </c>
      <c r="B48" s="608">
        <v>2870.29</v>
      </c>
      <c r="C48" s="139">
        <v>162000394</v>
      </c>
      <c r="D48" s="138">
        <v>45827</v>
      </c>
      <c r="E48" s="174">
        <v>4450</v>
      </c>
      <c r="F48" s="472">
        <v>3186.0270800426892</v>
      </c>
    </row>
    <row r="49" spans="1:6" s="597" customFormat="1" ht="15.75">
      <c r="A49" s="596" t="s">
        <v>62</v>
      </c>
      <c r="B49" s="608">
        <v>1724.43</v>
      </c>
      <c r="C49" s="139">
        <v>162000396</v>
      </c>
      <c r="D49" s="138">
        <v>45828</v>
      </c>
      <c r="E49" s="174">
        <v>4150</v>
      </c>
      <c r="F49" s="472">
        <v>2931.4434041110408</v>
      </c>
    </row>
    <row r="50" spans="1:6" s="597" customFormat="1" ht="15.75">
      <c r="A50" s="596" t="s">
        <v>63</v>
      </c>
      <c r="B50" s="608">
        <v>1691.47</v>
      </c>
      <c r="C50" s="139">
        <v>162000396</v>
      </c>
      <c r="D50" s="138">
        <v>45828</v>
      </c>
      <c r="E50" s="174">
        <v>4450</v>
      </c>
      <c r="F50" s="472">
        <v>2931.4434041110408</v>
      </c>
    </row>
    <row r="51" spans="1:6" s="597" customFormat="1" ht="15.75">
      <c r="A51" s="596" t="s">
        <v>222</v>
      </c>
      <c r="B51" s="608">
        <v>3614.5</v>
      </c>
      <c r="C51" s="139">
        <v>151000057</v>
      </c>
      <c r="D51" s="138">
        <v>45830</v>
      </c>
      <c r="E51" s="174">
        <v>4450</v>
      </c>
      <c r="F51" s="472">
        <v>3306.8415274897898</v>
      </c>
    </row>
    <row r="52" spans="1:6" s="597" customFormat="1" ht="15.75">
      <c r="A52" s="596" t="s">
        <v>222</v>
      </c>
      <c r="B52" s="608">
        <v>3702.15</v>
      </c>
      <c r="C52" s="139">
        <v>151001352</v>
      </c>
      <c r="D52" s="138">
        <v>45829</v>
      </c>
      <c r="E52" s="174">
        <v>4450</v>
      </c>
      <c r="F52" s="472">
        <v>3459.8978159770236</v>
      </c>
    </row>
    <row r="53" spans="1:6" s="597" customFormat="1" ht="15.75">
      <c r="A53" s="596" t="s">
        <v>224</v>
      </c>
      <c r="B53" s="608">
        <v>857.59</v>
      </c>
      <c r="C53" s="139">
        <v>151000156</v>
      </c>
      <c r="D53" s="138">
        <v>45831</v>
      </c>
      <c r="E53" s="174">
        <v>4150</v>
      </c>
      <c r="F53" s="472">
        <v>3171.2522223385326</v>
      </c>
    </row>
    <row r="54" spans="1:6" s="597" customFormat="1" ht="15.75">
      <c r="A54" s="596" t="s">
        <v>51</v>
      </c>
      <c r="B54" s="608">
        <v>271.35000000000002</v>
      </c>
      <c r="C54" s="139">
        <v>151000156</v>
      </c>
      <c r="D54" s="138">
        <v>45831</v>
      </c>
      <c r="E54" s="174">
        <v>5350</v>
      </c>
      <c r="F54" s="472">
        <v>3171.2522223385326</v>
      </c>
    </row>
    <row r="55" spans="1:6" s="597" customFormat="1" ht="15.75">
      <c r="A55" s="596" t="s">
        <v>231</v>
      </c>
      <c r="B55" s="608">
        <v>2417.16</v>
      </c>
      <c r="C55" s="139">
        <v>151000156</v>
      </c>
      <c r="D55" s="138">
        <v>45831</v>
      </c>
      <c r="E55" s="174">
        <v>4150</v>
      </c>
      <c r="F55" s="472">
        <v>3171.2522223385326</v>
      </c>
    </row>
    <row r="56" spans="1:6" s="597" customFormat="1" ht="15.75">
      <c r="A56" s="596" t="s">
        <v>52</v>
      </c>
      <c r="B56" s="608">
        <v>3945.45</v>
      </c>
      <c r="C56" s="139">
        <v>151001353</v>
      </c>
      <c r="D56" s="138">
        <v>45830</v>
      </c>
      <c r="E56" s="174">
        <v>4450</v>
      </c>
      <c r="F56" s="472">
        <v>3457.3511867290517</v>
      </c>
    </row>
    <row r="57" spans="1:6" s="597" customFormat="1" ht="15.75">
      <c r="A57" s="596" t="s">
        <v>64</v>
      </c>
      <c r="B57" s="608">
        <v>3989.55</v>
      </c>
      <c r="C57" s="139">
        <v>151000187</v>
      </c>
      <c r="D57" s="138">
        <v>45832</v>
      </c>
      <c r="E57" s="174">
        <v>4450</v>
      </c>
      <c r="F57" s="472">
        <v>3991.1319063981041</v>
      </c>
    </row>
    <row r="58" spans="1:6" s="597" customFormat="1" ht="15.75">
      <c r="A58" s="596" t="s">
        <v>277</v>
      </c>
      <c r="B58" s="608">
        <v>3640.15</v>
      </c>
      <c r="C58" s="139">
        <v>161000001</v>
      </c>
      <c r="D58" s="138">
        <v>45833</v>
      </c>
      <c r="E58" s="174">
        <v>4150</v>
      </c>
      <c r="F58" s="472">
        <v>3733.5485482633949</v>
      </c>
    </row>
    <row r="59" spans="1:6" s="597" customFormat="1" ht="15.75">
      <c r="A59" s="596" t="s">
        <v>222</v>
      </c>
      <c r="B59" s="608">
        <v>3775.5</v>
      </c>
      <c r="C59" s="139">
        <v>161016435</v>
      </c>
      <c r="D59" s="138">
        <v>45803</v>
      </c>
      <c r="E59" s="174">
        <v>3550</v>
      </c>
      <c r="F59" s="472">
        <v>3525.9862228289398</v>
      </c>
    </row>
    <row r="60" spans="1:6" s="597" customFormat="1" ht="15.75">
      <c r="A60" s="596" t="s">
        <v>224</v>
      </c>
      <c r="B60" s="608">
        <v>606.28</v>
      </c>
      <c r="C60" s="139">
        <v>151000157</v>
      </c>
      <c r="D60" s="138">
        <v>45834</v>
      </c>
      <c r="E60" s="174">
        <v>4150</v>
      </c>
      <c r="F60" s="472">
        <v>3193.373222305469</v>
      </c>
    </row>
    <row r="61" spans="1:6" s="597" customFormat="1" ht="15.75">
      <c r="A61" s="596" t="s">
        <v>231</v>
      </c>
      <c r="B61" s="608">
        <v>3056.67</v>
      </c>
      <c r="C61" s="139">
        <v>151000157</v>
      </c>
      <c r="D61" s="138">
        <v>45834</v>
      </c>
      <c r="E61" s="174">
        <v>4150</v>
      </c>
      <c r="F61" s="472">
        <v>3501.5057262121368</v>
      </c>
    </row>
    <row r="62" spans="1:6" s="597" customFormat="1" ht="15.75">
      <c r="A62" s="596" t="s">
        <v>222</v>
      </c>
      <c r="B62" s="608">
        <v>3792.8</v>
      </c>
      <c r="C62" s="139">
        <v>161016440</v>
      </c>
      <c r="D62" s="138" t="s">
        <v>255</v>
      </c>
      <c r="E62" s="174">
        <v>3550</v>
      </c>
      <c r="F62" s="472">
        <v>3525.9192499734413</v>
      </c>
    </row>
    <row r="63" spans="1:6" s="597" customFormat="1" ht="15.75">
      <c r="A63" s="596" t="s">
        <v>64</v>
      </c>
      <c r="B63" s="608">
        <v>4027.55</v>
      </c>
      <c r="C63" s="139">
        <v>151000188</v>
      </c>
      <c r="D63" s="138" t="s">
        <v>255</v>
      </c>
      <c r="E63" s="174">
        <v>4450</v>
      </c>
      <c r="F63" s="472">
        <v>3584.9701674212911</v>
      </c>
    </row>
    <row r="64" spans="1:6" s="597" customFormat="1" ht="15.75">
      <c r="A64" s="596" t="s">
        <v>65</v>
      </c>
      <c r="B64" s="608">
        <v>3790.7</v>
      </c>
      <c r="C64" s="139">
        <v>162001308</v>
      </c>
      <c r="D64" s="138">
        <v>45783</v>
      </c>
      <c r="E64" s="174">
        <v>3250</v>
      </c>
      <c r="F64" s="157">
        <v>3547</v>
      </c>
    </row>
    <row r="65" spans="1:6" s="597" customFormat="1" ht="15.75">
      <c r="A65" s="596" t="s">
        <v>278</v>
      </c>
      <c r="B65" s="608">
        <v>3633.9</v>
      </c>
      <c r="C65" s="139">
        <v>162001315</v>
      </c>
      <c r="D65" s="138">
        <v>45818</v>
      </c>
      <c r="E65" s="174">
        <v>3250</v>
      </c>
      <c r="F65" s="157">
        <v>2786</v>
      </c>
    </row>
    <row r="66" spans="1:6" s="597" customFormat="1" ht="15.75">
      <c r="A66" s="596" t="s">
        <v>65</v>
      </c>
      <c r="B66" s="608">
        <v>4101.2</v>
      </c>
      <c r="C66" s="139">
        <v>162001314</v>
      </c>
      <c r="D66" s="138">
        <v>45817</v>
      </c>
      <c r="E66" s="174">
        <v>3250</v>
      </c>
      <c r="F66" s="157">
        <v>3098</v>
      </c>
    </row>
    <row r="67" spans="1:6" s="597" customFormat="1" ht="15.75">
      <c r="A67" s="596" t="s">
        <v>65</v>
      </c>
      <c r="B67" s="608">
        <v>3979.45</v>
      </c>
      <c r="C67" s="139">
        <v>162001319</v>
      </c>
      <c r="D67" s="138">
        <v>45822</v>
      </c>
      <c r="E67" s="174">
        <v>3250</v>
      </c>
      <c r="F67" s="157">
        <v>3000</v>
      </c>
    </row>
    <row r="68" spans="1:6" s="597" customFormat="1" ht="15.75">
      <c r="A68" s="596" t="s">
        <v>252</v>
      </c>
      <c r="B68" s="608">
        <v>3300.2</v>
      </c>
      <c r="C68" s="139">
        <v>142000034</v>
      </c>
      <c r="D68" s="138">
        <v>45827</v>
      </c>
      <c r="E68" s="174">
        <v>3250</v>
      </c>
      <c r="F68" s="472">
        <v>3020.0078105590064</v>
      </c>
    </row>
    <row r="69" spans="1:6" s="597" customFormat="1" ht="15.75">
      <c r="A69" s="596" t="s">
        <v>66</v>
      </c>
      <c r="B69" s="608">
        <v>4102.75</v>
      </c>
      <c r="C69" s="139">
        <v>162001311</v>
      </c>
      <c r="D69" s="138">
        <v>45816</v>
      </c>
      <c r="E69" s="174">
        <v>3250</v>
      </c>
      <c r="F69" s="157">
        <v>3581</v>
      </c>
    </row>
    <row r="70" spans="1:6" s="597" customFormat="1" ht="15.75">
      <c r="A70" s="596" t="s">
        <v>67</v>
      </c>
      <c r="B70" s="608">
        <v>4024.25</v>
      </c>
      <c r="C70" s="139">
        <v>162001312</v>
      </c>
      <c r="D70" s="138">
        <v>45817</v>
      </c>
      <c r="E70" s="174">
        <v>3250</v>
      </c>
      <c r="F70" s="157">
        <v>2757</v>
      </c>
    </row>
    <row r="71" spans="1:6" s="597" customFormat="1" ht="15.75">
      <c r="A71" s="596" t="s">
        <v>67</v>
      </c>
      <c r="B71" s="608">
        <v>4076.95</v>
      </c>
      <c r="C71" s="139">
        <v>162001313</v>
      </c>
      <c r="D71" s="138">
        <v>45817</v>
      </c>
      <c r="E71" s="174">
        <v>3250</v>
      </c>
      <c r="F71" s="157">
        <v>2802</v>
      </c>
    </row>
    <row r="72" spans="1:6" s="597" customFormat="1" ht="15.75">
      <c r="A72" s="596" t="s">
        <v>67</v>
      </c>
      <c r="B72" s="608">
        <v>3835.35</v>
      </c>
      <c r="C72" s="139">
        <v>162001316</v>
      </c>
      <c r="D72" s="138">
        <v>45818</v>
      </c>
      <c r="E72" s="174">
        <v>3250</v>
      </c>
      <c r="F72" s="157">
        <v>2052</v>
      </c>
    </row>
    <row r="73" spans="1:6" s="597" customFormat="1" ht="15.75">
      <c r="A73" s="596" t="s">
        <v>67</v>
      </c>
      <c r="B73" s="608">
        <v>3928.75</v>
      </c>
      <c r="C73" s="139">
        <v>162001317</v>
      </c>
      <c r="D73" s="138">
        <v>45819</v>
      </c>
      <c r="E73" s="174">
        <v>3250</v>
      </c>
      <c r="F73" s="157">
        <v>3072</v>
      </c>
    </row>
    <row r="74" spans="1:6" s="597" customFormat="1" ht="15.75">
      <c r="A74" s="596" t="s">
        <v>66</v>
      </c>
      <c r="B74" s="608">
        <v>3953.55</v>
      </c>
      <c r="C74" s="139">
        <v>162001318</v>
      </c>
      <c r="D74" s="138">
        <v>45819</v>
      </c>
      <c r="E74" s="174">
        <v>3450</v>
      </c>
      <c r="F74" s="157">
        <v>3188</v>
      </c>
    </row>
    <row r="75" spans="1:6" s="597" customFormat="1" ht="15.75">
      <c r="A75" s="596" t="s">
        <v>53</v>
      </c>
      <c r="B75" s="608">
        <v>3917.9</v>
      </c>
      <c r="C75" s="139">
        <v>461000394</v>
      </c>
      <c r="D75" s="138">
        <v>45808</v>
      </c>
      <c r="E75" s="174">
        <v>3850</v>
      </c>
      <c r="F75" s="157">
        <v>3688</v>
      </c>
    </row>
    <row r="76" spans="1:6" s="597" customFormat="1" ht="15.75">
      <c r="A76" s="596" t="s">
        <v>53</v>
      </c>
      <c r="B76" s="608">
        <v>3878.5</v>
      </c>
      <c r="C76" s="139">
        <v>451000347</v>
      </c>
      <c r="D76" s="138">
        <v>45810</v>
      </c>
      <c r="E76" s="174">
        <v>3850</v>
      </c>
      <c r="F76" s="157">
        <v>3561</v>
      </c>
    </row>
    <row r="77" spans="1:6" s="597" customFormat="1" ht="15.75">
      <c r="A77" s="596" t="s">
        <v>53</v>
      </c>
      <c r="B77" s="608">
        <v>3683.6</v>
      </c>
      <c r="C77" s="139">
        <v>461000398</v>
      </c>
      <c r="D77" s="138">
        <v>45814</v>
      </c>
      <c r="E77" s="174">
        <v>3850</v>
      </c>
      <c r="F77" s="157">
        <v>3569</v>
      </c>
    </row>
    <row r="78" spans="1:6" s="597" customFormat="1" ht="15.75">
      <c r="A78" s="596" t="s">
        <v>53</v>
      </c>
      <c r="B78" s="608">
        <v>3624.25</v>
      </c>
      <c r="C78" s="139">
        <v>461000403</v>
      </c>
      <c r="D78" s="138">
        <v>45820</v>
      </c>
      <c r="E78" s="174">
        <v>3850</v>
      </c>
      <c r="F78" s="157">
        <v>3821</v>
      </c>
    </row>
    <row r="79" spans="1:6" s="597" customFormat="1" ht="15.75">
      <c r="A79" s="596" t="s">
        <v>53</v>
      </c>
      <c r="B79" s="608">
        <v>3907.8</v>
      </c>
      <c r="C79" s="139">
        <v>451000351</v>
      </c>
      <c r="D79" s="138">
        <v>45822</v>
      </c>
      <c r="E79" s="174">
        <v>3850</v>
      </c>
      <c r="F79" s="157">
        <v>3397</v>
      </c>
    </row>
    <row r="80" spans="1:6" s="597" customFormat="1" ht="15.75">
      <c r="A80" s="596" t="s">
        <v>53</v>
      </c>
      <c r="B80" s="608">
        <v>4097.8500000000004</v>
      </c>
      <c r="C80" s="139">
        <v>451000352</v>
      </c>
      <c r="D80" s="138">
        <v>45825</v>
      </c>
      <c r="E80" s="174">
        <v>3850</v>
      </c>
      <c r="F80" s="157">
        <v>3406</v>
      </c>
    </row>
    <row r="81" spans="1:11" s="597" customFormat="1" ht="15.75">
      <c r="A81" s="596" t="s">
        <v>265</v>
      </c>
      <c r="B81" s="608">
        <v>3221.5</v>
      </c>
      <c r="C81" s="139">
        <v>451000001</v>
      </c>
      <c r="D81" s="138">
        <v>45808</v>
      </c>
      <c r="E81" s="174">
        <v>4450</v>
      </c>
      <c r="F81" s="157">
        <v>4124</v>
      </c>
    </row>
    <row r="82" spans="1:11" s="597" customFormat="1" ht="15.75">
      <c r="A82" s="596" t="s">
        <v>265</v>
      </c>
      <c r="B82" s="608">
        <v>4031.45</v>
      </c>
      <c r="C82" s="139">
        <v>461000002</v>
      </c>
      <c r="D82" s="138">
        <v>45822</v>
      </c>
      <c r="E82" s="174">
        <v>4450</v>
      </c>
      <c r="F82" s="157">
        <v>4058</v>
      </c>
    </row>
    <row r="83" spans="1:11" ht="23.25" customHeight="1">
      <c r="A83" s="609"/>
      <c r="B83" s="610">
        <f>SUM(B4:B82)</f>
        <v>261713.00000000003</v>
      </c>
      <c r="C83" s="609"/>
      <c r="D83" s="609"/>
      <c r="E83" s="610">
        <f>SUMPRODUCT(E4:E82,$B4:$B82)/$B83</f>
        <v>3910.1909657907704</v>
      </c>
      <c r="F83" s="610">
        <f>SUMPRODUCT(F4:F82,$B4:$B82)/$B83</f>
        <v>3155.0936895303334</v>
      </c>
      <c r="G83" s="611"/>
      <c r="K83" s="612"/>
    </row>
    <row r="84" spans="1:11">
      <c r="B84" s="611"/>
    </row>
    <row r="85" spans="1:11" s="601" customFormat="1">
      <c r="A85" s="598" t="s">
        <v>279</v>
      </c>
    </row>
    <row r="86" spans="1:11" s="599" customFormat="1">
      <c r="A86" s="600" t="s">
        <v>290</v>
      </c>
    </row>
    <row r="87" spans="1:11" s="599" customFormat="1">
      <c r="A87" s="600" t="s">
        <v>291</v>
      </c>
    </row>
    <row r="88" spans="1:11" s="601" customFormat="1">
      <c r="A88" s="600" t="s">
        <v>289</v>
      </c>
    </row>
    <row r="89" spans="1:11" s="601" customFormat="1">
      <c r="A89" s="600" t="s">
        <v>288</v>
      </c>
    </row>
    <row r="90" spans="1:11" s="602" customFormat="1">
      <c r="A90" s="646"/>
      <c r="B90" s="646"/>
      <c r="C90" s="646"/>
      <c r="D90" s="646"/>
      <c r="E90" s="646"/>
      <c r="F90" s="646"/>
    </row>
    <row r="91" spans="1:11" s="601" customFormat="1">
      <c r="A91" s="613"/>
    </row>
    <row r="92" spans="1:11" s="601" customFormat="1">
      <c r="A92" s="613"/>
      <c r="F92" s="601">
        <f>77-58</f>
        <v>19</v>
      </c>
    </row>
    <row r="98" spans="4:4">
      <c r="D98" s="595">
        <f>77-26</f>
        <v>51</v>
      </c>
    </row>
  </sheetData>
  <mergeCells count="2">
    <mergeCell ref="A1:F1"/>
    <mergeCell ref="A90:F90"/>
  </mergeCells>
  <pageMargins left="0.43307086614173229" right="0.23622047244094491" top="0.74803149606299213" bottom="0.74803149606299213" header="0.31496062992125984" footer="0.31496062992125984"/>
  <pageSetup paperSize="268" scale="34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H114"/>
  <sheetViews>
    <sheetView topLeftCell="D69" zoomScale="71" zoomScaleNormal="71" workbookViewId="0">
      <selection activeCell="BU111" sqref="BU111"/>
    </sheetView>
  </sheetViews>
  <sheetFormatPr defaultColWidth="9" defaultRowHeight="15" customHeight="1"/>
  <cols>
    <col min="1" max="1" width="6.140625" customWidth="1"/>
    <col min="2" max="2" width="5.28515625" customWidth="1"/>
    <col min="3" max="3" width="12.7109375" hidden="1" customWidth="1"/>
    <col min="4" max="4" width="12" bestFit="1" customWidth="1"/>
    <col min="5" max="5" width="13.28515625" style="466" bestFit="1" customWidth="1"/>
    <col min="6" max="6" width="10.7109375" style="466" hidden="1" customWidth="1"/>
    <col min="7" max="7" width="10.140625" style="466" hidden="1" customWidth="1"/>
    <col min="8" max="8" width="13.28515625" style="466" customWidth="1"/>
    <col min="9" max="9" width="14" style="131" customWidth="1"/>
    <col min="10" max="10" width="9.28515625" hidden="1" customWidth="1"/>
    <col min="11" max="11" width="12.28515625" hidden="1" customWidth="1"/>
    <col min="12" max="12" width="9.28515625" style="130" hidden="1" customWidth="1"/>
    <col min="13" max="13" width="9.28515625" hidden="1" customWidth="1"/>
    <col min="14" max="14" width="12.42578125" customWidth="1"/>
    <col min="15" max="16" width="8" customWidth="1"/>
    <col min="17" max="17" width="16.42578125" customWidth="1"/>
    <col min="18" max="20" width="9.28515625" hidden="1" customWidth="1"/>
    <col min="21" max="21" width="6.7109375" customWidth="1"/>
    <col min="22" max="23" width="9.28515625" customWidth="1"/>
    <col min="24" max="24" width="12.85546875" style="131" hidden="1" customWidth="1"/>
    <col min="25" max="25" width="12.85546875" style="466" hidden="1" customWidth="1"/>
    <col min="26" max="26" width="11.140625" style="466" hidden="1" customWidth="1"/>
    <col min="27" max="27" width="9.28515625" hidden="1" customWidth="1"/>
    <col min="28" max="28" width="11.7109375" style="466" hidden="1" customWidth="1"/>
    <col min="29" max="30" width="9.28515625" hidden="1" customWidth="1"/>
    <col min="31" max="31" width="9.28515625" style="468" hidden="1" customWidth="1"/>
    <col min="32" max="32" width="9.28515625" hidden="1" customWidth="1"/>
    <col min="33" max="33" width="9.28515625" style="468" hidden="1" customWidth="1"/>
    <col min="34" max="34" width="9.28515625" hidden="1" customWidth="1"/>
    <col min="35" max="35" width="9.28515625" style="468" hidden="1" customWidth="1"/>
    <col min="36" max="36" width="9.28515625" hidden="1" customWidth="1"/>
    <col min="37" max="37" width="9.28515625" style="468" hidden="1" customWidth="1"/>
    <col min="38" max="39" width="9.28515625" hidden="1" customWidth="1"/>
    <col min="40" max="40" width="9.28515625" style="468" hidden="1" customWidth="1"/>
    <col min="41" max="41" width="9.28515625" hidden="1" customWidth="1"/>
    <col min="42" max="42" width="9.28515625" style="468" hidden="1" customWidth="1"/>
    <col min="43" max="43" width="13" customWidth="1"/>
    <col min="44" max="44" width="15.5703125" style="468" customWidth="1"/>
    <col min="45" max="46" width="9.28515625" hidden="1" customWidth="1"/>
    <col min="47" max="47" width="9.28515625" style="468" hidden="1" customWidth="1"/>
    <col min="48" max="48" width="9.28515625" hidden="1" customWidth="1"/>
    <col min="49" max="49" width="9.28515625" style="468" hidden="1" customWidth="1"/>
    <col min="50" max="50" width="9.28515625" hidden="1" customWidth="1"/>
    <col min="51" max="51" width="9.28515625" style="468" hidden="1" customWidth="1"/>
    <col min="52" max="55" width="9.28515625" hidden="1" customWidth="1"/>
    <col min="56" max="56" width="9.28515625" style="468" hidden="1" customWidth="1"/>
    <col min="57" max="60" width="9.28515625" hidden="1" customWidth="1"/>
    <col min="61" max="61" width="9.28515625" style="468" hidden="1" customWidth="1"/>
    <col min="62" max="62" width="9.28515625" hidden="1" customWidth="1"/>
    <col min="63" max="63" width="9.28515625" style="468" hidden="1" customWidth="1"/>
    <col min="64" max="64" width="9.28515625" hidden="1" customWidth="1"/>
    <col min="65" max="65" width="9.28515625" style="468" hidden="1" customWidth="1"/>
    <col min="66" max="66" width="9.28515625" hidden="1" customWidth="1"/>
    <col min="67" max="67" width="9.28515625" style="468" hidden="1" customWidth="1"/>
    <col min="68" max="69" width="9.28515625" hidden="1" customWidth="1"/>
    <col min="70" max="70" width="9.28515625" style="468" hidden="1" customWidth="1"/>
    <col min="71" max="71" width="9.28515625" hidden="1" customWidth="1"/>
    <col min="72" max="72" width="11.85546875" style="468" hidden="1" customWidth="1"/>
    <col min="73" max="73" width="14.7109375" customWidth="1"/>
    <col min="74" max="74" width="14.42578125" style="468" customWidth="1"/>
    <col min="75" max="75" width="9.28515625" customWidth="1"/>
    <col min="76" max="76" width="12.5703125" customWidth="1"/>
    <col min="77" max="77" width="13.5703125" style="468" customWidth="1"/>
    <col min="78" max="78" width="9.28515625" hidden="1" customWidth="1"/>
    <col min="79" max="79" width="9.28515625" style="468" hidden="1" customWidth="1"/>
    <col min="80" max="80" width="12" hidden="1" customWidth="1"/>
    <col min="81" max="81" width="12" style="468" hidden="1" customWidth="1"/>
    <col min="82" max="82" width="15" customWidth="1"/>
    <col min="83" max="83" width="8" hidden="1" customWidth="1"/>
    <col min="84" max="84" width="7.42578125" hidden="1" customWidth="1"/>
    <col min="85" max="85" width="7.28515625" style="132" hidden="1" customWidth="1"/>
    <col min="86" max="86" width="12" style="132" hidden="1" customWidth="1"/>
    <col min="87" max="87" width="6.85546875" hidden="1" customWidth="1"/>
    <col min="88" max="88" width="12" style="468" hidden="1" customWidth="1"/>
    <col min="89" max="89" width="8.42578125" hidden="1" customWidth="1"/>
    <col min="90" max="90" width="12" style="468" hidden="1" customWidth="1"/>
    <col min="91" max="91" width="8.42578125" hidden="1" customWidth="1"/>
    <col min="92" max="92" width="12" style="468" hidden="1" customWidth="1"/>
    <col min="93" max="93" width="8.7109375" hidden="1" customWidth="1"/>
    <col min="94" max="94" width="12" style="468" hidden="1" customWidth="1"/>
    <col min="95" max="95" width="7.85546875" customWidth="1"/>
    <col min="96" max="96" width="12" style="468" hidden="1" customWidth="1"/>
    <col min="97" max="97" width="8.28515625" hidden="1" customWidth="1"/>
    <col min="98" max="98" width="12" style="468" hidden="1" customWidth="1"/>
    <col min="99" max="99" width="7.85546875" hidden="1" customWidth="1"/>
    <col min="100" max="100" width="12" style="468" hidden="1" customWidth="1"/>
    <col min="101" max="101" width="7.42578125" hidden="1" customWidth="1"/>
    <col min="102" max="102" width="12" style="468" hidden="1" customWidth="1"/>
    <col min="103" max="103" width="8.42578125" customWidth="1"/>
    <col min="104" max="104" width="12" style="468" hidden="1" customWidth="1"/>
    <col min="105" max="105" width="7.85546875" customWidth="1"/>
    <col min="106" max="106" width="8" customWidth="1"/>
    <col min="107" max="109" width="12" style="468" hidden="1" customWidth="1"/>
    <col min="110" max="110" width="12" style="469" hidden="1" customWidth="1"/>
    <col min="111" max="112" width="12" style="468" hidden="1" customWidth="1"/>
    <col min="113" max="131" width="12" hidden="1" customWidth="1"/>
    <col min="132" max="132" width="12" style="470" hidden="1" customWidth="1"/>
    <col min="133" max="133" width="12" hidden="1" customWidth="1"/>
    <col min="134" max="134" width="9" hidden="1" customWidth="1"/>
    <col min="135" max="135" width="6.85546875" hidden="1" customWidth="1"/>
    <col min="136" max="137" width="9" hidden="1" customWidth="1"/>
    <col min="138" max="142" width="9" customWidth="1"/>
  </cols>
  <sheetData>
    <row r="1" spans="1:136" ht="18.75">
      <c r="A1" s="74"/>
      <c r="B1" s="74"/>
      <c r="C1" s="138"/>
      <c r="D1" s="139"/>
      <c r="E1" s="138"/>
      <c r="F1" s="138"/>
      <c r="G1" s="138"/>
      <c r="H1" s="140"/>
      <c r="I1" s="141"/>
      <c r="J1" s="142"/>
      <c r="K1" s="143"/>
      <c r="L1" s="522"/>
      <c r="M1" s="522"/>
      <c r="N1" s="144"/>
      <c r="O1" s="522"/>
      <c r="P1" s="145"/>
      <c r="Q1" s="146"/>
      <c r="R1" s="145"/>
      <c r="S1" s="145"/>
      <c r="T1" s="145"/>
      <c r="U1" s="147"/>
      <c r="V1" s="147"/>
      <c r="W1" s="147"/>
      <c r="X1" s="542"/>
      <c r="Y1" s="148"/>
      <c r="Z1" s="148"/>
      <c r="AA1" s="149"/>
      <c r="AB1" s="150"/>
      <c r="AC1" s="151"/>
      <c r="AD1" s="151"/>
      <c r="AE1" s="152"/>
      <c r="AF1" s="151"/>
      <c r="AG1" s="152"/>
      <c r="AH1" s="151"/>
      <c r="AI1" s="152"/>
      <c r="AJ1" s="149"/>
      <c r="AK1" s="152"/>
      <c r="AL1" s="149"/>
      <c r="AM1" s="151"/>
      <c r="AN1" s="152"/>
      <c r="AO1" s="151"/>
      <c r="AP1" s="152"/>
      <c r="AQ1" s="149"/>
      <c r="AR1" s="152"/>
      <c r="AS1" s="149"/>
      <c r="AT1" s="149"/>
      <c r="AU1" s="152"/>
      <c r="AV1" s="149"/>
      <c r="AW1" s="152"/>
      <c r="AX1" s="151"/>
      <c r="AY1" s="152"/>
      <c r="AZ1" s="153"/>
      <c r="BA1" s="153"/>
      <c r="BB1" s="153"/>
      <c r="BC1" s="154"/>
      <c r="BD1" s="155"/>
      <c r="BE1" s="156"/>
      <c r="BF1" s="157"/>
      <c r="BG1" s="157"/>
      <c r="BH1" s="156"/>
      <c r="BI1" s="158"/>
      <c r="BJ1" s="156"/>
      <c r="BK1" s="158"/>
      <c r="BL1" s="156"/>
      <c r="BM1" s="159"/>
      <c r="BN1" s="157"/>
      <c r="BO1" s="159"/>
      <c r="BP1" s="160"/>
      <c r="BQ1" s="156"/>
      <c r="BR1" s="158"/>
      <c r="BS1" s="156"/>
      <c r="BT1" s="159"/>
      <c r="BU1" s="157"/>
      <c r="BV1" s="161"/>
      <c r="BW1" s="157"/>
      <c r="BX1" s="157"/>
      <c r="BY1" s="161"/>
      <c r="BZ1" s="157"/>
      <c r="CA1" s="161"/>
      <c r="CB1" s="156"/>
      <c r="CC1" s="161"/>
      <c r="CD1" s="162"/>
      <c r="CE1" s="163" t="s">
        <v>75</v>
      </c>
      <c r="CF1" s="164"/>
      <c r="CG1" s="165"/>
      <c r="CH1" s="166"/>
      <c r="CI1" s="167"/>
      <c r="CJ1" s="166"/>
      <c r="CK1" s="168"/>
      <c r="CL1" s="166"/>
      <c r="CM1" s="167"/>
      <c r="CN1" s="166"/>
      <c r="CO1" s="169"/>
      <c r="CP1" s="166"/>
      <c r="CQ1" s="167"/>
      <c r="CR1" s="166"/>
      <c r="CS1" s="170"/>
      <c r="CT1" s="166"/>
      <c r="CU1" s="168"/>
      <c r="CV1" s="166"/>
      <c r="CW1" s="170"/>
      <c r="CX1" s="166"/>
      <c r="CY1" s="171"/>
      <c r="CZ1" s="166" t="s">
        <v>76</v>
      </c>
      <c r="DA1" s="170"/>
      <c r="DB1" s="171"/>
      <c r="DC1" s="166"/>
      <c r="DD1" s="166"/>
      <c r="DE1" s="166"/>
      <c r="DF1" s="166"/>
      <c r="DG1" s="166"/>
      <c r="DH1" s="172"/>
      <c r="DI1" s="173"/>
      <c r="DJ1" s="174"/>
      <c r="DK1" s="175"/>
      <c r="DL1" s="176"/>
      <c r="DM1" s="175"/>
      <c r="DN1" s="177"/>
      <c r="DO1" s="178"/>
      <c r="DP1" s="179"/>
      <c r="DQ1" s="179"/>
      <c r="DR1" s="179"/>
      <c r="DS1" s="179"/>
      <c r="DT1" s="179"/>
      <c r="DU1" s="179"/>
      <c r="DV1" s="179"/>
      <c r="DW1" s="179"/>
      <c r="DX1" s="179"/>
      <c r="DY1" s="179"/>
      <c r="DZ1" s="179"/>
      <c r="EA1" s="179"/>
      <c r="EB1" s="180"/>
      <c r="EC1" s="181"/>
      <c r="ED1" s="182"/>
      <c r="EE1" s="182"/>
      <c r="EF1" s="182"/>
    </row>
    <row r="2" spans="1:136" s="562" customFormat="1" ht="27" customHeight="1">
      <c r="A2" s="660" t="s">
        <v>234</v>
      </c>
      <c r="B2" s="661"/>
      <c r="C2" s="661"/>
      <c r="D2" s="661"/>
      <c r="E2" s="662"/>
      <c r="F2" s="138"/>
      <c r="G2" s="138"/>
      <c r="H2" s="140"/>
      <c r="I2" s="141"/>
      <c r="J2" s="142"/>
      <c r="K2" s="143"/>
      <c r="L2" s="522"/>
      <c r="M2" s="522"/>
      <c r="N2" s="144"/>
      <c r="O2" s="522"/>
      <c r="P2" s="145"/>
      <c r="Q2" s="146"/>
      <c r="R2" s="145"/>
      <c r="S2" s="145"/>
      <c r="T2" s="145"/>
      <c r="U2" s="147"/>
      <c r="V2" s="147"/>
      <c r="W2" s="147"/>
      <c r="X2" s="542"/>
      <c r="Y2" s="148"/>
      <c r="Z2" s="663" t="s">
        <v>77</v>
      </c>
      <c r="AA2" s="664"/>
      <c r="AB2" s="664"/>
      <c r="AC2" s="664"/>
      <c r="AD2" s="664"/>
      <c r="AE2" s="664"/>
      <c r="AF2" s="664"/>
      <c r="AG2" s="664"/>
      <c r="AH2" s="664"/>
      <c r="AI2" s="664"/>
      <c r="AJ2" s="664"/>
      <c r="AK2" s="664"/>
      <c r="AL2" s="664"/>
      <c r="AM2" s="664"/>
      <c r="AN2" s="664"/>
      <c r="AO2" s="664"/>
      <c r="AP2" s="664"/>
      <c r="AQ2" s="664"/>
      <c r="AR2" s="664"/>
      <c r="AS2" s="664"/>
      <c r="AT2" s="664"/>
      <c r="AU2" s="664"/>
      <c r="AV2" s="664"/>
      <c r="AW2" s="664"/>
      <c r="AX2" s="665"/>
      <c r="AY2" s="549"/>
      <c r="AZ2" s="666" t="s">
        <v>78</v>
      </c>
      <c r="BA2" s="667"/>
      <c r="BB2" s="667"/>
      <c r="BC2" s="667"/>
      <c r="BD2" s="668"/>
      <c r="BE2" s="669" t="s">
        <v>79</v>
      </c>
      <c r="BF2" s="670"/>
      <c r="BG2" s="670"/>
      <c r="BH2" s="670"/>
      <c r="BI2" s="670"/>
      <c r="BJ2" s="670"/>
      <c r="BK2" s="670"/>
      <c r="BL2" s="670"/>
      <c r="BM2" s="670"/>
      <c r="BN2" s="670"/>
      <c r="BO2" s="670"/>
      <c r="BP2" s="670"/>
      <c r="BQ2" s="670"/>
      <c r="BR2" s="670"/>
      <c r="BS2" s="670"/>
      <c r="BT2" s="670"/>
      <c r="BU2" s="670"/>
      <c r="BV2" s="670"/>
      <c r="BW2" s="670"/>
      <c r="BX2" s="670"/>
      <c r="BY2" s="670"/>
      <c r="BZ2" s="670"/>
      <c r="CA2" s="670"/>
      <c r="CB2" s="671"/>
      <c r="CC2" s="550"/>
      <c r="CD2" s="551"/>
      <c r="CE2" s="672" t="s">
        <v>80</v>
      </c>
      <c r="CF2" s="673"/>
      <c r="CG2" s="673"/>
      <c r="CH2" s="673"/>
      <c r="CI2" s="673"/>
      <c r="CJ2" s="673"/>
      <c r="CK2" s="673"/>
      <c r="CL2" s="673"/>
      <c r="CM2" s="673"/>
      <c r="CN2" s="673"/>
      <c r="CO2" s="673"/>
      <c r="CP2" s="673"/>
      <c r="CQ2" s="673"/>
      <c r="CR2" s="673"/>
      <c r="CS2" s="673"/>
      <c r="CT2" s="673"/>
      <c r="CU2" s="673"/>
      <c r="CV2" s="673"/>
      <c r="CW2" s="673"/>
      <c r="CX2" s="673"/>
      <c r="CY2" s="673"/>
      <c r="CZ2" s="673"/>
      <c r="DA2" s="673"/>
      <c r="DB2" s="673"/>
      <c r="DC2" s="673"/>
      <c r="DD2" s="673"/>
      <c r="DE2" s="673"/>
      <c r="DF2" s="673"/>
      <c r="DG2" s="674"/>
      <c r="DH2" s="552" t="s">
        <v>81</v>
      </c>
      <c r="DI2" s="553" t="s">
        <v>82</v>
      </c>
      <c r="DJ2" s="554" t="s">
        <v>83</v>
      </c>
      <c r="DK2" s="555" t="s">
        <v>84</v>
      </c>
      <c r="DL2" s="556" t="s">
        <v>85</v>
      </c>
      <c r="DM2" s="555" t="s">
        <v>86</v>
      </c>
      <c r="DN2" s="557" t="s">
        <v>87</v>
      </c>
      <c r="DO2" s="558"/>
      <c r="DP2" s="559"/>
      <c r="DQ2" s="559"/>
      <c r="DR2" s="559"/>
      <c r="DS2" s="559"/>
      <c r="DT2" s="559"/>
      <c r="DU2" s="559"/>
      <c r="DV2" s="559"/>
      <c r="DW2" s="559"/>
      <c r="DX2" s="559"/>
      <c r="DY2" s="559"/>
      <c r="DZ2" s="559"/>
      <c r="EA2" s="559"/>
      <c r="EB2" s="560"/>
      <c r="EC2" s="675" t="s">
        <v>235</v>
      </c>
      <c r="ED2" s="561"/>
      <c r="EE2" s="561"/>
      <c r="EF2" s="561"/>
    </row>
    <row r="3" spans="1:136" s="517" customFormat="1" ht="27" customHeight="1">
      <c r="A3" s="201"/>
      <c r="B3" s="201"/>
      <c r="C3" s="183"/>
      <c r="D3" s="184"/>
      <c r="E3" s="183"/>
      <c r="F3" s="183"/>
      <c r="G3" s="183"/>
      <c r="H3" s="185"/>
      <c r="I3" s="186"/>
      <c r="J3" s="187"/>
      <c r="K3" s="188"/>
      <c r="L3" s="190"/>
      <c r="M3" s="190"/>
      <c r="N3" s="189"/>
      <c r="O3" s="190"/>
      <c r="P3" s="191"/>
      <c r="Q3" s="192"/>
      <c r="R3" s="191"/>
      <c r="S3" s="191"/>
      <c r="T3" s="191"/>
      <c r="U3" s="193"/>
      <c r="V3" s="193"/>
      <c r="W3" s="193"/>
      <c r="X3" s="194"/>
      <c r="Y3" s="195"/>
      <c r="Z3" s="196"/>
      <c r="AA3" s="196"/>
      <c r="AB3" s="202"/>
      <c r="AC3" s="498"/>
      <c r="AD3" s="676" t="s">
        <v>88</v>
      </c>
      <c r="AE3" s="677"/>
      <c r="AF3" s="677"/>
      <c r="AG3" s="677"/>
      <c r="AH3" s="677"/>
      <c r="AI3" s="677"/>
      <c r="AJ3" s="678"/>
      <c r="AK3" s="563"/>
      <c r="AL3" s="196" t="s">
        <v>89</v>
      </c>
      <c r="AM3" s="679" t="s">
        <v>90</v>
      </c>
      <c r="AN3" s="680"/>
      <c r="AO3" s="680"/>
      <c r="AP3" s="680"/>
      <c r="AQ3" s="681"/>
      <c r="AR3" s="203"/>
      <c r="AS3" s="196"/>
      <c r="AT3" s="196" t="s">
        <v>91</v>
      </c>
      <c r="AU3" s="203"/>
      <c r="AV3" s="196"/>
      <c r="AW3" s="203"/>
      <c r="AX3" s="498"/>
      <c r="AY3" s="203"/>
      <c r="AZ3" s="500"/>
      <c r="BA3" s="500"/>
      <c r="BB3" s="500"/>
      <c r="BC3" s="501"/>
      <c r="BD3" s="502"/>
      <c r="BE3" s="207"/>
      <c r="BF3" s="206"/>
      <c r="BG3" s="206"/>
      <c r="BH3" s="682" t="s">
        <v>88</v>
      </c>
      <c r="BI3" s="683"/>
      <c r="BJ3" s="683"/>
      <c r="BK3" s="683"/>
      <c r="BL3" s="683"/>
      <c r="BM3" s="683"/>
      <c r="BN3" s="683"/>
      <c r="BO3" s="684"/>
      <c r="BP3" s="682" t="s">
        <v>90</v>
      </c>
      <c r="BQ3" s="683"/>
      <c r="BR3" s="683"/>
      <c r="BS3" s="683"/>
      <c r="BT3" s="683"/>
      <c r="BU3" s="683"/>
      <c r="BV3" s="683"/>
      <c r="BW3" s="684"/>
      <c r="BX3" s="685" t="s">
        <v>92</v>
      </c>
      <c r="BY3" s="686"/>
      <c r="BZ3" s="686"/>
      <c r="CA3" s="687"/>
      <c r="CB3" s="207"/>
      <c r="CC3" s="208"/>
      <c r="CD3" s="209"/>
      <c r="CE3" s="506"/>
      <c r="CF3" s="564"/>
      <c r="CG3" s="688" t="s">
        <v>88</v>
      </c>
      <c r="CH3" s="689"/>
      <c r="CI3" s="689"/>
      <c r="CJ3" s="689"/>
      <c r="CK3" s="689"/>
      <c r="CL3" s="689"/>
      <c r="CM3" s="689"/>
      <c r="CN3" s="689"/>
      <c r="CO3" s="689"/>
      <c r="CP3" s="689"/>
      <c r="CQ3" s="690"/>
      <c r="CR3" s="565"/>
      <c r="CS3" s="691" t="s">
        <v>90</v>
      </c>
      <c r="CT3" s="692"/>
      <c r="CU3" s="692"/>
      <c r="CV3" s="692"/>
      <c r="CW3" s="692"/>
      <c r="CX3" s="692"/>
      <c r="CY3" s="692"/>
      <c r="CZ3" s="693"/>
      <c r="DA3" s="214"/>
      <c r="DB3" s="694" t="s">
        <v>92</v>
      </c>
      <c r="DC3" s="695"/>
      <c r="DD3" s="695"/>
      <c r="DE3" s="696"/>
      <c r="DF3" s="217"/>
      <c r="DG3" s="217"/>
      <c r="DH3" s="509"/>
      <c r="DI3" s="510"/>
      <c r="DJ3" s="511"/>
      <c r="DK3" s="512"/>
      <c r="DL3" s="513"/>
      <c r="DM3" s="512"/>
      <c r="DN3" s="514"/>
      <c r="DO3" s="566"/>
      <c r="DP3" s="515" t="s">
        <v>226</v>
      </c>
      <c r="DQ3" s="515" t="s">
        <v>93</v>
      </c>
      <c r="DR3" s="515" t="s">
        <v>94</v>
      </c>
      <c r="DS3" s="515" t="s">
        <v>95</v>
      </c>
      <c r="DT3" s="515" t="s">
        <v>96</v>
      </c>
      <c r="DU3" s="515"/>
      <c r="DV3" s="515"/>
      <c r="DW3" s="515"/>
      <c r="DX3" s="515" t="s">
        <v>90</v>
      </c>
      <c r="DY3" s="515"/>
      <c r="DZ3" s="515"/>
      <c r="EA3" s="515" t="s">
        <v>227</v>
      </c>
      <c r="EB3" s="516"/>
      <c r="EC3" s="675"/>
      <c r="ED3" s="567"/>
      <c r="EE3" s="567"/>
      <c r="EF3" s="567"/>
    </row>
    <row r="4" spans="1:136" s="517" customFormat="1" ht="27" customHeight="1">
      <c r="A4" s="201" t="s">
        <v>97</v>
      </c>
      <c r="B4" s="201" t="s">
        <v>98</v>
      </c>
      <c r="C4" s="183" t="s">
        <v>99</v>
      </c>
      <c r="D4" s="184" t="s">
        <v>100</v>
      </c>
      <c r="E4" s="183" t="s">
        <v>101</v>
      </c>
      <c r="F4" s="183" t="s">
        <v>102</v>
      </c>
      <c r="G4" s="183" t="s">
        <v>103</v>
      </c>
      <c r="H4" s="185" t="s">
        <v>104</v>
      </c>
      <c r="I4" s="186" t="s">
        <v>105</v>
      </c>
      <c r="J4" s="187" t="s">
        <v>106</v>
      </c>
      <c r="K4" s="188"/>
      <c r="L4" s="190" t="s">
        <v>108</v>
      </c>
      <c r="M4" s="190" t="s">
        <v>109</v>
      </c>
      <c r="N4" s="189" t="s">
        <v>107</v>
      </c>
      <c r="O4" s="190" t="s">
        <v>110</v>
      </c>
      <c r="P4" s="191" t="s">
        <v>111</v>
      </c>
      <c r="Q4" s="192" t="s">
        <v>112</v>
      </c>
      <c r="R4" s="191" t="s">
        <v>113</v>
      </c>
      <c r="S4" s="191" t="s">
        <v>114</v>
      </c>
      <c r="T4" s="191" t="s">
        <v>115</v>
      </c>
      <c r="U4" s="193" t="s">
        <v>116</v>
      </c>
      <c r="V4" s="193" t="s">
        <v>117</v>
      </c>
      <c r="W4" s="193" t="s">
        <v>118</v>
      </c>
      <c r="X4" s="194" t="s">
        <v>119</v>
      </c>
      <c r="Y4" s="195" t="s">
        <v>120</v>
      </c>
      <c r="Z4" s="202" t="s">
        <v>121</v>
      </c>
      <c r="AA4" s="196" t="s">
        <v>122</v>
      </c>
      <c r="AB4" s="202" t="s">
        <v>123</v>
      </c>
      <c r="AC4" s="498" t="s">
        <v>124</v>
      </c>
      <c r="AD4" s="498" t="s">
        <v>125</v>
      </c>
      <c r="AE4" s="203" t="s">
        <v>126</v>
      </c>
      <c r="AF4" s="498" t="s">
        <v>127</v>
      </c>
      <c r="AG4" s="203" t="s">
        <v>128</v>
      </c>
      <c r="AH4" s="498" t="s">
        <v>129</v>
      </c>
      <c r="AI4" s="203" t="s">
        <v>130</v>
      </c>
      <c r="AJ4" s="204" t="s">
        <v>131</v>
      </c>
      <c r="AK4" s="205" t="s">
        <v>132</v>
      </c>
      <c r="AL4" s="499"/>
      <c r="AM4" s="498" t="s">
        <v>133</v>
      </c>
      <c r="AN4" s="203" t="s">
        <v>134</v>
      </c>
      <c r="AO4" s="498" t="s">
        <v>135</v>
      </c>
      <c r="AP4" s="203" t="s">
        <v>136</v>
      </c>
      <c r="AQ4" s="196" t="s">
        <v>137</v>
      </c>
      <c r="AR4" s="203" t="s">
        <v>138</v>
      </c>
      <c r="AS4" s="196" t="s">
        <v>139</v>
      </c>
      <c r="AT4" s="196" t="s">
        <v>140</v>
      </c>
      <c r="AU4" s="203" t="s">
        <v>138</v>
      </c>
      <c r="AV4" s="196" t="s">
        <v>141</v>
      </c>
      <c r="AW4" s="203" t="s">
        <v>142</v>
      </c>
      <c r="AX4" s="498" t="s">
        <v>143</v>
      </c>
      <c r="AY4" s="203" t="s">
        <v>144</v>
      </c>
      <c r="AZ4" s="500" t="s">
        <v>145</v>
      </c>
      <c r="BA4" s="500" t="s">
        <v>146</v>
      </c>
      <c r="BB4" s="500" t="s">
        <v>147</v>
      </c>
      <c r="BC4" s="501" t="s">
        <v>148</v>
      </c>
      <c r="BD4" s="502" t="s">
        <v>126</v>
      </c>
      <c r="BE4" s="207" t="s">
        <v>149</v>
      </c>
      <c r="BF4" s="206" t="s">
        <v>122</v>
      </c>
      <c r="BG4" s="206" t="s">
        <v>123</v>
      </c>
      <c r="BH4" s="207" t="s">
        <v>148</v>
      </c>
      <c r="BI4" s="503" t="s">
        <v>126</v>
      </c>
      <c r="BJ4" s="207" t="s">
        <v>127</v>
      </c>
      <c r="BK4" s="503" t="s">
        <v>128</v>
      </c>
      <c r="BL4" s="207" t="s">
        <v>129</v>
      </c>
      <c r="BM4" s="504" t="s">
        <v>130</v>
      </c>
      <c r="BN4" s="206" t="s">
        <v>131</v>
      </c>
      <c r="BO4" s="504" t="s">
        <v>132</v>
      </c>
      <c r="BP4" s="505" t="s">
        <v>89</v>
      </c>
      <c r="BQ4" s="207" t="s">
        <v>150</v>
      </c>
      <c r="BR4" s="503" t="s">
        <v>151</v>
      </c>
      <c r="BS4" s="505" t="s">
        <v>152</v>
      </c>
      <c r="BT4" s="504" t="s">
        <v>153</v>
      </c>
      <c r="BU4" s="206" t="s">
        <v>154</v>
      </c>
      <c r="BV4" s="208" t="s">
        <v>155</v>
      </c>
      <c r="BW4" s="206" t="s">
        <v>139</v>
      </c>
      <c r="BX4" s="206" t="s">
        <v>140</v>
      </c>
      <c r="BY4" s="208" t="s">
        <v>156</v>
      </c>
      <c r="BZ4" s="206" t="s">
        <v>157</v>
      </c>
      <c r="CA4" s="208" t="s">
        <v>158</v>
      </c>
      <c r="CB4" s="207" t="s">
        <v>143</v>
      </c>
      <c r="CC4" s="208" t="s">
        <v>159</v>
      </c>
      <c r="CD4" s="209" t="s">
        <v>160</v>
      </c>
      <c r="CE4" s="506" t="s">
        <v>145</v>
      </c>
      <c r="CF4" s="507" t="s">
        <v>146</v>
      </c>
      <c r="CG4" s="508" t="s">
        <v>125</v>
      </c>
      <c r="CH4" s="212" t="s">
        <v>126</v>
      </c>
      <c r="CI4" s="210" t="s">
        <v>161</v>
      </c>
      <c r="CJ4" s="212" t="s">
        <v>162</v>
      </c>
      <c r="CK4" s="210" t="s">
        <v>163</v>
      </c>
      <c r="CL4" s="212" t="s">
        <v>164</v>
      </c>
      <c r="CM4" s="210" t="s">
        <v>165</v>
      </c>
      <c r="CN4" s="212" t="s">
        <v>166</v>
      </c>
      <c r="CO4" s="211" t="s">
        <v>167</v>
      </c>
      <c r="CP4" s="212" t="s">
        <v>168</v>
      </c>
      <c r="CQ4" s="213" t="s">
        <v>169</v>
      </c>
      <c r="CR4" s="212" t="s">
        <v>170</v>
      </c>
      <c r="CS4" s="214" t="s">
        <v>171</v>
      </c>
      <c r="CT4" s="217" t="s">
        <v>172</v>
      </c>
      <c r="CU4" s="215" t="s">
        <v>173</v>
      </c>
      <c r="CV4" s="217" t="s">
        <v>174</v>
      </c>
      <c r="CW4" s="214" t="s">
        <v>175</v>
      </c>
      <c r="CX4" s="217" t="s">
        <v>176</v>
      </c>
      <c r="CY4" s="216" t="s">
        <v>154</v>
      </c>
      <c r="CZ4" s="217" t="s">
        <v>177</v>
      </c>
      <c r="DA4" s="214" t="s">
        <v>139</v>
      </c>
      <c r="DB4" s="216" t="s">
        <v>140</v>
      </c>
      <c r="DC4" s="217" t="s">
        <v>156</v>
      </c>
      <c r="DD4" s="218" t="s">
        <v>178</v>
      </c>
      <c r="DE4" s="219" t="s">
        <v>179</v>
      </c>
      <c r="DF4" s="220" t="s">
        <v>143</v>
      </c>
      <c r="DG4" s="219" t="s">
        <v>159</v>
      </c>
      <c r="DH4" s="509"/>
      <c r="DI4" s="510"/>
      <c r="DJ4" s="511"/>
      <c r="DK4" s="512"/>
      <c r="DL4" s="513"/>
      <c r="DM4" s="512"/>
      <c r="DN4" s="514"/>
      <c r="DO4" s="566" t="s">
        <v>236</v>
      </c>
      <c r="DP4" s="515"/>
      <c r="DQ4" s="515"/>
      <c r="DR4" s="515"/>
      <c r="DS4" s="515"/>
      <c r="DT4" s="515"/>
      <c r="DU4" s="515"/>
      <c r="DV4" s="515"/>
      <c r="DW4" s="515"/>
      <c r="DX4" s="515"/>
      <c r="DY4" s="515"/>
      <c r="DZ4" s="515"/>
      <c r="EA4" s="515"/>
      <c r="EB4" s="516"/>
      <c r="EC4" s="675"/>
      <c r="ED4" s="567"/>
      <c r="EE4" s="567"/>
      <c r="EF4" s="567"/>
    </row>
    <row r="5" spans="1:136" s="182" customFormat="1" ht="45">
      <c r="A5" s="74">
        <v>1</v>
      </c>
      <c r="B5" s="74">
        <v>2</v>
      </c>
      <c r="C5" s="138">
        <v>45809</v>
      </c>
      <c r="D5" s="139">
        <v>141000118</v>
      </c>
      <c r="E5" s="138">
        <v>45808</v>
      </c>
      <c r="F5" s="138"/>
      <c r="G5" s="138"/>
      <c r="H5" s="140">
        <v>3950.45</v>
      </c>
      <c r="I5" s="141">
        <v>3950.45</v>
      </c>
      <c r="J5" s="142"/>
      <c r="K5" s="143"/>
      <c r="L5" s="541">
        <v>58</v>
      </c>
      <c r="M5" s="144"/>
      <c r="N5" s="144">
        <v>3950.45</v>
      </c>
      <c r="O5" s="522" t="s">
        <v>180</v>
      </c>
      <c r="P5" s="145" t="s">
        <v>69</v>
      </c>
      <c r="Q5" s="146" t="s">
        <v>50</v>
      </c>
      <c r="R5" s="145"/>
      <c r="S5" s="145" t="s">
        <v>181</v>
      </c>
      <c r="T5" s="145"/>
      <c r="U5" s="147" t="s">
        <v>182</v>
      </c>
      <c r="V5" s="147" t="s">
        <v>183</v>
      </c>
      <c r="W5" s="147">
        <v>4150</v>
      </c>
      <c r="X5" s="519">
        <v>4005.82</v>
      </c>
      <c r="Y5" s="148">
        <v>4005.82</v>
      </c>
      <c r="Z5" s="150" t="s">
        <v>280</v>
      </c>
      <c r="AA5" s="149">
        <v>1644</v>
      </c>
      <c r="AB5" s="150" t="s">
        <v>238</v>
      </c>
      <c r="AC5" s="151">
        <v>4005.82</v>
      </c>
      <c r="AD5" s="151">
        <v>12.35</v>
      </c>
      <c r="AE5" s="152">
        <f t="shared" ref="AE5:AE62" si="0">AD5*$AC5</f>
        <v>49471.877</v>
      </c>
      <c r="AF5" s="151">
        <v>7.43</v>
      </c>
      <c r="AG5" s="152">
        <f t="shared" ref="AG5:AG40" si="1">AF5*$AC5</f>
        <v>29763.242600000001</v>
      </c>
      <c r="AH5" s="151">
        <v>35.85</v>
      </c>
      <c r="AI5" s="152">
        <f t="shared" ref="AI5:AI40" si="2">AH5*$AC5</f>
        <v>143608.647</v>
      </c>
      <c r="AJ5" s="149">
        <v>4147</v>
      </c>
      <c r="AK5" s="152">
        <v>0</v>
      </c>
      <c r="AL5" s="149"/>
      <c r="AM5" s="151">
        <v>8.74</v>
      </c>
      <c r="AN5" s="152">
        <f t="shared" ref="AN5:AN62" si="3">AM5*$AC5</f>
        <v>35010.866800000003</v>
      </c>
      <c r="AO5" s="151">
        <v>35.340000000000003</v>
      </c>
      <c r="AP5" s="152">
        <f t="shared" ref="AP5:AP62" si="4">AO5*$AC5</f>
        <v>141565.67880000002</v>
      </c>
      <c r="AQ5" s="149">
        <v>4088</v>
      </c>
      <c r="AR5" s="152">
        <f>AQ5*$I5</f>
        <v>16149439.6</v>
      </c>
      <c r="AS5" s="149" t="s">
        <v>185</v>
      </c>
      <c r="AT5" s="149">
        <f t="shared" ref="AT5:AT62" si="5">ROUND(((100-AD5)/(100-AM5)*AQ5),0)</f>
        <v>3926</v>
      </c>
      <c r="AU5" s="152">
        <f t="shared" ref="AU5:AU19" si="6">AT5*$AC5</f>
        <v>15726849.32</v>
      </c>
      <c r="AV5" s="149">
        <f t="shared" ref="AV5:AV56" si="7">ROUND(((100-AD5)/(100-AM5)*AO5),2)</f>
        <v>33.94</v>
      </c>
      <c r="AW5" s="152">
        <f t="shared" ref="AW5:AW19" si="8">AV5*$AC5</f>
        <v>135957.53080000001</v>
      </c>
      <c r="AX5" s="151">
        <f t="shared" ref="AX5:AX62" si="9">$AD5-$AM5</f>
        <v>3.6099999999999994</v>
      </c>
      <c r="AY5" s="152">
        <f t="shared" ref="AY5:AY19" si="10">AX5*$AC5</f>
        <v>14461.010199999999</v>
      </c>
      <c r="AZ5" s="153">
        <v>4.0999999999999996</v>
      </c>
      <c r="BA5" s="153">
        <v>6.0389999999999997</v>
      </c>
      <c r="BB5" s="153"/>
      <c r="BC5" s="154">
        <f t="shared" ref="BC5:BC62" si="11">AZ5+BA5*(1-(AZ5/100))+BB5*(1-(AZ5+BA5)/100)</f>
        <v>9.8914009999999983</v>
      </c>
      <c r="BD5" s="155">
        <f t="shared" ref="BD5:BD19" si="12">BC5*$CD5</f>
        <v>39075.485080449995</v>
      </c>
      <c r="BE5" s="156">
        <f t="shared" ref="BE5" si="13">CD5</f>
        <v>3950.45</v>
      </c>
      <c r="BF5" s="157">
        <v>498</v>
      </c>
      <c r="BG5" s="157" t="s">
        <v>253</v>
      </c>
      <c r="BH5" s="156">
        <v>9.89</v>
      </c>
      <c r="BI5" s="158">
        <f t="shared" ref="BI5:BI62" si="14">BH5*$BE5</f>
        <v>39069.950499999999</v>
      </c>
      <c r="BJ5" s="156">
        <v>5.45</v>
      </c>
      <c r="BK5" s="158">
        <f t="shared" ref="BK5:BK62" si="15">BJ5*$BE5</f>
        <v>21529.952499999999</v>
      </c>
      <c r="BL5" s="156">
        <v>53.19</v>
      </c>
      <c r="BM5" s="159">
        <f t="shared" ref="BM5:BM62" si="16">BL5*$BE5</f>
        <v>210124.43549999999</v>
      </c>
      <c r="BN5" s="157">
        <v>2537</v>
      </c>
      <c r="BO5" s="159">
        <f t="shared" ref="BO5:BO62" si="17">BN5*$BE5</f>
        <v>10022291.65</v>
      </c>
      <c r="BP5" s="160"/>
      <c r="BQ5" s="156">
        <v>4.8899999999999997</v>
      </c>
      <c r="BR5" s="158">
        <f t="shared" ref="BR5:BR62" si="18">BQ5*$BE5</f>
        <v>19317.700499999999</v>
      </c>
      <c r="BS5" s="156">
        <v>53.51</v>
      </c>
      <c r="BT5" s="159">
        <f t="shared" ref="BT5:BT62" si="19">BS5*$BE5</f>
        <v>211388.57949999999</v>
      </c>
      <c r="BU5" s="157">
        <v>2552</v>
      </c>
      <c r="BV5" s="161">
        <f>BU5*$I5</f>
        <v>10081548.4</v>
      </c>
      <c r="BW5" s="157" t="s">
        <v>186</v>
      </c>
      <c r="BX5" s="157">
        <f t="shared" ref="BX5:BX44" si="20">ROUND(((100-BH5)/(100-BQ5)*BU5),0)</f>
        <v>2418</v>
      </c>
      <c r="BY5" s="161">
        <f>BX5*$I5</f>
        <v>9552188.0999999996</v>
      </c>
      <c r="BZ5" s="157">
        <f t="shared" ref="BZ5:BZ62" si="21">ROUND(((100-BH5)/(100-BQ5)*BS5),2)</f>
        <v>50.7</v>
      </c>
      <c r="CA5" s="161">
        <f t="shared" ref="CA5:CA19" si="22">BZ5*$BE5</f>
        <v>200287.815</v>
      </c>
      <c r="CB5" s="156">
        <f t="shared" ref="CB5:CB62" si="23">BH5-BQ5</f>
        <v>5.0000000000000009</v>
      </c>
      <c r="CC5" s="161">
        <f t="shared" ref="CC5:CC19" si="24">CB5*$BE5</f>
        <v>19752.250000000004</v>
      </c>
      <c r="CD5" s="162">
        <f>N5</f>
        <v>3950.45</v>
      </c>
      <c r="CE5" s="163">
        <v>3.7</v>
      </c>
      <c r="CF5" s="164">
        <v>6.1</v>
      </c>
      <c r="CG5" s="165">
        <f>CE5+CF5*(1-CE5/100)</f>
        <v>9.5743000000000009</v>
      </c>
      <c r="CH5" s="166">
        <f t="shared" ref="CH5:CH42" si="25">CG5*$CD5</f>
        <v>37822.793435</v>
      </c>
      <c r="CI5" s="167">
        <v>51.11</v>
      </c>
      <c r="CJ5" s="166">
        <f>CI5*$CD5</f>
        <v>201907.49949999998</v>
      </c>
      <c r="CK5" s="168">
        <v>3.88</v>
      </c>
      <c r="CL5" s="166">
        <f t="shared" ref="CL5:CL62" si="26">CK5*$CD5</f>
        <v>15327.745999999999</v>
      </c>
      <c r="CM5" s="167">
        <v>22.46</v>
      </c>
      <c r="CN5" s="166">
        <f t="shared" ref="CN5:CN62" si="27">CM5*$CD5</f>
        <v>88727.107000000004</v>
      </c>
      <c r="CO5" s="169">
        <f t="shared" ref="CO5:CO62" si="28">8555.56-(145.56*CK5+94.11*CI5)</f>
        <v>3180.8251</v>
      </c>
      <c r="CP5" s="166">
        <f t="shared" ref="CP5:CP62" si="29">CO5*$CD5</f>
        <v>12565690.516294999</v>
      </c>
      <c r="CQ5" s="167">
        <v>2865</v>
      </c>
      <c r="CR5" s="166">
        <f>CQ5*$CD5</f>
        <v>11318039.25</v>
      </c>
      <c r="CS5" s="170">
        <f t="shared" ref="CS5:CS62" si="30">((100-CU5)/(100-CK5))*CI5</f>
        <v>50.232643570536823</v>
      </c>
      <c r="CT5" s="166">
        <f t="shared" ref="CT5:CT62" si="31">CS5*$CD5</f>
        <v>198441.54679322717</v>
      </c>
      <c r="CU5" s="168">
        <v>5.53</v>
      </c>
      <c r="CV5" s="166">
        <f t="shared" ref="CV5:CV19" si="32">CU5*$CD5</f>
        <v>21845.988499999999</v>
      </c>
      <c r="CW5" s="170">
        <f t="shared" ref="CW5:CW21" si="33">((100-CU5)/(100-CK5))*CM5</f>
        <v>22.074450686641697</v>
      </c>
      <c r="CX5" s="166">
        <f t="shared" ref="CX5:CX19" si="34">CW5*$CD5</f>
        <v>87204.013715043693</v>
      </c>
      <c r="CY5" s="171">
        <f t="shared" ref="CY5:CY21" si="35">((100-CU5)/(100-CK5))*CQ5</f>
        <v>2815.8192883895126</v>
      </c>
      <c r="CZ5" s="166">
        <f t="shared" ref="CZ5:CZ19" si="36">CY5*$CD5</f>
        <v>11123753.307818349</v>
      </c>
      <c r="DA5" s="170" t="str">
        <f t="shared" ref="DA5:DA65" si="37">IF(CY5&gt;=7000,"G1",IF(CY5&gt;=6700,"G2",IF(CY5&gt;=6400,"G3",IF(CY5&gt;=6100,"G4",IF(CY5&gt;=5800,"G5",IF(CY5&gt;=5500,"G6",IF(CY5&gt;=5200,"G7",IF(CY5&gt;=4900,"G8",IF(CY5&gt;=4600,"G9",IF(CY5&gt;=4300,"G10",IF(CY5&gt;=4000,"G11",IF(CY5&gt;=3700,"G12",IF(CY5&gt;=3400,"G13",IF(CY5&gt;=3100,"G14",IF(CY5&gt;=2800,"G15",IF(CY5&gt;=2500,"G16",IF(CY5&gt;=2200,"G17")))))))))))))))))</f>
        <v>G15</v>
      </c>
      <c r="DB5" s="171">
        <f t="shared" ref="DB5:DB62" si="38">((100-CG5)/(100-CK5))*CQ5</f>
        <v>2695.2728932584273</v>
      </c>
      <c r="DC5" s="166">
        <f t="shared" ref="DC5:DC19" si="39">DB5*$CD5</f>
        <v>10647540.801172754</v>
      </c>
      <c r="DD5" s="170">
        <f>((100-CG5)/(100-CK5))*CI5</f>
        <v>48.082163202247195</v>
      </c>
      <c r="DE5" s="221">
        <f>DD5*$CD5</f>
        <v>189946.18162231741</v>
      </c>
      <c r="DF5" s="222">
        <f>CG5-CU5</f>
        <v>4.0443000000000007</v>
      </c>
      <c r="DG5" s="221">
        <f>DF5*$CD5</f>
        <v>15976.804935000002</v>
      </c>
      <c r="DH5" s="172">
        <f t="shared" ref="DH5:DH61" si="40">MID(U5,2,LEN(U5))-MID(DA5,2,LEN(DA5))</f>
        <v>-4</v>
      </c>
      <c r="DI5" s="173">
        <f t="shared" ref="DI5:DI23" si="41">$CY5-$BU5</f>
        <v>263.81928838951262</v>
      </c>
      <c r="DJ5" s="174">
        <f t="shared" ref="DJ5:DJ23" si="42">MID(U5,2,LEN(U5))-MID(BW5,2,LEN(BW5))</f>
        <v>-5</v>
      </c>
      <c r="DK5" s="175">
        <f t="shared" ref="DK5:DK23" si="43">$AQ5-$BU5</f>
        <v>1536</v>
      </c>
      <c r="DL5" s="176">
        <f t="shared" ref="DL5:DL23" si="44">MID(U5,2,LEN(U5))-MID(BW5,2,LEN(BW5))</f>
        <v>-5</v>
      </c>
      <c r="DM5" s="175">
        <f t="shared" ref="DM5:DM23" si="45">MID(U5,2,LEN(U5))-MID(AS5,2,LEN(AS5))</f>
        <v>0</v>
      </c>
      <c r="DN5" s="177"/>
      <c r="DO5" s="178">
        <f t="shared" ref="DO5:DO61" si="46">BX5-DB5</f>
        <v>-277.2728932584273</v>
      </c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80"/>
      <c r="EC5" s="181">
        <f t="shared" ref="EC5:EC66" si="47">BU5-CY5</f>
        <v>-263.81928838951262</v>
      </c>
      <c r="EE5" s="181"/>
    </row>
    <row r="6" spans="1:136" s="182" customFormat="1" ht="30">
      <c r="A6" s="74">
        <v>2</v>
      </c>
      <c r="B6" s="74">
        <v>5</v>
      </c>
      <c r="C6" s="138">
        <v>45810</v>
      </c>
      <c r="D6" s="139">
        <v>161000133</v>
      </c>
      <c r="E6" s="138">
        <v>45810</v>
      </c>
      <c r="F6" s="138"/>
      <c r="G6" s="138"/>
      <c r="H6" s="140">
        <v>3876.35</v>
      </c>
      <c r="I6" s="141">
        <v>3876.35</v>
      </c>
      <c r="J6" s="142"/>
      <c r="K6" s="143"/>
      <c r="L6" s="541">
        <v>57</v>
      </c>
      <c r="M6" s="144"/>
      <c r="N6" s="144">
        <v>3876.35</v>
      </c>
      <c r="O6" s="522" t="s">
        <v>180</v>
      </c>
      <c r="P6" s="145" t="s">
        <v>228</v>
      </c>
      <c r="Q6" s="146" t="s">
        <v>274</v>
      </c>
      <c r="R6" s="145"/>
      <c r="S6" s="145" t="s">
        <v>181</v>
      </c>
      <c r="T6" s="145"/>
      <c r="U6" s="147" t="s">
        <v>188</v>
      </c>
      <c r="V6" s="147" t="s">
        <v>189</v>
      </c>
      <c r="W6" s="147">
        <v>4450</v>
      </c>
      <c r="X6" s="519">
        <v>3898.58</v>
      </c>
      <c r="Y6" s="148">
        <v>3898.58</v>
      </c>
      <c r="Z6" s="150"/>
      <c r="AA6" s="149"/>
      <c r="AB6" s="150"/>
      <c r="AC6" s="151"/>
      <c r="AD6" s="151"/>
      <c r="AE6" s="152">
        <f t="shared" si="0"/>
        <v>0</v>
      </c>
      <c r="AF6" s="151"/>
      <c r="AG6" s="152">
        <f t="shared" si="1"/>
        <v>0</v>
      </c>
      <c r="AH6" s="151"/>
      <c r="AI6" s="152">
        <f t="shared" si="2"/>
        <v>0</v>
      </c>
      <c r="AJ6" s="149"/>
      <c r="AK6" s="152">
        <v>0</v>
      </c>
      <c r="AL6" s="149"/>
      <c r="AM6" s="151"/>
      <c r="AN6" s="152">
        <f t="shared" si="3"/>
        <v>0</v>
      </c>
      <c r="AO6" s="151"/>
      <c r="AP6" s="152">
        <f t="shared" si="4"/>
        <v>0</v>
      </c>
      <c r="AQ6" s="174">
        <f>W6</f>
        <v>4450</v>
      </c>
      <c r="AR6" s="152">
        <f t="shared" ref="AR6:AR62" si="48">AQ6*$I6</f>
        <v>17249757.5</v>
      </c>
      <c r="AS6" s="149"/>
      <c r="AT6" s="149">
        <f t="shared" si="5"/>
        <v>4450</v>
      </c>
      <c r="AU6" s="152">
        <f t="shared" si="6"/>
        <v>0</v>
      </c>
      <c r="AV6" s="149">
        <f t="shared" si="7"/>
        <v>0</v>
      </c>
      <c r="AW6" s="152">
        <f t="shared" si="8"/>
        <v>0</v>
      </c>
      <c r="AX6" s="151">
        <f t="shared" si="9"/>
        <v>0</v>
      </c>
      <c r="AY6" s="152">
        <f t="shared" si="10"/>
        <v>0</v>
      </c>
      <c r="AZ6" s="153">
        <v>3.7</v>
      </c>
      <c r="BA6" s="153">
        <v>11.589</v>
      </c>
      <c r="BB6" s="153"/>
      <c r="BC6" s="154">
        <f t="shared" si="11"/>
        <v>14.860206999999999</v>
      </c>
      <c r="BD6" s="155">
        <f t="shared" si="12"/>
        <v>57603.363404449992</v>
      </c>
      <c r="BE6" s="156">
        <f>CD6</f>
        <v>3876.35</v>
      </c>
      <c r="BF6" s="157">
        <v>500</v>
      </c>
      <c r="BG6" s="157" t="s">
        <v>238</v>
      </c>
      <c r="BH6" s="156">
        <v>14.86</v>
      </c>
      <c r="BI6" s="158">
        <f t="shared" si="14"/>
        <v>57602.560999999994</v>
      </c>
      <c r="BJ6" s="156">
        <v>6.26</v>
      </c>
      <c r="BK6" s="158">
        <f t="shared" si="15"/>
        <v>24265.950999999997</v>
      </c>
      <c r="BL6" s="156">
        <v>37</v>
      </c>
      <c r="BM6" s="159">
        <f t="shared" si="16"/>
        <v>143424.94999999998</v>
      </c>
      <c r="BN6" s="157">
        <v>4102</v>
      </c>
      <c r="BO6" s="159">
        <f t="shared" si="17"/>
        <v>15900787.699999999</v>
      </c>
      <c r="BP6" s="160"/>
      <c r="BQ6" s="156">
        <v>5.79</v>
      </c>
      <c r="BR6" s="158">
        <f t="shared" si="18"/>
        <v>22444.066500000001</v>
      </c>
      <c r="BS6" s="156">
        <v>37.19</v>
      </c>
      <c r="BT6" s="159">
        <f t="shared" si="19"/>
        <v>144161.4565</v>
      </c>
      <c r="BU6" s="157">
        <v>4123</v>
      </c>
      <c r="BV6" s="161">
        <f t="shared" ref="BV6:BV62" si="49">BU6*$I6</f>
        <v>15982191.049999999</v>
      </c>
      <c r="BW6" s="157" t="s">
        <v>185</v>
      </c>
      <c r="BX6" s="157">
        <f t="shared" si="20"/>
        <v>3726</v>
      </c>
      <c r="BY6" s="161">
        <f t="shared" ref="BY6:BY62" si="50">BX6*$I6</f>
        <v>14443280.1</v>
      </c>
      <c r="BZ6" s="157">
        <f t="shared" si="21"/>
        <v>33.61</v>
      </c>
      <c r="CA6" s="161">
        <f t="shared" si="22"/>
        <v>130284.1235</v>
      </c>
      <c r="CB6" s="156">
        <f t="shared" si="23"/>
        <v>9.07</v>
      </c>
      <c r="CC6" s="161">
        <f t="shared" si="24"/>
        <v>35158.494500000001</v>
      </c>
      <c r="CD6" s="162">
        <f>N6</f>
        <v>3876.35</v>
      </c>
      <c r="CE6" s="163">
        <v>5.3</v>
      </c>
      <c r="CF6" s="164">
        <v>8.67</v>
      </c>
      <c r="CG6" s="165">
        <f t="shared" ref="CG6:CG62" si="51">CE6+CF6*(1-CE6/100)</f>
        <v>13.510490000000001</v>
      </c>
      <c r="CH6" s="166">
        <f t="shared" si="25"/>
        <v>52371.387911500002</v>
      </c>
      <c r="CI6" s="167">
        <v>36.049999999999997</v>
      </c>
      <c r="CJ6" s="166">
        <f t="shared" ref="CJ6:CJ32" si="52">CI6*$CD6</f>
        <v>139742.41749999998</v>
      </c>
      <c r="CK6" s="168">
        <v>4.45</v>
      </c>
      <c r="CL6" s="166">
        <f t="shared" si="26"/>
        <v>17249.7575</v>
      </c>
      <c r="CM6" s="167">
        <v>24.73</v>
      </c>
      <c r="CN6" s="166">
        <f t="shared" si="27"/>
        <v>95862.135500000004</v>
      </c>
      <c r="CO6" s="169">
        <f t="shared" si="28"/>
        <v>4515.1525000000001</v>
      </c>
      <c r="CP6" s="166">
        <f t="shared" si="29"/>
        <v>17502311.393375002</v>
      </c>
      <c r="CQ6" s="167">
        <v>4075</v>
      </c>
      <c r="CR6" s="166">
        <f t="shared" ref="CR6:CR32" si="53">CQ6*$CD6</f>
        <v>15796126.25</v>
      </c>
      <c r="CS6" s="170">
        <f t="shared" si="30"/>
        <v>36.083956043956043</v>
      </c>
      <c r="CT6" s="166">
        <f t="shared" si="31"/>
        <v>139874.043010989</v>
      </c>
      <c r="CU6" s="168">
        <v>4.3600000000000003</v>
      </c>
      <c r="CV6" s="166">
        <f t="shared" si="32"/>
        <v>16900.886000000002</v>
      </c>
      <c r="CW6" s="170">
        <f t="shared" si="33"/>
        <v>24.75329356357928</v>
      </c>
      <c r="CX6" s="166">
        <f t="shared" si="34"/>
        <v>95952.429505180538</v>
      </c>
      <c r="CY6" s="171">
        <f t="shared" si="35"/>
        <v>4078.8383045525902</v>
      </c>
      <c r="CZ6" s="166">
        <f t="shared" si="36"/>
        <v>15811004.861852434</v>
      </c>
      <c r="DA6" s="170" t="str">
        <f t="shared" si="37"/>
        <v>G11</v>
      </c>
      <c r="DB6" s="171">
        <f t="shared" si="38"/>
        <v>3688.5897776033489</v>
      </c>
      <c r="DC6" s="166">
        <f t="shared" si="39"/>
        <v>14298264.984412741</v>
      </c>
      <c r="DD6" s="170">
        <f t="shared" ref="DD6:DD62" si="54">((100-CG6)/(100-CK6))*CI6</f>
        <v>32.631573369963363</v>
      </c>
      <c r="DE6" s="221">
        <f t="shared" ref="DE6:DE64" si="55">DD6*$CD6</f>
        <v>126491.39943265748</v>
      </c>
      <c r="DF6" s="222">
        <f t="shared" ref="DF6:DF62" si="56">CG6-CU6</f>
        <v>9.1504900000000013</v>
      </c>
      <c r="DG6" s="221">
        <f t="shared" ref="DG6:DG64" si="57">DF6*$CD6</f>
        <v>35470.501911500003</v>
      </c>
      <c r="DH6" s="172">
        <f t="shared" si="40"/>
        <v>-1</v>
      </c>
      <c r="DI6" s="173">
        <f t="shared" si="41"/>
        <v>-44.161695447409784</v>
      </c>
      <c r="DJ6" s="174">
        <f t="shared" si="42"/>
        <v>-1</v>
      </c>
      <c r="DK6" s="175">
        <f t="shared" si="43"/>
        <v>327</v>
      </c>
      <c r="DL6" s="176">
        <f t="shared" si="44"/>
        <v>-1</v>
      </c>
      <c r="DM6" s="175" t="e">
        <f t="shared" si="45"/>
        <v>#VALUE!</v>
      </c>
      <c r="DN6" s="177"/>
      <c r="DO6" s="178">
        <f t="shared" si="46"/>
        <v>37.410222396651079</v>
      </c>
      <c r="DP6" s="179"/>
      <c r="DQ6" s="179"/>
      <c r="DR6" s="179"/>
      <c r="DS6" s="179"/>
      <c r="DT6" s="179"/>
      <c r="DU6" s="179"/>
      <c r="DV6" s="179"/>
      <c r="DW6" s="179"/>
      <c r="DX6" s="179"/>
      <c r="DY6" s="179"/>
      <c r="DZ6" s="179"/>
      <c r="EA6" s="179"/>
      <c r="EB6" s="180"/>
      <c r="EC6" s="181">
        <f t="shared" si="47"/>
        <v>44.161695447409784</v>
      </c>
      <c r="EE6" s="181"/>
    </row>
    <row r="7" spans="1:136" s="182" customFormat="1" ht="30">
      <c r="A7" s="74">
        <v>3</v>
      </c>
      <c r="B7" s="74">
        <v>8</v>
      </c>
      <c r="C7" s="138">
        <v>45810</v>
      </c>
      <c r="D7" s="139">
        <v>151001313</v>
      </c>
      <c r="E7" s="138">
        <v>45809</v>
      </c>
      <c r="F7" s="138"/>
      <c r="G7" s="138"/>
      <c r="H7" s="140">
        <v>4026</v>
      </c>
      <c r="I7" s="141">
        <v>4026</v>
      </c>
      <c r="J7" s="142"/>
      <c r="K7" s="143"/>
      <c r="L7" s="541">
        <v>59</v>
      </c>
      <c r="M7" s="144"/>
      <c r="N7" s="144">
        <v>4026</v>
      </c>
      <c r="O7" s="522" t="s">
        <v>180</v>
      </c>
      <c r="P7" s="145" t="s">
        <v>71</v>
      </c>
      <c r="Q7" s="146" t="s">
        <v>222</v>
      </c>
      <c r="R7" s="145"/>
      <c r="S7" s="145" t="s">
        <v>181</v>
      </c>
      <c r="T7" s="145"/>
      <c r="U7" s="147" t="s">
        <v>190</v>
      </c>
      <c r="V7" s="147" t="s">
        <v>194</v>
      </c>
      <c r="W7" s="147">
        <v>3550</v>
      </c>
      <c r="X7" s="519">
        <v>4057.7</v>
      </c>
      <c r="Y7" s="148">
        <v>4057.7</v>
      </c>
      <c r="Z7" s="150" t="s">
        <v>281</v>
      </c>
      <c r="AA7" s="149">
        <v>1653</v>
      </c>
      <c r="AB7" s="150" t="s">
        <v>238</v>
      </c>
      <c r="AC7" s="151">
        <v>4057.7</v>
      </c>
      <c r="AD7" s="151">
        <v>11.26</v>
      </c>
      <c r="AE7" s="152">
        <f t="shared" si="0"/>
        <v>45689.701999999997</v>
      </c>
      <c r="AF7" s="151">
        <v>5.2</v>
      </c>
      <c r="AG7" s="152">
        <f t="shared" si="1"/>
        <v>21100.04</v>
      </c>
      <c r="AH7" s="151">
        <v>44.15</v>
      </c>
      <c r="AI7" s="152">
        <f t="shared" si="2"/>
        <v>179147.45499999999</v>
      </c>
      <c r="AJ7" s="149">
        <v>3517</v>
      </c>
      <c r="AK7" s="152">
        <f t="shared" ref="AK7:AK21" si="58">AJ7*$AC7</f>
        <v>14270930.899999999</v>
      </c>
      <c r="AL7" s="149"/>
      <c r="AM7" s="151">
        <v>7</v>
      </c>
      <c r="AN7" s="152">
        <f t="shared" si="3"/>
        <v>28403.899999999998</v>
      </c>
      <c r="AO7" s="151">
        <v>43.31</v>
      </c>
      <c r="AP7" s="152">
        <f t="shared" si="4"/>
        <v>175738.98699999999</v>
      </c>
      <c r="AQ7" s="149">
        <v>3450</v>
      </c>
      <c r="AR7" s="152">
        <f t="shared" si="48"/>
        <v>13889700</v>
      </c>
      <c r="AS7" s="149" t="s">
        <v>190</v>
      </c>
      <c r="AT7" s="149">
        <f t="shared" si="5"/>
        <v>3292</v>
      </c>
      <c r="AU7" s="152">
        <f t="shared" si="6"/>
        <v>13357948.399999999</v>
      </c>
      <c r="AV7" s="149">
        <f t="shared" si="7"/>
        <v>41.33</v>
      </c>
      <c r="AW7" s="152">
        <f t="shared" si="8"/>
        <v>167704.74099999998</v>
      </c>
      <c r="AX7" s="151">
        <f t="shared" si="9"/>
        <v>4.26</v>
      </c>
      <c r="AY7" s="152">
        <f t="shared" si="10"/>
        <v>17285.802</v>
      </c>
      <c r="AZ7" s="153">
        <v>5.5</v>
      </c>
      <c r="BA7" s="153">
        <v>9.0640000000000001</v>
      </c>
      <c r="BB7" s="153"/>
      <c r="BC7" s="154">
        <f t="shared" si="11"/>
        <v>14.065479999999999</v>
      </c>
      <c r="BD7" s="155">
        <f t="shared" si="12"/>
        <v>56627.622479999998</v>
      </c>
      <c r="BE7" s="156">
        <f t="shared" ref="BE7:BE16" si="59">CD7</f>
        <v>4026</v>
      </c>
      <c r="BF7" s="157">
        <v>500</v>
      </c>
      <c r="BG7" s="157" t="s">
        <v>238</v>
      </c>
      <c r="BH7" s="156">
        <v>14.07</v>
      </c>
      <c r="BI7" s="158">
        <f t="shared" si="14"/>
        <v>56645.82</v>
      </c>
      <c r="BJ7" s="156">
        <v>7.25</v>
      </c>
      <c r="BK7" s="158">
        <f t="shared" si="15"/>
        <v>29188.5</v>
      </c>
      <c r="BL7" s="156">
        <v>34.49</v>
      </c>
      <c r="BM7" s="159">
        <f t="shared" si="16"/>
        <v>138856.74000000002</v>
      </c>
      <c r="BN7" s="157">
        <v>4012</v>
      </c>
      <c r="BO7" s="159">
        <f t="shared" si="17"/>
        <v>16152312</v>
      </c>
      <c r="BP7" s="160"/>
      <c r="BQ7" s="156">
        <v>6.92</v>
      </c>
      <c r="BR7" s="158">
        <f t="shared" si="18"/>
        <v>27859.919999999998</v>
      </c>
      <c r="BS7" s="156">
        <v>34.61</v>
      </c>
      <c r="BT7" s="159">
        <f t="shared" si="19"/>
        <v>139339.85999999999</v>
      </c>
      <c r="BU7" s="157">
        <v>4026</v>
      </c>
      <c r="BV7" s="161">
        <f t="shared" si="49"/>
        <v>16208676</v>
      </c>
      <c r="BW7" s="157" t="s">
        <v>185</v>
      </c>
      <c r="BX7" s="157">
        <f t="shared" si="20"/>
        <v>3717</v>
      </c>
      <c r="BY7" s="161">
        <f t="shared" si="50"/>
        <v>14964642</v>
      </c>
      <c r="BZ7" s="157">
        <f t="shared" si="21"/>
        <v>31.95</v>
      </c>
      <c r="CA7" s="161">
        <f t="shared" si="22"/>
        <v>128630.7</v>
      </c>
      <c r="CB7" s="156">
        <f t="shared" si="23"/>
        <v>7.15</v>
      </c>
      <c r="CC7" s="161">
        <f t="shared" si="24"/>
        <v>28785.9</v>
      </c>
      <c r="CD7" s="162">
        <f>N7</f>
        <v>4026</v>
      </c>
      <c r="CE7" s="163">
        <v>6.4</v>
      </c>
      <c r="CF7" s="164">
        <v>9.2100000000000009</v>
      </c>
      <c r="CG7" s="165">
        <f t="shared" si="51"/>
        <v>15.020560000000001</v>
      </c>
      <c r="CH7" s="166">
        <f t="shared" si="25"/>
        <v>60472.774560000005</v>
      </c>
      <c r="CI7" s="167">
        <v>33.01</v>
      </c>
      <c r="CJ7" s="166">
        <f t="shared" si="52"/>
        <v>132898.25999999998</v>
      </c>
      <c r="CK7" s="168">
        <v>5.4</v>
      </c>
      <c r="CL7" s="166">
        <f t="shared" si="26"/>
        <v>21740.400000000001</v>
      </c>
      <c r="CM7" s="167">
        <v>26.53</v>
      </c>
      <c r="CN7" s="166">
        <f t="shared" si="27"/>
        <v>106809.78</v>
      </c>
      <c r="CO7" s="169">
        <f t="shared" si="28"/>
        <v>4662.9648999999999</v>
      </c>
      <c r="CP7" s="166">
        <f t="shared" si="29"/>
        <v>18773096.687399998</v>
      </c>
      <c r="CQ7" s="167">
        <v>4007</v>
      </c>
      <c r="CR7" s="166">
        <f t="shared" si="53"/>
        <v>16132182</v>
      </c>
      <c r="CS7" s="170">
        <f t="shared" si="30"/>
        <v>32.936721987315011</v>
      </c>
      <c r="CT7" s="166">
        <f t="shared" si="31"/>
        <v>132603.24272093023</v>
      </c>
      <c r="CU7" s="168">
        <v>5.61</v>
      </c>
      <c r="CV7" s="166">
        <f t="shared" si="32"/>
        <v>22585.86</v>
      </c>
      <c r="CW7" s="170">
        <f t="shared" si="33"/>
        <v>26.471106765327697</v>
      </c>
      <c r="CX7" s="166">
        <f t="shared" si="34"/>
        <v>106572.6758372093</v>
      </c>
      <c r="CY7" s="171">
        <f t="shared" si="35"/>
        <v>3998.1049682875268</v>
      </c>
      <c r="CZ7" s="166">
        <f t="shared" si="36"/>
        <v>16096370.602325583</v>
      </c>
      <c r="DA7" s="170" t="str">
        <f t="shared" si="37"/>
        <v>G12</v>
      </c>
      <c r="DB7" s="171">
        <f t="shared" si="38"/>
        <v>3599.4991128964057</v>
      </c>
      <c r="DC7" s="166">
        <f t="shared" si="39"/>
        <v>14491583.428520929</v>
      </c>
      <c r="DD7" s="170">
        <f t="shared" si="54"/>
        <v>29.65297372515856</v>
      </c>
      <c r="DE7" s="221">
        <f t="shared" si="55"/>
        <v>119382.87221748836</v>
      </c>
      <c r="DF7" s="222">
        <f t="shared" si="56"/>
        <v>9.4105600000000003</v>
      </c>
      <c r="DG7" s="221">
        <f t="shared" si="57"/>
        <v>37886.914559999997</v>
      </c>
      <c r="DH7" s="172">
        <f t="shared" si="40"/>
        <v>1</v>
      </c>
      <c r="DI7" s="173">
        <f t="shared" si="41"/>
        <v>-27.895031712473155</v>
      </c>
      <c r="DJ7" s="174">
        <f t="shared" si="42"/>
        <v>2</v>
      </c>
      <c r="DK7" s="175">
        <f t="shared" si="43"/>
        <v>-576</v>
      </c>
      <c r="DL7" s="176">
        <f t="shared" si="44"/>
        <v>2</v>
      </c>
      <c r="DM7" s="175">
        <f t="shared" si="45"/>
        <v>0</v>
      </c>
      <c r="DN7" s="177"/>
      <c r="DO7" s="178">
        <f t="shared" si="46"/>
        <v>117.50088710359432</v>
      </c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80"/>
      <c r="EC7" s="181">
        <f t="shared" si="47"/>
        <v>27.895031712473155</v>
      </c>
      <c r="EE7" s="181"/>
    </row>
    <row r="8" spans="1:136" s="182" customFormat="1" ht="30">
      <c r="A8" s="74">
        <v>4</v>
      </c>
      <c r="B8" s="74">
        <v>10</v>
      </c>
      <c r="C8" s="138">
        <v>45811</v>
      </c>
      <c r="D8" s="139">
        <v>151000184</v>
      </c>
      <c r="E8" s="138">
        <v>45808</v>
      </c>
      <c r="F8" s="138"/>
      <c r="G8" s="138"/>
      <c r="H8" s="140">
        <v>3921.25</v>
      </c>
      <c r="I8" s="141">
        <v>3921.25</v>
      </c>
      <c r="J8" s="142"/>
      <c r="K8" s="143"/>
      <c r="L8" s="541">
        <v>58</v>
      </c>
      <c r="M8" s="144"/>
      <c r="N8" s="144">
        <v>3921.25</v>
      </c>
      <c r="O8" s="522" t="s">
        <v>180</v>
      </c>
      <c r="P8" s="145" t="s">
        <v>70</v>
      </c>
      <c r="Q8" s="146" t="s">
        <v>64</v>
      </c>
      <c r="R8" s="145"/>
      <c r="S8" s="145" t="s">
        <v>181</v>
      </c>
      <c r="T8" s="145"/>
      <c r="U8" s="147" t="s">
        <v>188</v>
      </c>
      <c r="V8" s="147" t="s">
        <v>189</v>
      </c>
      <c r="W8" s="147">
        <v>4450</v>
      </c>
      <c r="X8" s="519">
        <v>3956.11</v>
      </c>
      <c r="Y8" s="148">
        <v>3956.11</v>
      </c>
      <c r="Z8" s="150" t="s">
        <v>280</v>
      </c>
      <c r="AA8" s="149">
        <v>1653</v>
      </c>
      <c r="AB8" s="150" t="s">
        <v>238</v>
      </c>
      <c r="AC8" s="151">
        <v>3956.11</v>
      </c>
      <c r="AD8" s="151">
        <v>11.11</v>
      </c>
      <c r="AE8" s="152">
        <f t="shared" si="0"/>
        <v>43952.382100000003</v>
      </c>
      <c r="AF8" s="151">
        <v>7.22</v>
      </c>
      <c r="AG8" s="152">
        <f t="shared" si="1"/>
        <v>28563.1142</v>
      </c>
      <c r="AH8" s="151">
        <v>30.88</v>
      </c>
      <c r="AI8" s="152">
        <f t="shared" si="2"/>
        <v>122164.6768</v>
      </c>
      <c r="AJ8" s="149">
        <v>4342</v>
      </c>
      <c r="AK8" s="152">
        <f t="shared" si="58"/>
        <v>17177429.620000001</v>
      </c>
      <c r="AL8" s="149"/>
      <c r="AM8" s="151">
        <v>7.03</v>
      </c>
      <c r="AN8" s="152">
        <f t="shared" si="3"/>
        <v>27811.453300000001</v>
      </c>
      <c r="AO8" s="151">
        <v>30.94</v>
      </c>
      <c r="AP8" s="152">
        <f t="shared" si="4"/>
        <v>122402.04340000001</v>
      </c>
      <c r="AQ8" s="149">
        <v>4351</v>
      </c>
      <c r="AR8" s="152">
        <f t="shared" si="48"/>
        <v>17061358.75</v>
      </c>
      <c r="AS8" s="149" t="s">
        <v>188</v>
      </c>
      <c r="AT8" s="149">
        <f t="shared" si="5"/>
        <v>4160</v>
      </c>
      <c r="AU8" s="152">
        <f t="shared" si="6"/>
        <v>16457417.6</v>
      </c>
      <c r="AV8" s="149">
        <f t="shared" si="7"/>
        <v>29.58</v>
      </c>
      <c r="AW8" s="152">
        <f t="shared" si="8"/>
        <v>117021.7338</v>
      </c>
      <c r="AX8" s="151">
        <f t="shared" si="9"/>
        <v>4.0799999999999992</v>
      </c>
      <c r="AY8" s="152">
        <f t="shared" si="10"/>
        <v>16140.928799999998</v>
      </c>
      <c r="AZ8" s="153">
        <v>2.1</v>
      </c>
      <c r="BA8" s="153">
        <v>8.9670000000000005</v>
      </c>
      <c r="BB8" s="153"/>
      <c r="BC8" s="154">
        <f t="shared" si="11"/>
        <v>10.878693</v>
      </c>
      <c r="BD8" s="155">
        <f t="shared" si="12"/>
        <v>42658.074926250003</v>
      </c>
      <c r="BE8" s="156">
        <f>CD8</f>
        <v>3921.25</v>
      </c>
      <c r="BF8" s="157">
        <v>500</v>
      </c>
      <c r="BG8" s="157" t="s">
        <v>238</v>
      </c>
      <c r="BH8" s="156">
        <v>10.88</v>
      </c>
      <c r="BI8" s="158">
        <f t="shared" si="14"/>
        <v>42663.200000000004</v>
      </c>
      <c r="BJ8" s="156">
        <v>5.69</v>
      </c>
      <c r="BK8" s="158">
        <f t="shared" si="15"/>
        <v>22311.912500000002</v>
      </c>
      <c r="BL8" s="156">
        <v>48.2</v>
      </c>
      <c r="BM8" s="159">
        <f t="shared" si="16"/>
        <v>189004.25</v>
      </c>
      <c r="BN8" s="157">
        <v>3075</v>
      </c>
      <c r="BO8" s="159">
        <f t="shared" si="17"/>
        <v>12057843.75</v>
      </c>
      <c r="BP8" s="160"/>
      <c r="BQ8" s="156">
        <v>5.38</v>
      </c>
      <c r="BR8" s="158">
        <f t="shared" si="18"/>
        <v>21096.325000000001</v>
      </c>
      <c r="BS8" s="156">
        <v>48.36</v>
      </c>
      <c r="BT8" s="159">
        <f t="shared" si="19"/>
        <v>189631.65</v>
      </c>
      <c r="BU8" s="157">
        <v>3085</v>
      </c>
      <c r="BV8" s="161">
        <f t="shared" si="49"/>
        <v>12097056.25</v>
      </c>
      <c r="BW8" s="157" t="s">
        <v>187</v>
      </c>
      <c r="BX8" s="157">
        <f t="shared" si="20"/>
        <v>2906</v>
      </c>
      <c r="BY8" s="161">
        <f t="shared" si="50"/>
        <v>11395152.5</v>
      </c>
      <c r="BZ8" s="157">
        <f t="shared" si="21"/>
        <v>45.55</v>
      </c>
      <c r="CA8" s="161">
        <f t="shared" si="22"/>
        <v>178612.9375</v>
      </c>
      <c r="CB8" s="156">
        <f t="shared" si="23"/>
        <v>5.5000000000000009</v>
      </c>
      <c r="CC8" s="161">
        <f t="shared" si="24"/>
        <v>21566.875000000004</v>
      </c>
      <c r="CD8" s="162">
        <f>N8</f>
        <v>3921.25</v>
      </c>
      <c r="CE8" s="163">
        <v>2.2999999999999998</v>
      </c>
      <c r="CF8" s="164">
        <v>6.91</v>
      </c>
      <c r="CG8" s="165">
        <f t="shared" si="51"/>
        <v>9.0510699999999993</v>
      </c>
      <c r="CH8" s="166">
        <f t="shared" si="25"/>
        <v>35491.508237499998</v>
      </c>
      <c r="CI8" s="167">
        <v>47.58</v>
      </c>
      <c r="CJ8" s="166">
        <f t="shared" si="52"/>
        <v>186573.07499999998</v>
      </c>
      <c r="CK8" s="168">
        <v>3.56</v>
      </c>
      <c r="CL8" s="166">
        <f t="shared" si="26"/>
        <v>13959.65</v>
      </c>
      <c r="CM8" s="167">
        <v>23.18</v>
      </c>
      <c r="CN8" s="166">
        <f t="shared" si="27"/>
        <v>90894.574999999997</v>
      </c>
      <c r="CO8" s="169">
        <f t="shared" si="28"/>
        <v>3559.6126000000004</v>
      </c>
      <c r="CP8" s="166">
        <f t="shared" si="29"/>
        <v>13958130.907750001</v>
      </c>
      <c r="CQ8" s="167">
        <v>3191</v>
      </c>
      <c r="CR8" s="166">
        <f t="shared" si="53"/>
        <v>12512708.75</v>
      </c>
      <c r="CS8" s="170">
        <f t="shared" si="30"/>
        <v>47.081702613023644</v>
      </c>
      <c r="CT8" s="166">
        <f t="shared" si="31"/>
        <v>184619.12637131897</v>
      </c>
      <c r="CU8" s="168">
        <v>4.57</v>
      </c>
      <c r="CV8" s="166">
        <f t="shared" si="32"/>
        <v>17920.112500000003</v>
      </c>
      <c r="CW8" s="170">
        <f t="shared" si="33"/>
        <v>22.93723973454998</v>
      </c>
      <c r="CX8" s="166">
        <f t="shared" si="34"/>
        <v>89942.651309104112</v>
      </c>
      <c r="CY8" s="171">
        <f t="shared" si="35"/>
        <v>3157.581190377437</v>
      </c>
      <c r="CZ8" s="166">
        <f t="shared" si="36"/>
        <v>12381665.242767524</v>
      </c>
      <c r="DA8" s="170" t="str">
        <f t="shared" si="37"/>
        <v>G14</v>
      </c>
      <c r="DB8" s="171">
        <f t="shared" si="38"/>
        <v>3009.3118584612198</v>
      </c>
      <c r="DC8" s="166">
        <f t="shared" si="39"/>
        <v>11800264.124991057</v>
      </c>
      <c r="DD8" s="170">
        <f t="shared" si="54"/>
        <v>44.870905116134388</v>
      </c>
      <c r="DE8" s="221">
        <f t="shared" si="55"/>
        <v>175950.03668664198</v>
      </c>
      <c r="DF8" s="222">
        <f t="shared" si="56"/>
        <v>4.481069999999999</v>
      </c>
      <c r="DG8" s="221">
        <f t="shared" si="57"/>
        <v>17571.395737499995</v>
      </c>
      <c r="DH8" s="172">
        <f t="shared" si="40"/>
        <v>-4</v>
      </c>
      <c r="DI8" s="173">
        <f t="shared" si="41"/>
        <v>72.581190377436997</v>
      </c>
      <c r="DJ8" s="174">
        <f t="shared" si="42"/>
        <v>-5</v>
      </c>
      <c r="DK8" s="175">
        <f t="shared" si="43"/>
        <v>1266</v>
      </c>
      <c r="DL8" s="176">
        <f t="shared" si="44"/>
        <v>-5</v>
      </c>
      <c r="DM8" s="175">
        <f t="shared" si="45"/>
        <v>0</v>
      </c>
      <c r="DN8" s="177"/>
      <c r="DO8" s="178">
        <f t="shared" si="46"/>
        <v>-103.3118584612198</v>
      </c>
      <c r="DP8" s="179"/>
      <c r="DQ8" s="179"/>
      <c r="DR8" s="179"/>
      <c r="DS8" s="179"/>
      <c r="DT8" s="179"/>
      <c r="DU8" s="179"/>
      <c r="DV8" s="179"/>
      <c r="DW8" s="179"/>
      <c r="DX8" s="179"/>
      <c r="DY8" s="179"/>
      <c r="DZ8" s="179"/>
      <c r="EA8" s="179"/>
      <c r="EB8" s="180"/>
      <c r="EC8" s="181">
        <f t="shared" si="47"/>
        <v>-72.581190377436997</v>
      </c>
      <c r="EE8" s="181"/>
    </row>
    <row r="9" spans="1:136" s="182" customFormat="1" ht="45">
      <c r="A9" s="74">
        <v>5</v>
      </c>
      <c r="B9" s="74">
        <v>11</v>
      </c>
      <c r="C9" s="138">
        <v>45811</v>
      </c>
      <c r="D9" s="139">
        <v>161005906</v>
      </c>
      <c r="E9" s="138">
        <v>45809</v>
      </c>
      <c r="F9" s="138"/>
      <c r="G9" s="138"/>
      <c r="H9" s="140">
        <v>4069.65</v>
      </c>
      <c r="I9" s="141">
        <v>4069.65</v>
      </c>
      <c r="J9" s="142"/>
      <c r="K9" s="143"/>
      <c r="L9" s="543">
        <v>58</v>
      </c>
      <c r="M9" s="144"/>
      <c r="N9" s="144">
        <v>4069.65</v>
      </c>
      <c r="O9" s="522" t="s">
        <v>180</v>
      </c>
      <c r="P9" s="145" t="s">
        <v>69</v>
      </c>
      <c r="Q9" s="146" t="s">
        <v>50</v>
      </c>
      <c r="R9" s="145"/>
      <c r="S9" s="145" t="s">
        <v>181</v>
      </c>
      <c r="T9" s="145"/>
      <c r="U9" s="147" t="s">
        <v>182</v>
      </c>
      <c r="V9" s="147" t="s">
        <v>183</v>
      </c>
      <c r="W9" s="147">
        <v>4150</v>
      </c>
      <c r="X9" s="519">
        <v>4101.2299999999996</v>
      </c>
      <c r="Y9" s="148">
        <v>4101.2299999999996</v>
      </c>
      <c r="Z9" s="150" t="s">
        <v>281</v>
      </c>
      <c r="AA9" s="149">
        <v>1644</v>
      </c>
      <c r="AB9" s="150" t="s">
        <v>238</v>
      </c>
      <c r="AC9" s="151">
        <v>4101.2299999999996</v>
      </c>
      <c r="AD9" s="151">
        <v>12.63</v>
      </c>
      <c r="AE9" s="152">
        <f t="shared" si="0"/>
        <v>51798.534899999999</v>
      </c>
      <c r="AF9" s="151">
        <v>5.44</v>
      </c>
      <c r="AG9" s="152">
        <f t="shared" si="1"/>
        <v>22310.691199999997</v>
      </c>
      <c r="AH9" s="151">
        <v>45.12</v>
      </c>
      <c r="AI9" s="152">
        <f t="shared" si="2"/>
        <v>185047.49759999997</v>
      </c>
      <c r="AJ9" s="149">
        <v>3358</v>
      </c>
      <c r="AK9" s="152">
        <v>0</v>
      </c>
      <c r="AL9" s="149"/>
      <c r="AM9" s="151">
        <v>6.56</v>
      </c>
      <c r="AN9" s="152">
        <f t="shared" si="3"/>
        <v>26904.068799999997</v>
      </c>
      <c r="AO9" s="151">
        <v>44.59</v>
      </c>
      <c r="AP9" s="152">
        <f t="shared" si="4"/>
        <v>182873.84570000001</v>
      </c>
      <c r="AQ9" s="149">
        <v>3318</v>
      </c>
      <c r="AR9" s="152">
        <f t="shared" si="48"/>
        <v>13503098.700000001</v>
      </c>
      <c r="AS9" s="149" t="s">
        <v>193</v>
      </c>
      <c r="AT9" s="149">
        <f t="shared" si="5"/>
        <v>3102</v>
      </c>
      <c r="AU9" s="152">
        <f t="shared" si="6"/>
        <v>12722015.459999999</v>
      </c>
      <c r="AV9" s="149">
        <f t="shared" si="7"/>
        <v>41.69</v>
      </c>
      <c r="AW9" s="152">
        <f t="shared" si="8"/>
        <v>170980.27869999997</v>
      </c>
      <c r="AX9" s="151">
        <f t="shared" si="9"/>
        <v>6.0700000000000012</v>
      </c>
      <c r="AY9" s="152">
        <f t="shared" si="10"/>
        <v>24894.466100000001</v>
      </c>
      <c r="AZ9" s="153">
        <v>2.2000000000000002</v>
      </c>
      <c r="BA9" s="153">
        <v>6.6719999999999997</v>
      </c>
      <c r="BB9" s="153"/>
      <c r="BC9" s="154">
        <f t="shared" si="11"/>
        <v>8.7252159999999996</v>
      </c>
      <c r="BD9" s="155">
        <f t="shared" si="12"/>
        <v>35508.575294399998</v>
      </c>
      <c r="BE9" s="156">
        <f t="shared" si="59"/>
        <v>4069.65</v>
      </c>
      <c r="BF9" s="157">
        <v>501</v>
      </c>
      <c r="BG9" s="157" t="s">
        <v>238</v>
      </c>
      <c r="BH9" s="156">
        <v>8.73</v>
      </c>
      <c r="BI9" s="158">
        <f t="shared" si="14"/>
        <v>35528.044500000004</v>
      </c>
      <c r="BJ9" s="156">
        <v>5.5</v>
      </c>
      <c r="BK9" s="158">
        <f t="shared" si="15"/>
        <v>22383.075000000001</v>
      </c>
      <c r="BL9" s="156">
        <v>48.32</v>
      </c>
      <c r="BM9" s="159">
        <f t="shared" si="16"/>
        <v>196645.48800000001</v>
      </c>
      <c r="BN9" s="157">
        <v>3164</v>
      </c>
      <c r="BO9" s="159">
        <f t="shared" si="17"/>
        <v>12876372.6</v>
      </c>
      <c r="BP9" s="160"/>
      <c r="BQ9" s="156">
        <v>5.27</v>
      </c>
      <c r="BR9" s="158">
        <f t="shared" si="18"/>
        <v>21447.055499999999</v>
      </c>
      <c r="BS9" s="156">
        <v>48.44</v>
      </c>
      <c r="BT9" s="159">
        <f t="shared" si="19"/>
        <v>197133.84599999999</v>
      </c>
      <c r="BU9" s="157">
        <v>3172</v>
      </c>
      <c r="BV9" s="161">
        <f t="shared" si="49"/>
        <v>12908929.800000001</v>
      </c>
      <c r="BW9" s="157" t="s">
        <v>193</v>
      </c>
      <c r="BX9" s="157">
        <f t="shared" si="20"/>
        <v>3056</v>
      </c>
      <c r="BY9" s="161">
        <f t="shared" si="50"/>
        <v>12436850.4</v>
      </c>
      <c r="BZ9" s="157">
        <f t="shared" si="21"/>
        <v>46.67</v>
      </c>
      <c r="CA9" s="161">
        <f t="shared" si="22"/>
        <v>189930.5655</v>
      </c>
      <c r="CB9" s="156">
        <f t="shared" si="23"/>
        <v>3.4600000000000009</v>
      </c>
      <c r="CC9" s="161">
        <f t="shared" si="24"/>
        <v>14080.989000000003</v>
      </c>
      <c r="CD9" s="162">
        <f t="shared" ref="CD9" si="60">N9</f>
        <v>4069.65</v>
      </c>
      <c r="CE9" s="163">
        <v>2.5</v>
      </c>
      <c r="CF9" s="164">
        <v>6.69</v>
      </c>
      <c r="CG9" s="165">
        <f t="shared" si="51"/>
        <v>9.0227500000000003</v>
      </c>
      <c r="CH9" s="166">
        <f t="shared" si="25"/>
        <v>36719.434537500005</v>
      </c>
      <c r="CI9" s="167">
        <v>46.68</v>
      </c>
      <c r="CJ9" s="166">
        <f t="shared" si="52"/>
        <v>189971.26200000002</v>
      </c>
      <c r="CK9" s="168">
        <v>4.41</v>
      </c>
      <c r="CL9" s="166">
        <f t="shared" si="26"/>
        <v>17947.156500000001</v>
      </c>
      <c r="CM9" s="167">
        <v>23.21</v>
      </c>
      <c r="CN9" s="166">
        <f t="shared" si="27"/>
        <v>94456.57650000001</v>
      </c>
      <c r="CO9" s="169">
        <f t="shared" si="28"/>
        <v>3520.5855999999994</v>
      </c>
      <c r="CP9" s="166">
        <f t="shared" si="29"/>
        <v>14327551.187039997</v>
      </c>
      <c r="CQ9" s="169">
        <v>3133</v>
      </c>
      <c r="CR9" s="166">
        <f t="shared" si="53"/>
        <v>12750213.450000001</v>
      </c>
      <c r="CS9" s="170">
        <f t="shared" si="30"/>
        <v>47.397853331938485</v>
      </c>
      <c r="CT9" s="166">
        <f t="shared" si="31"/>
        <v>192892.67381232345</v>
      </c>
      <c r="CU9" s="168">
        <v>2.94</v>
      </c>
      <c r="CV9" s="166">
        <f t="shared" si="32"/>
        <v>11964.771000000001</v>
      </c>
      <c r="CW9" s="170">
        <f t="shared" si="33"/>
        <v>23.566927502876872</v>
      </c>
      <c r="CX9" s="166">
        <f t="shared" si="34"/>
        <v>95909.146512082865</v>
      </c>
      <c r="CY9" s="171">
        <f t="shared" si="35"/>
        <v>3181.1798305262055</v>
      </c>
      <c r="CZ9" s="166">
        <f t="shared" si="36"/>
        <v>12946288.497300973</v>
      </c>
      <c r="DA9" s="170" t="str">
        <f t="shared" si="37"/>
        <v>G14</v>
      </c>
      <c r="DB9" s="171">
        <f t="shared" si="38"/>
        <v>2981.8152971022073</v>
      </c>
      <c r="DC9" s="166">
        <f t="shared" si="39"/>
        <v>12134944.623851998</v>
      </c>
      <c r="DD9" s="170">
        <f t="shared" si="54"/>
        <v>44.427429961293022</v>
      </c>
      <c r="DE9" s="221">
        <f t="shared" si="55"/>
        <v>180804.09034197615</v>
      </c>
      <c r="DF9" s="222">
        <f t="shared" si="56"/>
        <v>6.0827500000000008</v>
      </c>
      <c r="DG9" s="221">
        <f t="shared" si="57"/>
        <v>24754.663537500004</v>
      </c>
      <c r="DH9" s="172">
        <f t="shared" si="40"/>
        <v>-3</v>
      </c>
      <c r="DI9" s="173">
        <f t="shared" si="41"/>
        <v>9.1798305262054782</v>
      </c>
      <c r="DJ9" s="174">
        <f t="shared" si="42"/>
        <v>-3</v>
      </c>
      <c r="DK9" s="175">
        <f t="shared" si="43"/>
        <v>146</v>
      </c>
      <c r="DL9" s="176">
        <f t="shared" si="44"/>
        <v>-3</v>
      </c>
      <c r="DM9" s="175">
        <f t="shared" si="45"/>
        <v>-3</v>
      </c>
      <c r="DN9" s="177"/>
      <c r="DO9" s="178">
        <f t="shared" si="46"/>
        <v>74.184702897792704</v>
      </c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80"/>
      <c r="EC9" s="181">
        <f t="shared" si="47"/>
        <v>-9.1798305262054782</v>
      </c>
      <c r="EE9" s="181"/>
    </row>
    <row r="10" spans="1:136" s="182" customFormat="1" ht="30">
      <c r="A10" s="74">
        <v>7</v>
      </c>
      <c r="B10" s="74" t="s">
        <v>282</v>
      </c>
      <c r="C10" s="138">
        <v>45812</v>
      </c>
      <c r="D10" s="139">
        <v>161002561</v>
      </c>
      <c r="E10" s="138" t="s">
        <v>275</v>
      </c>
      <c r="F10" s="138"/>
      <c r="G10" s="138"/>
      <c r="H10" s="647">
        <v>3745.85</v>
      </c>
      <c r="I10" s="141">
        <v>435.1</v>
      </c>
      <c r="J10" s="142">
        <f>(Y10/X10)*100</f>
        <v>11.615447956165053</v>
      </c>
      <c r="K10" s="568">
        <f>ROUND(((J10*H10)/100),2)</f>
        <v>435.1</v>
      </c>
      <c r="L10" s="337">
        <v>58</v>
      </c>
      <c r="M10" s="144"/>
      <c r="N10" s="144">
        <v>435.1</v>
      </c>
      <c r="O10" s="522" t="s">
        <v>180</v>
      </c>
      <c r="P10" s="145" t="s">
        <v>72</v>
      </c>
      <c r="Q10" s="146" t="s">
        <v>51</v>
      </c>
      <c r="R10" s="145"/>
      <c r="S10" s="145" t="s">
        <v>181</v>
      </c>
      <c r="T10" s="145"/>
      <c r="U10" s="147" t="s">
        <v>191</v>
      </c>
      <c r="V10" s="147" t="s">
        <v>192</v>
      </c>
      <c r="W10" s="147">
        <v>5350</v>
      </c>
      <c r="X10" s="653">
        <v>3934.76</v>
      </c>
      <c r="Y10" s="148">
        <v>457.04</v>
      </c>
      <c r="Z10" s="150" t="s">
        <v>280</v>
      </c>
      <c r="AA10" s="149">
        <v>1643</v>
      </c>
      <c r="AB10" s="150" t="s">
        <v>238</v>
      </c>
      <c r="AC10" s="151">
        <v>457.04</v>
      </c>
      <c r="AD10" s="151">
        <v>11.89</v>
      </c>
      <c r="AE10" s="152">
        <f t="shared" si="0"/>
        <v>5434.2056000000002</v>
      </c>
      <c r="AF10" s="151">
        <v>8.49</v>
      </c>
      <c r="AG10" s="152">
        <f t="shared" si="1"/>
        <v>3880.2696000000001</v>
      </c>
      <c r="AH10" s="151">
        <v>21.63</v>
      </c>
      <c r="AI10" s="152">
        <f t="shared" si="2"/>
        <v>9885.7752</v>
      </c>
      <c r="AJ10" s="149">
        <v>5223</v>
      </c>
      <c r="AK10" s="152">
        <v>0</v>
      </c>
      <c r="AL10" s="149"/>
      <c r="AM10" s="151">
        <v>8.2899999999999991</v>
      </c>
      <c r="AN10" s="152">
        <f t="shared" si="3"/>
        <v>3788.8615999999997</v>
      </c>
      <c r="AO10" s="151">
        <v>21.68</v>
      </c>
      <c r="AP10" s="152">
        <f t="shared" si="4"/>
        <v>9908.6272000000008</v>
      </c>
      <c r="AQ10" s="149">
        <v>5234</v>
      </c>
      <c r="AR10" s="152">
        <f t="shared" si="48"/>
        <v>2277313.4</v>
      </c>
      <c r="AS10" s="149" t="s">
        <v>191</v>
      </c>
      <c r="AT10" s="149">
        <f t="shared" si="5"/>
        <v>5029</v>
      </c>
      <c r="AU10" s="152">
        <f t="shared" si="6"/>
        <v>2298454.16</v>
      </c>
      <c r="AV10" s="149">
        <f t="shared" si="7"/>
        <v>20.83</v>
      </c>
      <c r="AW10" s="152">
        <f t="shared" si="8"/>
        <v>9520.1432000000004</v>
      </c>
      <c r="AX10" s="151">
        <f t="shared" si="9"/>
        <v>3.6000000000000014</v>
      </c>
      <c r="AY10" s="152">
        <f t="shared" si="10"/>
        <v>1645.3440000000007</v>
      </c>
      <c r="AZ10" s="153">
        <v>4.3</v>
      </c>
      <c r="BA10" s="153">
        <v>8.0850000000000009</v>
      </c>
      <c r="BB10" s="153"/>
      <c r="BC10" s="154">
        <f t="shared" si="11"/>
        <v>12.037345</v>
      </c>
      <c r="BD10" s="155">
        <f t="shared" si="12"/>
        <v>5237.4488095000006</v>
      </c>
      <c r="BE10" s="156">
        <f t="shared" si="59"/>
        <v>435.1</v>
      </c>
      <c r="BF10" s="157">
        <v>501</v>
      </c>
      <c r="BG10" s="157" t="s">
        <v>238</v>
      </c>
      <c r="BH10" s="156">
        <v>14.64</v>
      </c>
      <c r="BI10" s="158">
        <f t="shared" si="14"/>
        <v>6369.8640000000005</v>
      </c>
      <c r="BJ10" s="156">
        <v>6.15</v>
      </c>
      <c r="BK10" s="158">
        <f t="shared" si="15"/>
        <v>2675.8650000000002</v>
      </c>
      <c r="BL10" s="156">
        <v>42.85</v>
      </c>
      <c r="BM10" s="159">
        <f t="shared" si="16"/>
        <v>18644.035</v>
      </c>
      <c r="BN10" s="157">
        <v>3390</v>
      </c>
      <c r="BO10" s="159">
        <f t="shared" si="17"/>
        <v>1474989</v>
      </c>
      <c r="BP10" s="160"/>
      <c r="BQ10" s="156">
        <v>5.76</v>
      </c>
      <c r="BR10" s="158">
        <f t="shared" si="18"/>
        <v>2506.1759999999999</v>
      </c>
      <c r="BS10" s="156">
        <v>43.03</v>
      </c>
      <c r="BT10" s="159">
        <f t="shared" si="19"/>
        <v>18722.353000000003</v>
      </c>
      <c r="BU10" s="157">
        <v>3404</v>
      </c>
      <c r="BV10" s="161">
        <f t="shared" si="49"/>
        <v>1481080.4000000001</v>
      </c>
      <c r="BW10" s="157" t="s">
        <v>190</v>
      </c>
      <c r="BX10" s="157">
        <f t="shared" si="20"/>
        <v>3083</v>
      </c>
      <c r="BY10" s="161">
        <f t="shared" si="50"/>
        <v>1341413.3</v>
      </c>
      <c r="BZ10" s="157">
        <f t="shared" si="21"/>
        <v>38.979999999999997</v>
      </c>
      <c r="CA10" s="161">
        <f t="shared" si="22"/>
        <v>16960.198</v>
      </c>
      <c r="CB10" s="156">
        <f t="shared" si="23"/>
        <v>8.8800000000000008</v>
      </c>
      <c r="CC10" s="161">
        <f t="shared" si="24"/>
        <v>3863.6880000000006</v>
      </c>
      <c r="CD10" s="162">
        <f>N10</f>
        <v>435.1</v>
      </c>
      <c r="CE10" s="163">
        <v>4.8</v>
      </c>
      <c r="CF10" s="164">
        <v>7.64</v>
      </c>
      <c r="CG10" s="165">
        <f t="shared" si="51"/>
        <v>12.07328</v>
      </c>
      <c r="CH10" s="166">
        <f t="shared" si="25"/>
        <v>5253.0841280000004</v>
      </c>
      <c r="CI10" s="167">
        <v>41.95</v>
      </c>
      <c r="CJ10" s="166">
        <f t="shared" si="52"/>
        <v>18252.445000000003</v>
      </c>
      <c r="CK10" s="168">
        <v>4.7</v>
      </c>
      <c r="CL10" s="166">
        <f t="shared" si="26"/>
        <v>2044.9700000000003</v>
      </c>
      <c r="CM10" s="167">
        <v>24.48</v>
      </c>
      <c r="CN10" s="166">
        <f t="shared" si="27"/>
        <v>10651.248000000001</v>
      </c>
      <c r="CO10" s="169">
        <f t="shared" si="28"/>
        <v>3923.5134999999991</v>
      </c>
      <c r="CP10" s="166">
        <f t="shared" si="29"/>
        <v>1707120.7238499997</v>
      </c>
      <c r="CQ10" s="169">
        <v>3723</v>
      </c>
      <c r="CR10" s="166">
        <f t="shared" si="53"/>
        <v>1619877.3</v>
      </c>
      <c r="CS10" s="170">
        <f t="shared" si="30"/>
        <v>42.438609653725088</v>
      </c>
      <c r="CT10" s="166">
        <f t="shared" si="31"/>
        <v>18465.039060335788</v>
      </c>
      <c r="CU10" s="168">
        <v>3.59</v>
      </c>
      <c r="CV10" s="166">
        <f t="shared" si="32"/>
        <v>1562.009</v>
      </c>
      <c r="CW10" s="170">
        <f t="shared" si="33"/>
        <v>24.765129066107033</v>
      </c>
      <c r="CX10" s="166">
        <f t="shared" si="34"/>
        <v>10775.30765666317</v>
      </c>
      <c r="CY10" s="171">
        <f t="shared" si="35"/>
        <v>3766.3633788037778</v>
      </c>
      <c r="CZ10" s="166">
        <f t="shared" si="36"/>
        <v>1638744.7061175238</v>
      </c>
      <c r="DA10" s="170" t="str">
        <f t="shared" si="37"/>
        <v>G12</v>
      </c>
      <c r="DB10" s="171">
        <f>((100-CG10)/(100-CK10))*CQ10</f>
        <v>3434.9546543546699</v>
      </c>
      <c r="DC10" s="166">
        <f t="shared" si="39"/>
        <v>1494548.770109717</v>
      </c>
      <c r="DD10" s="170">
        <f t="shared" si="54"/>
        <v>38.704364155299061</v>
      </c>
      <c r="DE10" s="221">
        <f t="shared" si="55"/>
        <v>16840.268843970622</v>
      </c>
      <c r="DF10" s="222">
        <f t="shared" si="56"/>
        <v>8.4832800000000006</v>
      </c>
      <c r="DG10" s="221">
        <f t="shared" si="57"/>
        <v>3691.0751280000004</v>
      </c>
      <c r="DH10" s="172">
        <f t="shared" si="40"/>
        <v>-5</v>
      </c>
      <c r="DI10" s="173">
        <f t="shared" si="41"/>
        <v>362.36337880377778</v>
      </c>
      <c r="DJ10" s="174">
        <f t="shared" si="42"/>
        <v>-6</v>
      </c>
      <c r="DK10" s="175">
        <f t="shared" si="43"/>
        <v>1830</v>
      </c>
      <c r="DL10" s="176">
        <f t="shared" si="44"/>
        <v>-6</v>
      </c>
      <c r="DM10" s="175">
        <f t="shared" si="45"/>
        <v>0</v>
      </c>
      <c r="DN10" s="177"/>
      <c r="DO10" s="178">
        <f t="shared" si="46"/>
        <v>-351.95465435466986</v>
      </c>
      <c r="DP10" s="179"/>
      <c r="DQ10" s="179"/>
      <c r="DR10" s="179"/>
      <c r="DS10" s="179"/>
      <c r="DT10" s="179"/>
      <c r="DU10" s="179"/>
      <c r="DV10" s="179"/>
      <c r="DW10" s="179"/>
      <c r="DX10" s="179"/>
      <c r="DY10" s="179"/>
      <c r="DZ10" s="179"/>
      <c r="EA10" s="179"/>
      <c r="EB10" s="180"/>
      <c r="EC10" s="181">
        <f t="shared" si="47"/>
        <v>-362.36337880377778</v>
      </c>
      <c r="EE10" s="181"/>
    </row>
    <row r="11" spans="1:136" s="182" customFormat="1" ht="30">
      <c r="A11" s="74">
        <v>8</v>
      </c>
      <c r="B11" s="74" t="s">
        <v>283</v>
      </c>
      <c r="C11" s="138">
        <v>45812</v>
      </c>
      <c r="D11" s="139">
        <v>161002561</v>
      </c>
      <c r="E11" s="138" t="s">
        <v>275</v>
      </c>
      <c r="F11" s="138"/>
      <c r="G11" s="138"/>
      <c r="H11" s="649"/>
      <c r="I11" s="141">
        <v>3310.75</v>
      </c>
      <c r="J11" s="142">
        <f>(Y11/X10)*100</f>
        <v>88.384552043834944</v>
      </c>
      <c r="K11" s="568">
        <f>ROUND(((J11*H10)/100),2)</f>
        <v>3310.75</v>
      </c>
      <c r="L11" s="337">
        <v>58</v>
      </c>
      <c r="M11" s="144"/>
      <c r="N11" s="144">
        <v>3310.75</v>
      </c>
      <c r="O11" s="522" t="s">
        <v>180</v>
      </c>
      <c r="P11" s="145" t="s">
        <v>72</v>
      </c>
      <c r="Q11" s="146" t="s">
        <v>231</v>
      </c>
      <c r="R11" s="145"/>
      <c r="S11" s="145" t="s">
        <v>181</v>
      </c>
      <c r="T11" s="145"/>
      <c r="U11" s="147" t="s">
        <v>182</v>
      </c>
      <c r="V11" s="147" t="s">
        <v>183</v>
      </c>
      <c r="W11" s="147">
        <v>4150</v>
      </c>
      <c r="X11" s="655"/>
      <c r="Y11" s="148">
        <v>3477.72</v>
      </c>
      <c r="Z11" s="150" t="s">
        <v>280</v>
      </c>
      <c r="AA11" s="149">
        <v>1643</v>
      </c>
      <c r="AB11" s="150" t="s">
        <v>238</v>
      </c>
      <c r="AC11" s="151">
        <v>3477.72</v>
      </c>
      <c r="AD11" s="151">
        <v>11.67</v>
      </c>
      <c r="AE11" s="152">
        <f t="shared" si="0"/>
        <v>40584.992399999996</v>
      </c>
      <c r="AF11" s="151">
        <v>7.11</v>
      </c>
      <c r="AG11" s="152">
        <f t="shared" si="1"/>
        <v>24726.589199999999</v>
      </c>
      <c r="AH11" s="151">
        <v>34.119999999999997</v>
      </c>
      <c r="AI11" s="152">
        <f t="shared" si="2"/>
        <v>118659.80639999999</v>
      </c>
      <c r="AJ11" s="149">
        <v>4070</v>
      </c>
      <c r="AK11" s="152">
        <v>0</v>
      </c>
      <c r="AL11" s="149"/>
      <c r="AM11" s="151">
        <v>7.44</v>
      </c>
      <c r="AN11" s="152">
        <f t="shared" si="3"/>
        <v>25874.236799999999</v>
      </c>
      <c r="AO11" s="151">
        <v>34</v>
      </c>
      <c r="AP11" s="152">
        <f t="shared" si="4"/>
        <v>118242.48</v>
      </c>
      <c r="AQ11" s="149">
        <v>4056</v>
      </c>
      <c r="AR11" s="152">
        <f t="shared" si="48"/>
        <v>13428402</v>
      </c>
      <c r="AS11" s="149" t="s">
        <v>185</v>
      </c>
      <c r="AT11" s="149">
        <f t="shared" si="5"/>
        <v>3871</v>
      </c>
      <c r="AU11" s="152">
        <f t="shared" si="6"/>
        <v>13462254.119999999</v>
      </c>
      <c r="AV11" s="149">
        <f t="shared" si="7"/>
        <v>32.450000000000003</v>
      </c>
      <c r="AW11" s="152">
        <f t="shared" si="8"/>
        <v>112852.01400000001</v>
      </c>
      <c r="AX11" s="151">
        <f t="shared" si="9"/>
        <v>4.2299999999999995</v>
      </c>
      <c r="AY11" s="152">
        <f t="shared" si="10"/>
        <v>14710.755599999997</v>
      </c>
      <c r="AZ11" s="153">
        <v>3.7</v>
      </c>
      <c r="BA11" s="153">
        <v>11.365</v>
      </c>
      <c r="BB11" s="153"/>
      <c r="BC11" s="154">
        <f t="shared" si="11"/>
        <v>14.644494999999999</v>
      </c>
      <c r="BD11" s="155">
        <f t="shared" si="12"/>
        <v>48484.261821249995</v>
      </c>
      <c r="BE11" s="156">
        <f t="shared" si="59"/>
        <v>3310.75</v>
      </c>
      <c r="BF11" s="157">
        <v>501</v>
      </c>
      <c r="BG11" s="157" t="s">
        <v>238</v>
      </c>
      <c r="BH11" s="156">
        <v>12.04</v>
      </c>
      <c r="BI11" s="158">
        <f t="shared" si="14"/>
        <v>39861.43</v>
      </c>
      <c r="BJ11" s="156">
        <v>5.64</v>
      </c>
      <c r="BK11" s="158">
        <f t="shared" si="15"/>
        <v>18672.629999999997</v>
      </c>
      <c r="BL11" s="156">
        <v>42.51</v>
      </c>
      <c r="BM11" s="159">
        <f t="shared" si="16"/>
        <v>140739.98249999998</v>
      </c>
      <c r="BN11" s="157">
        <v>3690</v>
      </c>
      <c r="BO11" s="159">
        <f t="shared" si="17"/>
        <v>12216667.5</v>
      </c>
      <c r="BP11" s="160"/>
      <c r="BQ11" s="156">
        <v>5.32</v>
      </c>
      <c r="BR11" s="158">
        <f t="shared" si="18"/>
        <v>17613.190000000002</v>
      </c>
      <c r="BS11" s="156">
        <v>42.65</v>
      </c>
      <c r="BT11" s="159">
        <f t="shared" si="19"/>
        <v>141203.48749999999</v>
      </c>
      <c r="BU11" s="157">
        <v>3703</v>
      </c>
      <c r="BV11" s="161">
        <f t="shared" si="49"/>
        <v>12259707.25</v>
      </c>
      <c r="BW11" s="157" t="s">
        <v>184</v>
      </c>
      <c r="BX11" s="157">
        <f t="shared" si="20"/>
        <v>3440</v>
      </c>
      <c r="BY11" s="161">
        <f t="shared" si="50"/>
        <v>11388980</v>
      </c>
      <c r="BZ11" s="157">
        <f t="shared" si="21"/>
        <v>39.619999999999997</v>
      </c>
      <c r="CA11" s="161">
        <f t="shared" si="22"/>
        <v>131171.91499999998</v>
      </c>
      <c r="CB11" s="156">
        <f t="shared" si="23"/>
        <v>6.7199999999999989</v>
      </c>
      <c r="CC11" s="161">
        <f t="shared" si="24"/>
        <v>22248.239999999998</v>
      </c>
      <c r="CD11" s="162">
        <f>N11</f>
        <v>3310.75</v>
      </c>
      <c r="CE11" s="163">
        <v>4</v>
      </c>
      <c r="CF11" s="164">
        <v>7.84</v>
      </c>
      <c r="CG11" s="165">
        <f t="shared" si="51"/>
        <v>11.526399999999999</v>
      </c>
      <c r="CH11" s="166">
        <f t="shared" si="25"/>
        <v>38161.028799999993</v>
      </c>
      <c r="CI11" s="167">
        <v>44.82</v>
      </c>
      <c r="CJ11" s="166">
        <f t="shared" si="52"/>
        <v>148387.815</v>
      </c>
      <c r="CK11" s="168">
        <v>4.55</v>
      </c>
      <c r="CL11" s="166">
        <f t="shared" si="26"/>
        <v>15063.912499999999</v>
      </c>
      <c r="CM11" s="167">
        <v>24.34</v>
      </c>
      <c r="CN11" s="166">
        <f t="shared" si="27"/>
        <v>80583.654999999999</v>
      </c>
      <c r="CO11" s="169">
        <f t="shared" si="28"/>
        <v>3675.2518</v>
      </c>
      <c r="CP11" s="166">
        <f t="shared" si="29"/>
        <v>12167839.896849999</v>
      </c>
      <c r="CQ11" s="169">
        <v>3304</v>
      </c>
      <c r="CR11" s="166">
        <f t="shared" si="53"/>
        <v>10938718</v>
      </c>
      <c r="CS11" s="170">
        <f t="shared" si="30"/>
        <v>45.350608695652177</v>
      </c>
      <c r="CT11" s="166">
        <f t="shared" si="31"/>
        <v>150144.52773913046</v>
      </c>
      <c r="CU11" s="168">
        <v>3.42</v>
      </c>
      <c r="CV11" s="166">
        <f t="shared" si="32"/>
        <v>11322.764999999999</v>
      </c>
      <c r="CW11" s="170">
        <f t="shared" si="33"/>
        <v>24.628152959664746</v>
      </c>
      <c r="CX11" s="166">
        <f t="shared" si="34"/>
        <v>81537.657411210064</v>
      </c>
      <c r="CY11" s="171">
        <f t="shared" si="35"/>
        <v>3343.1149292823466</v>
      </c>
      <c r="CZ11" s="166">
        <f t="shared" si="36"/>
        <v>11068217.752121529</v>
      </c>
      <c r="DA11" s="170" t="str">
        <f t="shared" si="37"/>
        <v>G14</v>
      </c>
      <c r="DB11" s="171">
        <f t="shared" ref="DB11" si="61">((100-CG11)/(100-CK11))*CQ11</f>
        <v>3062.5120419067575</v>
      </c>
      <c r="DC11" s="166">
        <f t="shared" si="39"/>
        <v>10139211.742742797</v>
      </c>
      <c r="DD11" s="170">
        <f t="shared" si="54"/>
        <v>41.544125217391304</v>
      </c>
      <c r="DE11" s="221">
        <f t="shared" si="55"/>
        <v>137542.21256347827</v>
      </c>
      <c r="DF11" s="222">
        <f t="shared" si="56"/>
        <v>8.1063999999999989</v>
      </c>
      <c r="DG11" s="221">
        <f t="shared" si="57"/>
        <v>26838.263799999997</v>
      </c>
      <c r="DH11" s="172">
        <f t="shared" si="40"/>
        <v>-3</v>
      </c>
      <c r="DI11" s="173">
        <f t="shared" si="41"/>
        <v>-359.88507071765343</v>
      </c>
      <c r="DJ11" s="174">
        <f t="shared" si="42"/>
        <v>-1</v>
      </c>
      <c r="DK11" s="175">
        <f t="shared" si="43"/>
        <v>353</v>
      </c>
      <c r="DL11" s="176">
        <f t="shared" si="44"/>
        <v>-1</v>
      </c>
      <c r="DM11" s="175">
        <f t="shared" si="45"/>
        <v>0</v>
      </c>
      <c r="DN11" s="177"/>
      <c r="DO11" s="178">
        <f t="shared" si="46"/>
        <v>377.48795809324247</v>
      </c>
      <c r="DP11" s="179"/>
      <c r="DQ11" s="179"/>
      <c r="DR11" s="179"/>
      <c r="DS11" s="179"/>
      <c r="DT11" s="179"/>
      <c r="DU11" s="179"/>
      <c r="DV11" s="179"/>
      <c r="DW11" s="179"/>
      <c r="DX11" s="179"/>
      <c r="DY11" s="179"/>
      <c r="DZ11" s="179"/>
      <c r="EA11" s="179"/>
      <c r="EB11" s="180"/>
      <c r="EC11" s="181">
        <f t="shared" si="47"/>
        <v>359.88507071765343</v>
      </c>
      <c r="EE11" s="181"/>
    </row>
    <row r="12" spans="1:136" s="182" customFormat="1" ht="45">
      <c r="A12" s="74">
        <v>9</v>
      </c>
      <c r="B12" s="74">
        <v>16</v>
      </c>
      <c r="C12" s="138">
        <v>45812</v>
      </c>
      <c r="D12" s="139">
        <v>151000841</v>
      </c>
      <c r="E12" s="138">
        <v>45811</v>
      </c>
      <c r="F12" s="138"/>
      <c r="G12" s="138"/>
      <c r="H12" s="140">
        <v>3955.65</v>
      </c>
      <c r="I12" s="141">
        <v>3955.65</v>
      </c>
      <c r="J12" s="142"/>
      <c r="K12" s="568"/>
      <c r="L12" s="337">
        <v>59</v>
      </c>
      <c r="M12" s="144"/>
      <c r="N12" s="144">
        <v>3955.65</v>
      </c>
      <c r="O12" s="522" t="s">
        <v>180</v>
      </c>
      <c r="P12" s="145" t="s">
        <v>69</v>
      </c>
      <c r="Q12" s="146" t="s">
        <v>50</v>
      </c>
      <c r="R12" s="145"/>
      <c r="S12" s="145" t="s">
        <v>181</v>
      </c>
      <c r="T12" s="145"/>
      <c r="U12" s="147" t="s">
        <v>182</v>
      </c>
      <c r="V12" s="147" t="s">
        <v>183</v>
      </c>
      <c r="W12" s="147">
        <v>4150</v>
      </c>
      <c r="X12" s="519">
        <v>4190.34</v>
      </c>
      <c r="Y12" s="148">
        <v>4190.34</v>
      </c>
      <c r="Z12" s="150" t="s">
        <v>240</v>
      </c>
      <c r="AA12" s="149">
        <v>1644</v>
      </c>
      <c r="AB12" s="150" t="s">
        <v>238</v>
      </c>
      <c r="AC12" s="151">
        <v>4190.34</v>
      </c>
      <c r="AD12" s="151">
        <v>12.22</v>
      </c>
      <c r="AE12" s="152">
        <f t="shared" si="0"/>
        <v>51205.954800000007</v>
      </c>
      <c r="AF12" s="151">
        <v>6.35</v>
      </c>
      <c r="AG12" s="152">
        <f t="shared" si="1"/>
        <v>26608.659</v>
      </c>
      <c r="AH12" s="151">
        <v>42.48</v>
      </c>
      <c r="AI12" s="152">
        <f t="shared" si="2"/>
        <v>178005.64319999999</v>
      </c>
      <c r="AJ12" s="149">
        <v>3702</v>
      </c>
      <c r="AK12" s="152">
        <f t="shared" si="58"/>
        <v>15512638.68</v>
      </c>
      <c r="AL12" s="149"/>
      <c r="AM12" s="151">
        <v>6.04</v>
      </c>
      <c r="AN12" s="152">
        <f t="shared" si="3"/>
        <v>25309.653600000001</v>
      </c>
      <c r="AO12" s="151">
        <v>42.62</v>
      </c>
      <c r="AP12" s="152">
        <f t="shared" si="4"/>
        <v>178592.29079999999</v>
      </c>
      <c r="AQ12" s="149">
        <v>3714</v>
      </c>
      <c r="AR12" s="152">
        <f t="shared" si="48"/>
        <v>14691284.1</v>
      </c>
      <c r="AS12" s="149" t="s">
        <v>184</v>
      </c>
      <c r="AT12" s="149">
        <f t="shared" si="5"/>
        <v>3470</v>
      </c>
      <c r="AU12" s="152">
        <f t="shared" si="6"/>
        <v>14540479.800000001</v>
      </c>
      <c r="AV12" s="149">
        <f t="shared" si="7"/>
        <v>39.82</v>
      </c>
      <c r="AW12" s="152">
        <f t="shared" si="8"/>
        <v>166859.3388</v>
      </c>
      <c r="AX12" s="151">
        <f t="shared" si="9"/>
        <v>6.1800000000000006</v>
      </c>
      <c r="AY12" s="152">
        <f t="shared" si="10"/>
        <v>25896.301200000002</v>
      </c>
      <c r="AZ12" s="153">
        <v>4.0999999999999996</v>
      </c>
      <c r="BA12" s="153">
        <v>5.7069999999999999</v>
      </c>
      <c r="BB12" s="153"/>
      <c r="BC12" s="154">
        <f t="shared" si="11"/>
        <v>9.5730129999999996</v>
      </c>
      <c r="BD12" s="155">
        <f t="shared" si="12"/>
        <v>37867.488873449998</v>
      </c>
      <c r="BE12" s="156">
        <f t="shared" si="59"/>
        <v>3955.65</v>
      </c>
      <c r="BF12" s="157">
        <v>502</v>
      </c>
      <c r="BG12" s="157" t="s">
        <v>239</v>
      </c>
      <c r="BH12" s="156">
        <v>9.57</v>
      </c>
      <c r="BI12" s="158">
        <f t="shared" si="14"/>
        <v>37855.570500000002</v>
      </c>
      <c r="BJ12" s="156">
        <v>5.31</v>
      </c>
      <c r="BK12" s="158">
        <f t="shared" si="15"/>
        <v>21004.501499999998</v>
      </c>
      <c r="BL12" s="156">
        <v>50.38</v>
      </c>
      <c r="BM12" s="159">
        <f t="shared" si="16"/>
        <v>199285.64700000003</v>
      </c>
      <c r="BN12" s="157">
        <v>2811</v>
      </c>
      <c r="BO12" s="159">
        <f t="shared" si="17"/>
        <v>11119332.15</v>
      </c>
      <c r="BP12" s="160"/>
      <c r="BQ12" s="156">
        <v>5.1100000000000003</v>
      </c>
      <c r="BR12" s="158">
        <f t="shared" si="18"/>
        <v>20213.371500000001</v>
      </c>
      <c r="BS12" s="156">
        <v>50.49</v>
      </c>
      <c r="BT12" s="159">
        <f t="shared" si="19"/>
        <v>199720.76850000001</v>
      </c>
      <c r="BU12" s="157">
        <v>2817</v>
      </c>
      <c r="BV12" s="161">
        <f t="shared" si="49"/>
        <v>11143066.050000001</v>
      </c>
      <c r="BW12" s="157" t="s">
        <v>187</v>
      </c>
      <c r="BX12" s="157">
        <f t="shared" si="20"/>
        <v>2685</v>
      </c>
      <c r="BY12" s="161">
        <f t="shared" si="50"/>
        <v>10620920.25</v>
      </c>
      <c r="BZ12" s="157">
        <f t="shared" si="21"/>
        <v>48.12</v>
      </c>
      <c r="CA12" s="161">
        <f t="shared" si="22"/>
        <v>190345.878</v>
      </c>
      <c r="CB12" s="156">
        <f t="shared" si="23"/>
        <v>4.46</v>
      </c>
      <c r="CC12" s="161">
        <f t="shared" si="24"/>
        <v>17642.199000000001</v>
      </c>
      <c r="CD12" s="162">
        <f>N12</f>
        <v>3955.65</v>
      </c>
      <c r="CE12" s="163">
        <v>4.5999999999999996</v>
      </c>
      <c r="CF12" s="164">
        <v>6.78</v>
      </c>
      <c r="CG12" s="165">
        <f t="shared" si="51"/>
        <v>11.06812</v>
      </c>
      <c r="CH12" s="166">
        <f t="shared" si="25"/>
        <v>43781.608877999999</v>
      </c>
      <c r="CI12" s="167">
        <v>50.18</v>
      </c>
      <c r="CJ12" s="166">
        <f t="shared" si="52"/>
        <v>198494.51699999999</v>
      </c>
      <c r="CK12" s="168">
        <v>3.72</v>
      </c>
      <c r="CL12" s="166">
        <f t="shared" si="26"/>
        <v>14715.018000000002</v>
      </c>
      <c r="CM12" s="167">
        <v>21.09</v>
      </c>
      <c r="CN12" s="166">
        <f t="shared" si="27"/>
        <v>83424.658500000005</v>
      </c>
      <c r="CO12" s="169">
        <f t="shared" si="28"/>
        <v>3291.6369999999997</v>
      </c>
      <c r="CP12" s="166">
        <f t="shared" si="29"/>
        <v>13020563.899049999</v>
      </c>
      <c r="CQ12" s="169">
        <v>2837</v>
      </c>
      <c r="CR12" s="166">
        <f t="shared" si="53"/>
        <v>11222179.050000001</v>
      </c>
      <c r="CS12" s="170">
        <f t="shared" si="30"/>
        <v>50.789790195263812</v>
      </c>
      <c r="CT12" s="166">
        <f t="shared" si="31"/>
        <v>200906.6335858953</v>
      </c>
      <c r="CU12" s="168">
        <v>2.5499999999999998</v>
      </c>
      <c r="CV12" s="166">
        <f t="shared" si="32"/>
        <v>10086.907499999999</v>
      </c>
      <c r="CW12" s="170">
        <f t="shared" si="33"/>
        <v>21.346286871624429</v>
      </c>
      <c r="CX12" s="166">
        <f t="shared" si="34"/>
        <v>84438.43966374117</v>
      </c>
      <c r="CY12" s="171">
        <f t="shared" si="35"/>
        <v>2871.4753842958039</v>
      </c>
      <c r="CZ12" s="166">
        <f t="shared" si="36"/>
        <v>11358551.603889696</v>
      </c>
      <c r="DA12" s="170" t="str">
        <f t="shared" si="37"/>
        <v>G15</v>
      </c>
      <c r="DB12" s="171">
        <f t="shared" si="38"/>
        <v>2620.4792642293314</v>
      </c>
      <c r="DC12" s="166">
        <f t="shared" si="39"/>
        <v>10365698.801548755</v>
      </c>
      <c r="DD12" s="170">
        <f t="shared" si="54"/>
        <v>46.350246555878691</v>
      </c>
      <c r="DE12" s="221">
        <f t="shared" si="55"/>
        <v>183345.35278876155</v>
      </c>
      <c r="DF12" s="222">
        <f t="shared" si="56"/>
        <v>8.5181199999999997</v>
      </c>
      <c r="DG12" s="221">
        <f t="shared" si="57"/>
        <v>33694.701377999998</v>
      </c>
      <c r="DH12" s="172">
        <f t="shared" si="40"/>
        <v>-4</v>
      </c>
      <c r="DI12" s="173">
        <f t="shared" si="41"/>
        <v>54.475384295803906</v>
      </c>
      <c r="DJ12" s="174">
        <f t="shared" si="42"/>
        <v>-4</v>
      </c>
      <c r="DK12" s="175">
        <f t="shared" si="43"/>
        <v>897</v>
      </c>
      <c r="DL12" s="176">
        <f t="shared" si="44"/>
        <v>-4</v>
      </c>
      <c r="DM12" s="175">
        <f t="shared" si="45"/>
        <v>-1</v>
      </c>
      <c r="DN12" s="177"/>
      <c r="DO12" s="178">
        <f t="shared" si="46"/>
        <v>64.52073577066858</v>
      </c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80"/>
      <c r="EC12" s="181">
        <f t="shared" si="47"/>
        <v>-54.475384295803906</v>
      </c>
      <c r="EE12" s="181"/>
    </row>
    <row r="13" spans="1:136" s="182" customFormat="1" ht="30">
      <c r="A13" s="74">
        <v>12</v>
      </c>
      <c r="B13" s="74">
        <v>19</v>
      </c>
      <c r="C13" s="138">
        <v>45812</v>
      </c>
      <c r="D13" s="139">
        <v>151001316</v>
      </c>
      <c r="E13" s="138">
        <v>45810</v>
      </c>
      <c r="F13" s="138"/>
      <c r="G13" s="138"/>
      <c r="H13" s="140">
        <v>3910.1</v>
      </c>
      <c r="I13" s="141">
        <v>3910.1</v>
      </c>
      <c r="J13" s="142"/>
      <c r="K13" s="568"/>
      <c r="L13" s="337">
        <v>58</v>
      </c>
      <c r="M13" s="144"/>
      <c r="N13" s="144">
        <v>3910.1</v>
      </c>
      <c r="O13" s="522" t="s">
        <v>180</v>
      </c>
      <c r="P13" s="145" t="s">
        <v>71</v>
      </c>
      <c r="Q13" s="146" t="s">
        <v>52</v>
      </c>
      <c r="R13" s="145"/>
      <c r="S13" s="145" t="s">
        <v>181</v>
      </c>
      <c r="T13" s="145"/>
      <c r="U13" s="147" t="s">
        <v>190</v>
      </c>
      <c r="V13" s="147" t="s">
        <v>194</v>
      </c>
      <c r="W13" s="147">
        <v>3550</v>
      </c>
      <c r="X13" s="519">
        <v>3942.83</v>
      </c>
      <c r="Y13" s="148">
        <v>3942.83</v>
      </c>
      <c r="Z13" s="150" t="s">
        <v>237</v>
      </c>
      <c r="AA13" s="149">
        <v>1662</v>
      </c>
      <c r="AB13" s="150" t="s">
        <v>244</v>
      </c>
      <c r="AC13" s="151">
        <v>3942.83</v>
      </c>
      <c r="AD13" s="151">
        <v>11.33</v>
      </c>
      <c r="AE13" s="152">
        <f t="shared" si="0"/>
        <v>44672.263899999998</v>
      </c>
      <c r="AF13" s="151">
        <v>6</v>
      </c>
      <c r="AG13" s="152">
        <f t="shared" si="1"/>
        <v>23656.98</v>
      </c>
      <c r="AH13" s="151">
        <v>45.55</v>
      </c>
      <c r="AI13" s="152">
        <f t="shared" si="2"/>
        <v>179595.90649999998</v>
      </c>
      <c r="AJ13" s="149">
        <v>3468</v>
      </c>
      <c r="AK13" s="152">
        <f t="shared" si="58"/>
        <v>13673734.439999999</v>
      </c>
      <c r="AL13" s="149"/>
      <c r="AM13" s="151">
        <v>6.36</v>
      </c>
      <c r="AN13" s="152">
        <f t="shared" si="3"/>
        <v>25076.398799999999</v>
      </c>
      <c r="AO13" s="151">
        <v>45.38</v>
      </c>
      <c r="AP13" s="152">
        <f t="shared" si="4"/>
        <v>178925.62540000002</v>
      </c>
      <c r="AQ13" s="149">
        <v>3455</v>
      </c>
      <c r="AR13" s="152">
        <f t="shared" si="48"/>
        <v>13509395.5</v>
      </c>
      <c r="AS13" s="149" t="s">
        <v>190</v>
      </c>
      <c r="AT13" s="149">
        <f t="shared" si="5"/>
        <v>3272</v>
      </c>
      <c r="AU13" s="152">
        <f t="shared" si="6"/>
        <v>12900939.76</v>
      </c>
      <c r="AV13" s="149">
        <f t="shared" si="7"/>
        <v>42.97</v>
      </c>
      <c r="AW13" s="152">
        <f t="shared" si="8"/>
        <v>169423.4051</v>
      </c>
      <c r="AX13" s="151">
        <f t="shared" si="9"/>
        <v>4.97</v>
      </c>
      <c r="AY13" s="152">
        <f t="shared" si="10"/>
        <v>19595.865099999999</v>
      </c>
      <c r="AZ13" s="153">
        <v>3</v>
      </c>
      <c r="BA13" s="153">
        <v>7.9809999999999999</v>
      </c>
      <c r="BB13" s="153"/>
      <c r="BC13" s="154">
        <f t="shared" si="11"/>
        <v>10.741569999999999</v>
      </c>
      <c r="BD13" s="155">
        <f t="shared" si="12"/>
        <v>42000.612857</v>
      </c>
      <c r="BE13" s="156">
        <f t="shared" si="59"/>
        <v>3910.1</v>
      </c>
      <c r="BF13" s="157">
        <v>502</v>
      </c>
      <c r="BG13" s="157" t="s">
        <v>239</v>
      </c>
      <c r="BH13" s="156">
        <v>10.74</v>
      </c>
      <c r="BI13" s="158">
        <f t="shared" si="14"/>
        <v>41994.474000000002</v>
      </c>
      <c r="BJ13" s="156">
        <v>6.12</v>
      </c>
      <c r="BK13" s="158">
        <f t="shared" si="15"/>
        <v>23929.811999999998</v>
      </c>
      <c r="BL13" s="156">
        <v>46.48</v>
      </c>
      <c r="BM13" s="159">
        <f t="shared" si="16"/>
        <v>181741.44799999997</v>
      </c>
      <c r="BN13" s="157">
        <v>3071</v>
      </c>
      <c r="BO13" s="159">
        <f t="shared" si="17"/>
        <v>12007917.1</v>
      </c>
      <c r="BP13" s="160"/>
      <c r="BQ13" s="156">
        <v>5.78</v>
      </c>
      <c r="BR13" s="158">
        <f t="shared" si="18"/>
        <v>22600.378000000001</v>
      </c>
      <c r="BS13" s="156">
        <v>46.65</v>
      </c>
      <c r="BT13" s="159">
        <f t="shared" si="19"/>
        <v>182406.16499999998</v>
      </c>
      <c r="BU13" s="157">
        <v>3082</v>
      </c>
      <c r="BV13" s="161">
        <f t="shared" si="49"/>
        <v>12050928.199999999</v>
      </c>
      <c r="BW13" s="157" t="s">
        <v>187</v>
      </c>
      <c r="BX13" s="157">
        <f t="shared" si="20"/>
        <v>2920</v>
      </c>
      <c r="BY13" s="161">
        <f t="shared" si="50"/>
        <v>11417492</v>
      </c>
      <c r="BZ13" s="157">
        <f t="shared" si="21"/>
        <v>44.19</v>
      </c>
      <c r="CA13" s="161">
        <f t="shared" si="22"/>
        <v>172787.31899999999</v>
      </c>
      <c r="CB13" s="156">
        <f t="shared" si="23"/>
        <v>4.96</v>
      </c>
      <c r="CC13" s="161">
        <f t="shared" si="24"/>
        <v>19394.095999999998</v>
      </c>
      <c r="CD13" s="162">
        <f t="shared" ref="CD13:CD62" si="62">N13</f>
        <v>3910.1</v>
      </c>
      <c r="CE13" s="163">
        <v>3.2</v>
      </c>
      <c r="CF13" s="164">
        <v>7.91</v>
      </c>
      <c r="CG13" s="165">
        <f t="shared" si="51"/>
        <v>10.85688</v>
      </c>
      <c r="CH13" s="166">
        <f t="shared" si="25"/>
        <v>42451.486488000002</v>
      </c>
      <c r="CI13" s="167">
        <v>47.79</v>
      </c>
      <c r="CJ13" s="166">
        <f>CI13*$CD13</f>
        <v>186863.679</v>
      </c>
      <c r="CK13" s="168">
        <v>4.2300000000000004</v>
      </c>
      <c r="CL13" s="166">
        <f t="shared" si="26"/>
        <v>16539.723000000002</v>
      </c>
      <c r="CM13" s="167">
        <v>23.41</v>
      </c>
      <c r="CN13" s="166">
        <f t="shared" si="27"/>
        <v>91535.440999999992</v>
      </c>
      <c r="CO13" s="169">
        <f t="shared" si="28"/>
        <v>3442.3243000000002</v>
      </c>
      <c r="CP13" s="166">
        <f t="shared" si="29"/>
        <v>13459832.24543</v>
      </c>
      <c r="CQ13" s="167">
        <v>3111</v>
      </c>
      <c r="CR13" s="166">
        <f>CQ13*$CD13</f>
        <v>12164321.1</v>
      </c>
      <c r="CS13" s="170">
        <f t="shared" si="30"/>
        <v>48.239107236086454</v>
      </c>
      <c r="CT13" s="166">
        <f t="shared" si="31"/>
        <v>188619.73320382164</v>
      </c>
      <c r="CU13" s="168">
        <v>3.33</v>
      </c>
      <c r="CV13" s="166">
        <f t="shared" si="32"/>
        <v>13020.633</v>
      </c>
      <c r="CW13" s="170">
        <f t="shared" si="33"/>
        <v>23.62999582332672</v>
      </c>
      <c r="CX13" s="166">
        <f t="shared" si="34"/>
        <v>92395.646668789806</v>
      </c>
      <c r="CY13" s="171">
        <f t="shared" si="35"/>
        <v>3140.2356687898091</v>
      </c>
      <c r="CZ13" s="166">
        <f t="shared" si="36"/>
        <v>12278635.488535032</v>
      </c>
      <c r="DA13" s="170" t="str">
        <f t="shared" si="37"/>
        <v>G14</v>
      </c>
      <c r="DB13" s="171">
        <f t="shared" si="38"/>
        <v>2895.7319235668788</v>
      </c>
      <c r="DC13" s="166">
        <f t="shared" si="39"/>
        <v>11322601.394338852</v>
      </c>
      <c r="DD13" s="170">
        <f t="shared" si="54"/>
        <v>44.483133599248198</v>
      </c>
      <c r="DE13" s="221">
        <f t="shared" si="55"/>
        <v>173933.50068642039</v>
      </c>
      <c r="DF13" s="222">
        <f t="shared" si="56"/>
        <v>7.5268800000000002</v>
      </c>
      <c r="DG13" s="221">
        <f t="shared" si="57"/>
        <v>29430.853488000001</v>
      </c>
      <c r="DH13" s="172">
        <f t="shared" si="40"/>
        <v>-1</v>
      </c>
      <c r="DI13" s="173">
        <f t="shared" si="41"/>
        <v>58.235668789809097</v>
      </c>
      <c r="DJ13" s="174">
        <f t="shared" si="42"/>
        <v>-2</v>
      </c>
      <c r="DK13" s="175">
        <f t="shared" si="43"/>
        <v>373</v>
      </c>
      <c r="DL13" s="176">
        <f t="shared" si="44"/>
        <v>-2</v>
      </c>
      <c r="DM13" s="175">
        <f t="shared" si="45"/>
        <v>0</v>
      </c>
      <c r="DN13" s="177"/>
      <c r="DO13" s="178">
        <f t="shared" si="46"/>
        <v>24.268076433121223</v>
      </c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80"/>
      <c r="EC13" s="181">
        <f t="shared" si="47"/>
        <v>-58.235668789809097</v>
      </c>
      <c r="EE13" s="181"/>
    </row>
    <row r="14" spans="1:136" s="182" customFormat="1" ht="45">
      <c r="A14" s="74">
        <v>13</v>
      </c>
      <c r="B14" s="74">
        <v>21</v>
      </c>
      <c r="C14" s="138">
        <v>45813</v>
      </c>
      <c r="D14" s="139">
        <v>141000119</v>
      </c>
      <c r="E14" s="138">
        <v>45812</v>
      </c>
      <c r="F14" s="138"/>
      <c r="G14" s="138"/>
      <c r="H14" s="140">
        <v>3650.15</v>
      </c>
      <c r="I14" s="141">
        <v>3650.15</v>
      </c>
      <c r="J14" s="142"/>
      <c r="K14" s="568"/>
      <c r="L14" s="337">
        <v>54</v>
      </c>
      <c r="M14" s="144"/>
      <c r="N14" s="144">
        <v>3650.15</v>
      </c>
      <c r="O14" s="522" t="s">
        <v>180</v>
      </c>
      <c r="P14" s="145" t="s">
        <v>69</v>
      </c>
      <c r="Q14" s="146" t="s">
        <v>50</v>
      </c>
      <c r="R14" s="145"/>
      <c r="S14" s="145" t="s">
        <v>181</v>
      </c>
      <c r="T14" s="145"/>
      <c r="U14" s="147" t="s">
        <v>182</v>
      </c>
      <c r="V14" s="147" t="s">
        <v>183</v>
      </c>
      <c r="W14" s="147">
        <v>4150</v>
      </c>
      <c r="X14" s="519">
        <v>3759.95</v>
      </c>
      <c r="Y14" s="148">
        <v>3759.95</v>
      </c>
      <c r="Z14" s="150" t="s">
        <v>284</v>
      </c>
      <c r="AA14" s="149">
        <v>1660</v>
      </c>
      <c r="AB14" s="150" t="s">
        <v>244</v>
      </c>
      <c r="AC14" s="151">
        <v>3759.95</v>
      </c>
      <c r="AD14" s="151">
        <v>12.02</v>
      </c>
      <c r="AE14" s="152">
        <f t="shared" si="0"/>
        <v>45194.598999999995</v>
      </c>
      <c r="AF14" s="151">
        <v>6.75</v>
      </c>
      <c r="AG14" s="152">
        <f t="shared" si="1"/>
        <v>25379.662499999999</v>
      </c>
      <c r="AH14" s="151">
        <v>45.13</v>
      </c>
      <c r="AI14" s="152">
        <f t="shared" si="2"/>
        <v>169686.5435</v>
      </c>
      <c r="AJ14" s="149">
        <v>3285</v>
      </c>
      <c r="AK14" s="152">
        <f t="shared" si="58"/>
        <v>12351435.75</v>
      </c>
      <c r="AL14" s="149"/>
      <c r="AM14" s="151">
        <v>7.09</v>
      </c>
      <c r="AN14" s="152">
        <f t="shared" si="3"/>
        <v>26658.045499999997</v>
      </c>
      <c r="AO14" s="151">
        <v>44.97</v>
      </c>
      <c r="AP14" s="152">
        <f t="shared" si="4"/>
        <v>169084.9515</v>
      </c>
      <c r="AQ14" s="149">
        <v>3273</v>
      </c>
      <c r="AR14" s="152">
        <f t="shared" si="48"/>
        <v>11946940.950000001</v>
      </c>
      <c r="AS14" s="149" t="s">
        <v>193</v>
      </c>
      <c r="AT14" s="149">
        <f t="shared" si="5"/>
        <v>3099</v>
      </c>
      <c r="AU14" s="152">
        <f t="shared" si="6"/>
        <v>11652085.049999999</v>
      </c>
      <c r="AV14" s="149">
        <f t="shared" si="7"/>
        <v>42.58</v>
      </c>
      <c r="AW14" s="152">
        <f t="shared" si="8"/>
        <v>160098.67099999997</v>
      </c>
      <c r="AX14" s="151">
        <f t="shared" si="9"/>
        <v>4.93</v>
      </c>
      <c r="AY14" s="152">
        <f t="shared" si="10"/>
        <v>18536.553499999998</v>
      </c>
      <c r="AZ14" s="153">
        <v>3.7</v>
      </c>
      <c r="BA14" s="153">
        <v>4.1710000000000003</v>
      </c>
      <c r="BB14" s="153"/>
      <c r="BC14" s="154">
        <f t="shared" si="11"/>
        <v>7.7166730000000001</v>
      </c>
      <c r="BD14" s="155">
        <f t="shared" si="12"/>
        <v>28167.01395095</v>
      </c>
      <c r="BE14" s="156">
        <f t="shared" si="59"/>
        <v>3650.15</v>
      </c>
      <c r="BF14" s="157">
        <v>502</v>
      </c>
      <c r="BG14" s="157" t="s">
        <v>239</v>
      </c>
      <c r="BH14" s="156">
        <v>7.72</v>
      </c>
      <c r="BI14" s="158">
        <f t="shared" si="14"/>
        <v>28179.157999999999</v>
      </c>
      <c r="BJ14" s="156">
        <v>4.97</v>
      </c>
      <c r="BK14" s="158">
        <f t="shared" si="15"/>
        <v>18141.245500000001</v>
      </c>
      <c r="BL14" s="156">
        <v>43.96</v>
      </c>
      <c r="BM14" s="159">
        <f t="shared" si="16"/>
        <v>160460.59400000001</v>
      </c>
      <c r="BN14" s="157">
        <v>3466</v>
      </c>
      <c r="BO14" s="159">
        <f t="shared" si="17"/>
        <v>12651419.9</v>
      </c>
      <c r="BP14" s="160"/>
      <c r="BQ14" s="156">
        <v>4.72</v>
      </c>
      <c r="BR14" s="158">
        <f t="shared" si="18"/>
        <v>17228.707999999999</v>
      </c>
      <c r="BS14" s="156">
        <v>44.08</v>
      </c>
      <c r="BT14" s="159">
        <f t="shared" si="19"/>
        <v>160898.61199999999</v>
      </c>
      <c r="BU14" s="157">
        <v>3475</v>
      </c>
      <c r="BV14" s="161">
        <f t="shared" si="49"/>
        <v>12684271.25</v>
      </c>
      <c r="BW14" s="157" t="s">
        <v>190</v>
      </c>
      <c r="BX14" s="157">
        <f t="shared" si="20"/>
        <v>3366</v>
      </c>
      <c r="BY14" s="161">
        <f t="shared" si="50"/>
        <v>12286404.9</v>
      </c>
      <c r="BZ14" s="157">
        <f t="shared" si="21"/>
        <v>42.69</v>
      </c>
      <c r="CA14" s="161">
        <f t="shared" si="22"/>
        <v>155824.90349999999</v>
      </c>
      <c r="CB14" s="156">
        <f t="shared" si="23"/>
        <v>3</v>
      </c>
      <c r="CC14" s="161">
        <f t="shared" si="24"/>
        <v>10950.45</v>
      </c>
      <c r="CD14" s="162">
        <f t="shared" si="62"/>
        <v>3650.15</v>
      </c>
      <c r="CE14" s="163">
        <v>4</v>
      </c>
      <c r="CF14" s="164">
        <v>7.88</v>
      </c>
      <c r="CG14" s="165">
        <f t="shared" si="51"/>
        <v>11.5648</v>
      </c>
      <c r="CH14" s="166">
        <f t="shared" si="25"/>
        <v>42213.254720000004</v>
      </c>
      <c r="CI14" s="167">
        <v>42.75</v>
      </c>
      <c r="CJ14" s="166">
        <f t="shared" si="52"/>
        <v>156043.91250000001</v>
      </c>
      <c r="CK14" s="168">
        <v>3.72</v>
      </c>
      <c r="CL14" s="166">
        <f t="shared" si="26"/>
        <v>13578.558000000001</v>
      </c>
      <c r="CM14" s="167">
        <v>22.65</v>
      </c>
      <c r="CN14" s="166">
        <f t="shared" si="27"/>
        <v>82675.897499999992</v>
      </c>
      <c r="CO14" s="169">
        <f t="shared" si="28"/>
        <v>3990.8742999999995</v>
      </c>
      <c r="CP14" s="166">
        <f t="shared" si="29"/>
        <v>14567289.826144999</v>
      </c>
      <c r="CQ14" s="167">
        <v>3503</v>
      </c>
      <c r="CR14" s="166">
        <f t="shared" si="53"/>
        <v>12786475.450000001</v>
      </c>
      <c r="CS14" s="170">
        <f t="shared" si="30"/>
        <v>43.051931865392604</v>
      </c>
      <c r="CT14" s="166">
        <f t="shared" si="31"/>
        <v>157146.00909846282</v>
      </c>
      <c r="CU14" s="168">
        <v>3.04</v>
      </c>
      <c r="CV14" s="166">
        <f t="shared" si="32"/>
        <v>11096.456</v>
      </c>
      <c r="CW14" s="170">
        <f t="shared" si="33"/>
        <v>22.809970918155376</v>
      </c>
      <c r="CX14" s="166">
        <f t="shared" si="34"/>
        <v>83259.815346904841</v>
      </c>
      <c r="CY14" s="171">
        <f t="shared" si="35"/>
        <v>3527.7407561279597</v>
      </c>
      <c r="CZ14" s="166">
        <f t="shared" si="36"/>
        <v>12876782.920980472</v>
      </c>
      <c r="DA14" s="170" t="str">
        <f t="shared" si="37"/>
        <v>G13</v>
      </c>
      <c r="DB14" s="171">
        <f t="shared" si="38"/>
        <v>3217.5789945990855</v>
      </c>
      <c r="DC14" s="166">
        <f t="shared" si="39"/>
        <v>11744645.967135852</v>
      </c>
      <c r="DD14" s="170">
        <f t="shared" si="54"/>
        <v>39.26677191524719</v>
      </c>
      <c r="DE14" s="221">
        <f t="shared" si="55"/>
        <v>143329.60750643953</v>
      </c>
      <c r="DF14" s="222">
        <f t="shared" si="56"/>
        <v>8.524799999999999</v>
      </c>
      <c r="DG14" s="221">
        <f t="shared" si="57"/>
        <v>31116.798719999999</v>
      </c>
      <c r="DH14" s="172">
        <f t="shared" si="40"/>
        <v>-2</v>
      </c>
      <c r="DI14" s="173">
        <f t="shared" si="41"/>
        <v>52.740756127959685</v>
      </c>
      <c r="DJ14" s="174">
        <f t="shared" si="42"/>
        <v>-2</v>
      </c>
      <c r="DK14" s="175">
        <f t="shared" si="43"/>
        <v>-202</v>
      </c>
      <c r="DL14" s="176">
        <f t="shared" si="44"/>
        <v>-2</v>
      </c>
      <c r="DM14" s="175">
        <f t="shared" si="45"/>
        <v>-3</v>
      </c>
      <c r="DN14" s="177"/>
      <c r="DO14" s="178">
        <f t="shared" si="46"/>
        <v>148.42100540091451</v>
      </c>
      <c r="DP14" s="179"/>
      <c r="DQ14" s="179"/>
      <c r="DR14" s="179"/>
      <c r="DS14" s="179"/>
      <c r="DT14" s="179"/>
      <c r="DU14" s="179"/>
      <c r="DV14" s="179"/>
      <c r="DW14" s="179"/>
      <c r="DX14" s="179"/>
      <c r="DY14" s="179"/>
      <c r="DZ14" s="179"/>
      <c r="EA14" s="179"/>
      <c r="EB14" s="180"/>
      <c r="EC14" s="181">
        <f t="shared" si="47"/>
        <v>-52.740756127959685</v>
      </c>
      <c r="EE14" s="181"/>
    </row>
    <row r="15" spans="1:136" s="182" customFormat="1" ht="30">
      <c r="A15" s="74">
        <v>15</v>
      </c>
      <c r="B15" s="74">
        <v>23</v>
      </c>
      <c r="C15" s="138">
        <v>45814</v>
      </c>
      <c r="D15" s="139">
        <v>161016404</v>
      </c>
      <c r="E15" s="138">
        <v>45753</v>
      </c>
      <c r="F15" s="138"/>
      <c r="G15" s="138"/>
      <c r="H15" s="140">
        <v>3866.1</v>
      </c>
      <c r="I15" s="141">
        <v>3866.1</v>
      </c>
      <c r="J15" s="142"/>
      <c r="K15" s="568"/>
      <c r="L15" s="337">
        <v>58</v>
      </c>
      <c r="M15" s="144"/>
      <c r="N15" s="144">
        <v>3866.1</v>
      </c>
      <c r="O15" s="522" t="s">
        <v>180</v>
      </c>
      <c r="P15" s="145" t="s">
        <v>71</v>
      </c>
      <c r="Q15" s="146" t="s">
        <v>52</v>
      </c>
      <c r="R15" s="145"/>
      <c r="S15" s="145" t="s">
        <v>181</v>
      </c>
      <c r="T15" s="145"/>
      <c r="U15" s="147" t="s">
        <v>190</v>
      </c>
      <c r="V15" s="147" t="s">
        <v>194</v>
      </c>
      <c r="W15" s="147">
        <v>3550</v>
      </c>
      <c r="X15" s="519">
        <v>3956.55</v>
      </c>
      <c r="Y15" s="148">
        <v>3956.55</v>
      </c>
      <c r="Z15" s="150" t="s">
        <v>284</v>
      </c>
      <c r="AA15" s="149">
        <v>1662</v>
      </c>
      <c r="AB15" s="150" t="s">
        <v>244</v>
      </c>
      <c r="AC15" s="151">
        <v>3956.55</v>
      </c>
      <c r="AD15" s="151">
        <v>10.84</v>
      </c>
      <c r="AE15" s="152">
        <f t="shared" si="0"/>
        <v>42889.002</v>
      </c>
      <c r="AF15" s="151">
        <v>6.39</v>
      </c>
      <c r="AG15" s="152">
        <f t="shared" si="1"/>
        <v>25282.354500000001</v>
      </c>
      <c r="AH15" s="151">
        <v>43.78</v>
      </c>
      <c r="AI15" s="152">
        <f t="shared" si="2"/>
        <v>173217.75900000002</v>
      </c>
      <c r="AJ15" s="149">
        <v>3445</v>
      </c>
      <c r="AK15" s="152">
        <f t="shared" si="58"/>
        <v>13630314.75</v>
      </c>
      <c r="AL15" s="149"/>
      <c r="AM15" s="151">
        <v>6.22</v>
      </c>
      <c r="AN15" s="152">
        <f t="shared" si="3"/>
        <v>24609.741000000002</v>
      </c>
      <c r="AO15" s="151">
        <v>43.86</v>
      </c>
      <c r="AP15" s="152">
        <f t="shared" si="4"/>
        <v>173534.283</v>
      </c>
      <c r="AQ15" s="149">
        <v>3451</v>
      </c>
      <c r="AR15" s="152">
        <f t="shared" si="48"/>
        <v>13341911.1</v>
      </c>
      <c r="AS15" s="149" t="s">
        <v>190</v>
      </c>
      <c r="AT15" s="149">
        <f t="shared" si="5"/>
        <v>3281</v>
      </c>
      <c r="AU15" s="152">
        <f t="shared" si="6"/>
        <v>12981440.550000001</v>
      </c>
      <c r="AV15" s="149">
        <f t="shared" si="7"/>
        <v>41.7</v>
      </c>
      <c r="AW15" s="152">
        <f t="shared" si="8"/>
        <v>164988.13500000001</v>
      </c>
      <c r="AX15" s="151">
        <f t="shared" si="9"/>
        <v>4.62</v>
      </c>
      <c r="AY15" s="152">
        <f t="shared" si="10"/>
        <v>18279.261000000002</v>
      </c>
      <c r="AZ15" s="153">
        <v>5.2</v>
      </c>
      <c r="BA15" s="153">
        <v>8.1959999999999997</v>
      </c>
      <c r="BB15" s="153"/>
      <c r="BC15" s="154">
        <f t="shared" si="11"/>
        <v>12.969808</v>
      </c>
      <c r="BD15" s="155">
        <f t="shared" si="12"/>
        <v>50142.574708799999</v>
      </c>
      <c r="BE15" s="156">
        <f t="shared" si="59"/>
        <v>3866.1</v>
      </c>
      <c r="BF15" s="157">
        <v>502</v>
      </c>
      <c r="BG15" s="157" t="s">
        <v>239</v>
      </c>
      <c r="BH15" s="156">
        <v>12.97</v>
      </c>
      <c r="BI15" s="158">
        <f t="shared" si="14"/>
        <v>50143.317000000003</v>
      </c>
      <c r="BJ15" s="156">
        <v>6.64</v>
      </c>
      <c r="BK15" s="158">
        <f t="shared" si="15"/>
        <v>25670.903999999999</v>
      </c>
      <c r="BL15" s="156">
        <v>40.36</v>
      </c>
      <c r="BM15" s="159">
        <f t="shared" si="16"/>
        <v>156035.796</v>
      </c>
      <c r="BN15" s="157">
        <v>4039</v>
      </c>
      <c r="BO15" s="159">
        <f t="shared" si="17"/>
        <v>15615177.9</v>
      </c>
      <c r="BP15" s="160"/>
      <c r="BQ15" s="156">
        <v>6.38</v>
      </c>
      <c r="BR15" s="158">
        <f t="shared" si="18"/>
        <v>24665.718000000001</v>
      </c>
      <c r="BS15" s="156">
        <v>40.47</v>
      </c>
      <c r="BT15" s="159">
        <f t="shared" si="19"/>
        <v>156461.06699999998</v>
      </c>
      <c r="BU15" s="157">
        <v>4050</v>
      </c>
      <c r="BV15" s="161">
        <f t="shared" si="49"/>
        <v>15657705</v>
      </c>
      <c r="BW15" s="157" t="s">
        <v>185</v>
      </c>
      <c r="BX15" s="157">
        <f t="shared" si="20"/>
        <v>3765</v>
      </c>
      <c r="BY15" s="161">
        <f t="shared" si="50"/>
        <v>14555866.5</v>
      </c>
      <c r="BZ15" s="157">
        <f t="shared" si="21"/>
        <v>37.619999999999997</v>
      </c>
      <c r="CA15" s="161">
        <f t="shared" si="22"/>
        <v>145442.682</v>
      </c>
      <c r="CB15" s="156">
        <f t="shared" si="23"/>
        <v>6.5900000000000007</v>
      </c>
      <c r="CC15" s="161">
        <f t="shared" si="24"/>
        <v>25477.599000000002</v>
      </c>
      <c r="CD15" s="162">
        <f t="shared" si="62"/>
        <v>3866.1</v>
      </c>
      <c r="CE15" s="163">
        <v>6.5</v>
      </c>
      <c r="CF15" s="164">
        <v>7.58</v>
      </c>
      <c r="CG15" s="165">
        <f t="shared" si="51"/>
        <v>13.587300000000001</v>
      </c>
      <c r="CH15" s="166">
        <f t="shared" si="25"/>
        <v>52529.860530000005</v>
      </c>
      <c r="CI15" s="167">
        <v>38.06</v>
      </c>
      <c r="CJ15" s="166">
        <f t="shared" si="52"/>
        <v>147143.766</v>
      </c>
      <c r="CK15" s="168">
        <v>4.83</v>
      </c>
      <c r="CL15" s="166">
        <f t="shared" si="26"/>
        <v>18673.262999999999</v>
      </c>
      <c r="CM15" s="167">
        <v>25.27</v>
      </c>
      <c r="CN15" s="166">
        <f t="shared" si="27"/>
        <v>97696.346999999994</v>
      </c>
      <c r="CO15" s="169">
        <f t="shared" si="28"/>
        <v>4270.6785999999993</v>
      </c>
      <c r="CP15" s="166">
        <f t="shared" si="29"/>
        <v>16510870.535459997</v>
      </c>
      <c r="CQ15" s="167">
        <v>4056</v>
      </c>
      <c r="CR15" s="166">
        <f t="shared" si="53"/>
        <v>15680901.6</v>
      </c>
      <c r="CS15" s="170">
        <f t="shared" si="30"/>
        <v>38.479911736891879</v>
      </c>
      <c r="CT15" s="166">
        <f t="shared" si="31"/>
        <v>148767.1867659977</v>
      </c>
      <c r="CU15" s="168">
        <v>3.78</v>
      </c>
      <c r="CV15" s="166">
        <f t="shared" si="32"/>
        <v>14613.857999999998</v>
      </c>
      <c r="CW15" s="170">
        <f t="shared" si="33"/>
        <v>25.548801092781336</v>
      </c>
      <c r="CX15" s="166">
        <f t="shared" si="34"/>
        <v>98774.219904801925</v>
      </c>
      <c r="CY15" s="171">
        <f t="shared" si="35"/>
        <v>4100.7493958180094</v>
      </c>
      <c r="CZ15" s="166">
        <f t="shared" si="36"/>
        <v>15853907.239172006</v>
      </c>
      <c r="DA15" s="170" t="str">
        <f t="shared" si="37"/>
        <v>G11</v>
      </c>
      <c r="DB15" s="171">
        <f t="shared" si="38"/>
        <v>3682.7772533361353</v>
      </c>
      <c r="DC15" s="166">
        <f t="shared" si="39"/>
        <v>14237985.139122833</v>
      </c>
      <c r="DD15" s="170">
        <f t="shared" si="54"/>
        <v>34.557816139539774</v>
      </c>
      <c r="DE15" s="221">
        <f t="shared" si="55"/>
        <v>133603.97297707471</v>
      </c>
      <c r="DF15" s="222">
        <f t="shared" si="56"/>
        <v>9.8073000000000015</v>
      </c>
      <c r="DG15" s="221">
        <f t="shared" si="57"/>
        <v>37916.002530000005</v>
      </c>
      <c r="DH15" s="172">
        <f t="shared" si="40"/>
        <v>2</v>
      </c>
      <c r="DI15" s="173">
        <f t="shared" si="41"/>
        <v>50.749395818009361</v>
      </c>
      <c r="DJ15" s="174">
        <f t="shared" si="42"/>
        <v>2</v>
      </c>
      <c r="DK15" s="175">
        <f t="shared" si="43"/>
        <v>-599</v>
      </c>
      <c r="DL15" s="176">
        <f t="shared" si="44"/>
        <v>2</v>
      </c>
      <c r="DM15" s="175">
        <f t="shared" si="45"/>
        <v>0</v>
      </c>
      <c r="DN15" s="177"/>
      <c r="DO15" s="178">
        <f t="shared" si="46"/>
        <v>82.222746663864655</v>
      </c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80"/>
      <c r="EC15" s="181">
        <f t="shared" si="47"/>
        <v>-50.749395818009361</v>
      </c>
      <c r="EE15" s="181"/>
    </row>
    <row r="16" spans="1:136" s="182" customFormat="1" ht="30">
      <c r="A16" s="74">
        <v>18</v>
      </c>
      <c r="B16" s="74">
        <v>27</v>
      </c>
      <c r="C16" s="138">
        <v>45815</v>
      </c>
      <c r="D16" s="139">
        <v>161002894</v>
      </c>
      <c r="E16" s="138">
        <v>45814</v>
      </c>
      <c r="F16" s="138"/>
      <c r="G16" s="138"/>
      <c r="H16" s="140">
        <v>4010.85</v>
      </c>
      <c r="I16" s="141">
        <v>4010.85</v>
      </c>
      <c r="J16" s="142"/>
      <c r="K16" s="568"/>
      <c r="L16" s="337">
        <v>58</v>
      </c>
      <c r="M16" s="144"/>
      <c r="N16" s="144">
        <v>4010.85</v>
      </c>
      <c r="O16" s="522" t="s">
        <v>180</v>
      </c>
      <c r="P16" s="145" t="s">
        <v>70</v>
      </c>
      <c r="Q16" s="146" t="s">
        <v>64</v>
      </c>
      <c r="R16" s="145"/>
      <c r="S16" s="145" t="s">
        <v>181</v>
      </c>
      <c r="T16" s="145"/>
      <c r="U16" s="147" t="s">
        <v>188</v>
      </c>
      <c r="V16" s="147" t="s">
        <v>189</v>
      </c>
      <c r="W16" s="147">
        <v>4450</v>
      </c>
      <c r="X16" s="519">
        <v>4042.42</v>
      </c>
      <c r="Y16" s="148">
        <v>4042.42</v>
      </c>
      <c r="Z16" s="150" t="s">
        <v>242</v>
      </c>
      <c r="AA16" s="149">
        <v>1662</v>
      </c>
      <c r="AB16" s="150" t="s">
        <v>244</v>
      </c>
      <c r="AC16" s="151">
        <v>4042.42</v>
      </c>
      <c r="AD16" s="151">
        <v>10.63</v>
      </c>
      <c r="AE16" s="152">
        <f t="shared" si="0"/>
        <v>42970.924600000006</v>
      </c>
      <c r="AF16" s="151">
        <v>7.23</v>
      </c>
      <c r="AG16" s="152">
        <f t="shared" si="1"/>
        <v>29226.696600000003</v>
      </c>
      <c r="AH16" s="151">
        <v>40.65</v>
      </c>
      <c r="AI16" s="152">
        <f t="shared" si="2"/>
        <v>164324.37299999999</v>
      </c>
      <c r="AJ16" s="149">
        <v>3711</v>
      </c>
      <c r="AK16" s="152">
        <f t="shared" si="58"/>
        <v>15001420.620000001</v>
      </c>
      <c r="AL16" s="149"/>
      <c r="AM16" s="151">
        <v>6.56</v>
      </c>
      <c r="AN16" s="152">
        <f t="shared" si="3"/>
        <v>26518.2752</v>
      </c>
      <c r="AO16" s="151">
        <v>40.94</v>
      </c>
      <c r="AP16" s="152">
        <f t="shared" si="4"/>
        <v>165496.67480000001</v>
      </c>
      <c r="AQ16" s="149">
        <v>3738</v>
      </c>
      <c r="AR16" s="152">
        <f t="shared" si="48"/>
        <v>14992557.299999999</v>
      </c>
      <c r="AS16" s="149" t="s">
        <v>184</v>
      </c>
      <c r="AT16" s="149">
        <f t="shared" si="5"/>
        <v>3575</v>
      </c>
      <c r="AU16" s="152">
        <f t="shared" si="6"/>
        <v>14451651.5</v>
      </c>
      <c r="AV16" s="149">
        <f t="shared" si="7"/>
        <v>39.159999999999997</v>
      </c>
      <c r="AW16" s="152">
        <f t="shared" si="8"/>
        <v>158301.1672</v>
      </c>
      <c r="AX16" s="151">
        <f t="shared" si="9"/>
        <v>4.0700000000000012</v>
      </c>
      <c r="AY16" s="152">
        <f t="shared" si="10"/>
        <v>16452.649400000006</v>
      </c>
      <c r="AZ16" s="153">
        <v>3.4</v>
      </c>
      <c r="BA16" s="153">
        <v>10.628</v>
      </c>
      <c r="BB16" s="153"/>
      <c r="BC16" s="154">
        <f t="shared" si="11"/>
        <v>13.666648</v>
      </c>
      <c r="BD16" s="155">
        <f t="shared" si="12"/>
        <v>54814.875130799999</v>
      </c>
      <c r="BE16" s="156">
        <f t="shared" si="59"/>
        <v>4010.85</v>
      </c>
      <c r="BF16" s="157">
        <v>503</v>
      </c>
      <c r="BG16" s="157" t="s">
        <v>244</v>
      </c>
      <c r="BH16" s="156">
        <v>13.666648</v>
      </c>
      <c r="BI16" s="158">
        <f t="shared" si="14"/>
        <v>54814.875130799999</v>
      </c>
      <c r="BJ16" s="156">
        <v>8.89</v>
      </c>
      <c r="BK16" s="158">
        <f t="shared" si="15"/>
        <v>35656.4565</v>
      </c>
      <c r="BL16" s="156">
        <v>44.48</v>
      </c>
      <c r="BM16" s="159">
        <f t="shared" si="16"/>
        <v>178402.60799999998</v>
      </c>
      <c r="BN16" s="157">
        <v>3225</v>
      </c>
      <c r="BO16" s="159">
        <f t="shared" si="17"/>
        <v>12934991.25</v>
      </c>
      <c r="BP16" s="160"/>
      <c r="BQ16" s="156">
        <v>8.64</v>
      </c>
      <c r="BR16" s="158">
        <f t="shared" si="18"/>
        <v>34653.743999999999</v>
      </c>
      <c r="BS16" s="156">
        <v>44.6</v>
      </c>
      <c r="BT16" s="159">
        <f t="shared" si="19"/>
        <v>178883.91</v>
      </c>
      <c r="BU16" s="157">
        <v>3234</v>
      </c>
      <c r="BV16" s="161">
        <f t="shared" si="49"/>
        <v>12971088.9</v>
      </c>
      <c r="BW16" s="157" t="s">
        <v>193</v>
      </c>
      <c r="BX16" s="157">
        <f t="shared" si="20"/>
        <v>3056</v>
      </c>
      <c r="BY16" s="161">
        <f t="shared" si="50"/>
        <v>12257157.6</v>
      </c>
      <c r="BZ16" s="157">
        <f t="shared" si="21"/>
        <v>42.15</v>
      </c>
      <c r="CA16" s="161">
        <f t="shared" si="22"/>
        <v>169057.32749999998</v>
      </c>
      <c r="CB16" s="156">
        <f t="shared" si="23"/>
        <v>5.0266479999999998</v>
      </c>
      <c r="CC16" s="161">
        <f t="shared" si="24"/>
        <v>20161.1311308</v>
      </c>
      <c r="CD16" s="162">
        <f t="shared" si="62"/>
        <v>4010.85</v>
      </c>
      <c r="CE16" s="163">
        <v>3.6</v>
      </c>
      <c r="CF16" s="164">
        <v>6.45</v>
      </c>
      <c r="CG16" s="165">
        <f t="shared" si="51"/>
        <v>9.8178000000000001</v>
      </c>
      <c r="CH16" s="166">
        <f t="shared" si="25"/>
        <v>39377.723129999998</v>
      </c>
      <c r="CI16" s="167">
        <v>46.55</v>
      </c>
      <c r="CJ16" s="166">
        <f t="shared" si="52"/>
        <v>186705.06749999998</v>
      </c>
      <c r="CK16" s="168">
        <v>3.84</v>
      </c>
      <c r="CL16" s="166">
        <f t="shared" si="26"/>
        <v>15401.663999999999</v>
      </c>
      <c r="CM16" s="167">
        <v>23.26</v>
      </c>
      <c r="CN16" s="166">
        <f t="shared" si="27"/>
        <v>93292.370999999999</v>
      </c>
      <c r="CO16" s="169">
        <f t="shared" si="28"/>
        <v>3615.7891</v>
      </c>
      <c r="CP16" s="166">
        <f t="shared" si="29"/>
        <v>14502387.711734999</v>
      </c>
      <c r="CQ16" s="167">
        <v>3298</v>
      </c>
      <c r="CR16" s="166">
        <f t="shared" si="53"/>
        <v>13227783.299999999</v>
      </c>
      <c r="CS16" s="170">
        <f t="shared" si="30"/>
        <v>46.583886231281205</v>
      </c>
      <c r="CT16" s="166">
        <f t="shared" si="31"/>
        <v>186840.98009073423</v>
      </c>
      <c r="CU16" s="168">
        <v>3.77</v>
      </c>
      <c r="CV16" s="166">
        <f t="shared" si="32"/>
        <v>15120.904500000001</v>
      </c>
      <c r="CW16" s="170">
        <f t="shared" si="33"/>
        <v>23.276932196339441</v>
      </c>
      <c r="CX16" s="166">
        <f t="shared" si="34"/>
        <v>93360.283499688041</v>
      </c>
      <c r="CY16" s="171">
        <f t="shared" si="35"/>
        <v>3300.400790349418</v>
      </c>
      <c r="CZ16" s="166">
        <f t="shared" si="36"/>
        <v>13237412.509972963</v>
      </c>
      <c r="DA16" s="170" t="str">
        <f t="shared" si="37"/>
        <v>G14</v>
      </c>
      <c r="DB16" s="171">
        <f t="shared" si="38"/>
        <v>3092.9793635607321</v>
      </c>
      <c r="DC16" s="166">
        <f t="shared" si="39"/>
        <v>12405476.280337563</v>
      </c>
      <c r="DD16" s="170">
        <f t="shared" si="54"/>
        <v>43.656212666389351</v>
      </c>
      <c r="DE16" s="221">
        <f t="shared" si="55"/>
        <v>175098.52057298773</v>
      </c>
      <c r="DF16" s="222">
        <f t="shared" si="56"/>
        <v>6.0478000000000005</v>
      </c>
      <c r="DG16" s="221">
        <f t="shared" si="57"/>
        <v>24256.818630000002</v>
      </c>
      <c r="DH16" s="172">
        <f t="shared" si="40"/>
        <v>-4</v>
      </c>
      <c r="DI16" s="173">
        <f t="shared" si="41"/>
        <v>66.400790349418003</v>
      </c>
      <c r="DJ16" s="174">
        <f t="shared" si="42"/>
        <v>-4</v>
      </c>
      <c r="DK16" s="175">
        <f t="shared" si="43"/>
        <v>504</v>
      </c>
      <c r="DL16" s="176">
        <f t="shared" si="44"/>
        <v>-4</v>
      </c>
      <c r="DM16" s="175">
        <f t="shared" si="45"/>
        <v>-2</v>
      </c>
      <c r="DN16" s="177"/>
      <c r="DO16" s="178">
        <f t="shared" si="46"/>
        <v>-36.979363560732054</v>
      </c>
      <c r="DP16" s="179"/>
      <c r="DQ16" s="179"/>
      <c r="DR16" s="179"/>
      <c r="DS16" s="179"/>
      <c r="DT16" s="179"/>
      <c r="DU16" s="179"/>
      <c r="DV16" s="179"/>
      <c r="DW16" s="179"/>
      <c r="DX16" s="179"/>
      <c r="DY16" s="179"/>
      <c r="DZ16" s="179"/>
      <c r="EA16" s="179"/>
      <c r="EB16" s="180"/>
      <c r="EC16" s="181">
        <f t="shared" si="47"/>
        <v>-66.400790349418003</v>
      </c>
      <c r="EE16" s="181"/>
    </row>
    <row r="17" spans="1:135" s="182" customFormat="1" ht="45">
      <c r="A17" s="74">
        <v>20</v>
      </c>
      <c r="B17" s="74">
        <v>30</v>
      </c>
      <c r="C17" s="138">
        <v>45816</v>
      </c>
      <c r="D17" s="139">
        <v>161005914</v>
      </c>
      <c r="E17" s="138">
        <v>45815</v>
      </c>
      <c r="F17" s="138"/>
      <c r="G17" s="138"/>
      <c r="H17" s="140">
        <v>3814.7</v>
      </c>
      <c r="I17" s="141">
        <v>3814.7</v>
      </c>
      <c r="J17" s="142"/>
      <c r="K17" s="568"/>
      <c r="L17" s="337">
        <v>55</v>
      </c>
      <c r="M17" s="144"/>
      <c r="N17" s="144">
        <v>3814.7</v>
      </c>
      <c r="O17" s="522" t="s">
        <v>180</v>
      </c>
      <c r="P17" s="145" t="s">
        <v>69</v>
      </c>
      <c r="Q17" s="146" t="s">
        <v>50</v>
      </c>
      <c r="R17" s="145"/>
      <c r="S17" s="145" t="s">
        <v>181</v>
      </c>
      <c r="T17" s="145"/>
      <c r="U17" s="147" t="s">
        <v>182</v>
      </c>
      <c r="V17" s="147" t="s">
        <v>183</v>
      </c>
      <c r="W17" s="147">
        <v>4150</v>
      </c>
      <c r="X17" s="519">
        <v>3926.89</v>
      </c>
      <c r="Y17" s="148">
        <v>3926.89</v>
      </c>
      <c r="Z17" s="150" t="s">
        <v>245</v>
      </c>
      <c r="AA17" s="149">
        <v>1660</v>
      </c>
      <c r="AB17" s="150" t="s">
        <v>244</v>
      </c>
      <c r="AC17" s="151">
        <v>3926.89</v>
      </c>
      <c r="AD17" s="151">
        <v>11.82</v>
      </c>
      <c r="AE17" s="152">
        <f t="shared" si="0"/>
        <v>46415.839800000002</v>
      </c>
      <c r="AF17" s="151">
        <v>6.68</v>
      </c>
      <c r="AG17" s="152">
        <f t="shared" si="1"/>
        <v>26231.625199999999</v>
      </c>
      <c r="AH17" s="151">
        <v>42.6</v>
      </c>
      <c r="AI17" s="152">
        <f t="shared" si="2"/>
        <v>167285.514</v>
      </c>
      <c r="AJ17" s="149">
        <v>3573</v>
      </c>
      <c r="AK17" s="152">
        <f t="shared" si="58"/>
        <v>14030777.969999999</v>
      </c>
      <c r="AL17" s="149"/>
      <c r="AM17" s="151">
        <v>7.56</v>
      </c>
      <c r="AN17" s="152">
        <f t="shared" si="3"/>
        <v>29687.288399999998</v>
      </c>
      <c r="AO17" s="151">
        <v>42.2</v>
      </c>
      <c r="AP17" s="152">
        <f t="shared" si="4"/>
        <v>165714.758</v>
      </c>
      <c r="AQ17" s="149">
        <v>3539</v>
      </c>
      <c r="AR17" s="152">
        <f t="shared" si="48"/>
        <v>13500223.299999999</v>
      </c>
      <c r="AS17" s="149" t="s">
        <v>190</v>
      </c>
      <c r="AT17" s="149">
        <f t="shared" si="5"/>
        <v>3376</v>
      </c>
      <c r="AU17" s="152">
        <f t="shared" si="6"/>
        <v>13257180.639999999</v>
      </c>
      <c r="AV17" s="149">
        <f t="shared" si="7"/>
        <v>40.26</v>
      </c>
      <c r="AW17" s="152">
        <f t="shared" si="8"/>
        <v>158096.59139999998</v>
      </c>
      <c r="AX17" s="151">
        <f t="shared" si="9"/>
        <v>4.2600000000000007</v>
      </c>
      <c r="AY17" s="152">
        <f t="shared" si="10"/>
        <v>16728.551400000004</v>
      </c>
      <c r="AZ17" s="153">
        <v>4.2</v>
      </c>
      <c r="BA17" s="153">
        <v>6.532</v>
      </c>
      <c r="BB17" s="153"/>
      <c r="BC17" s="154">
        <f t="shared" si="11"/>
        <v>10.457656</v>
      </c>
      <c r="BD17" s="155">
        <f t="shared" si="12"/>
        <v>39892.820343200001</v>
      </c>
      <c r="BE17" s="156">
        <f>CD17</f>
        <v>3814.7</v>
      </c>
      <c r="BF17" s="157">
        <v>503</v>
      </c>
      <c r="BG17" s="157" t="s">
        <v>244</v>
      </c>
      <c r="BH17" s="156">
        <v>10.457656</v>
      </c>
      <c r="BI17" s="158">
        <f t="shared" si="14"/>
        <v>39892.820343200001</v>
      </c>
      <c r="BJ17" s="156">
        <v>8.01</v>
      </c>
      <c r="BK17" s="158">
        <f t="shared" si="15"/>
        <v>30555.746999999999</v>
      </c>
      <c r="BL17" s="156">
        <v>44.22</v>
      </c>
      <c r="BM17" s="159">
        <f t="shared" si="16"/>
        <v>168686.03399999999</v>
      </c>
      <c r="BN17" s="157">
        <v>3257</v>
      </c>
      <c r="BO17" s="159">
        <f t="shared" si="17"/>
        <v>12424477.899999999</v>
      </c>
      <c r="BP17" s="160"/>
      <c r="BQ17" s="156">
        <v>7.78</v>
      </c>
      <c r="BR17" s="158">
        <f t="shared" si="18"/>
        <v>29678.365999999998</v>
      </c>
      <c r="BS17" s="156">
        <v>44.33</v>
      </c>
      <c r="BT17" s="159">
        <f t="shared" si="19"/>
        <v>169105.65099999998</v>
      </c>
      <c r="BU17" s="157">
        <v>3265</v>
      </c>
      <c r="BV17" s="161">
        <f t="shared" si="49"/>
        <v>12454995.5</v>
      </c>
      <c r="BW17" s="157" t="s">
        <v>193</v>
      </c>
      <c r="BX17" s="157">
        <f t="shared" si="20"/>
        <v>3170</v>
      </c>
      <c r="BY17" s="161">
        <f t="shared" si="50"/>
        <v>12092599</v>
      </c>
      <c r="BZ17" s="157">
        <f t="shared" si="21"/>
        <v>43.04</v>
      </c>
      <c r="CA17" s="161">
        <f t="shared" si="22"/>
        <v>164184.68799999999</v>
      </c>
      <c r="CB17" s="156">
        <f t="shared" si="23"/>
        <v>2.6776559999999998</v>
      </c>
      <c r="CC17" s="161">
        <f t="shared" si="24"/>
        <v>10214.454343199999</v>
      </c>
      <c r="CD17" s="162">
        <f t="shared" si="62"/>
        <v>3814.7</v>
      </c>
      <c r="CE17" s="163">
        <v>3.9</v>
      </c>
      <c r="CF17" s="164">
        <v>6.51</v>
      </c>
      <c r="CG17" s="165">
        <f t="shared" si="51"/>
        <v>10.15611</v>
      </c>
      <c r="CH17" s="166">
        <f t="shared" si="25"/>
        <v>38742.512816999995</v>
      </c>
      <c r="CI17" s="167">
        <v>46.61</v>
      </c>
      <c r="CJ17" s="166">
        <f t="shared" si="52"/>
        <v>177803.16699999999</v>
      </c>
      <c r="CK17" s="168">
        <v>3.33</v>
      </c>
      <c r="CL17" s="166">
        <f t="shared" si="26"/>
        <v>12702.950999999999</v>
      </c>
      <c r="CM17" s="167">
        <v>24.25</v>
      </c>
      <c r="CN17" s="166">
        <f t="shared" si="27"/>
        <v>92506.474999999991</v>
      </c>
      <c r="CO17" s="169">
        <f t="shared" si="28"/>
        <v>3684.3780999999999</v>
      </c>
      <c r="CP17" s="166">
        <f t="shared" si="29"/>
        <v>14054797.138069998</v>
      </c>
      <c r="CQ17" s="167">
        <v>3355</v>
      </c>
      <c r="CR17" s="166">
        <f t="shared" si="53"/>
        <v>12798318.5</v>
      </c>
      <c r="CS17" s="170">
        <f t="shared" si="30"/>
        <v>46.190524464673629</v>
      </c>
      <c r="CT17" s="166">
        <f t="shared" si="31"/>
        <v>176202.99367539049</v>
      </c>
      <c r="CU17" s="168">
        <v>4.2</v>
      </c>
      <c r="CV17" s="166">
        <f t="shared" si="32"/>
        <v>16021.74</v>
      </c>
      <c r="CW17" s="170">
        <f t="shared" si="33"/>
        <v>24.031757525602565</v>
      </c>
      <c r="CX17" s="166">
        <f t="shared" si="34"/>
        <v>91673.945432916094</v>
      </c>
      <c r="CY17" s="171">
        <f t="shared" si="35"/>
        <v>3324.8060411709939</v>
      </c>
      <c r="CZ17" s="166">
        <f t="shared" si="36"/>
        <v>12683137.605254989</v>
      </c>
      <c r="DA17" s="170" t="str">
        <f t="shared" si="37"/>
        <v>G14</v>
      </c>
      <c r="DB17" s="171">
        <f t="shared" si="38"/>
        <v>3118.0950755146373</v>
      </c>
      <c r="DC17" s="166">
        <f t="shared" si="39"/>
        <v>11894597.284565687</v>
      </c>
      <c r="DD17" s="170">
        <f t="shared" si="54"/>
        <v>43.318751555808419</v>
      </c>
      <c r="DE17" s="221">
        <f t="shared" si="55"/>
        <v>165248.04155994236</v>
      </c>
      <c r="DF17" s="222">
        <f t="shared" si="56"/>
        <v>5.9561099999999998</v>
      </c>
      <c r="DG17" s="221">
        <f t="shared" si="57"/>
        <v>22720.772816999997</v>
      </c>
      <c r="DH17" s="172">
        <f t="shared" si="40"/>
        <v>-3</v>
      </c>
      <c r="DI17" s="173">
        <f t="shared" si="41"/>
        <v>59.806041170993922</v>
      </c>
      <c r="DJ17" s="174">
        <f t="shared" si="42"/>
        <v>-3</v>
      </c>
      <c r="DK17" s="175">
        <f t="shared" si="43"/>
        <v>274</v>
      </c>
      <c r="DL17" s="176">
        <f t="shared" si="44"/>
        <v>-3</v>
      </c>
      <c r="DM17" s="175">
        <f t="shared" si="45"/>
        <v>-2</v>
      </c>
      <c r="DN17" s="177"/>
      <c r="DO17" s="178">
        <f t="shared" si="46"/>
        <v>51.904924485362699</v>
      </c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80"/>
      <c r="EC17" s="181">
        <f t="shared" si="47"/>
        <v>-59.806041170993922</v>
      </c>
      <c r="EE17" s="181"/>
    </row>
    <row r="18" spans="1:135" s="182" customFormat="1" ht="30">
      <c r="A18" s="74">
        <v>23</v>
      </c>
      <c r="B18" s="74">
        <v>40</v>
      </c>
      <c r="C18" s="138">
        <v>45817</v>
      </c>
      <c r="D18" s="139">
        <v>141000003</v>
      </c>
      <c r="E18" s="138">
        <v>45817</v>
      </c>
      <c r="F18" s="138"/>
      <c r="G18" s="138"/>
      <c r="H18" s="647">
        <f>2064.85+1818.15</f>
        <v>3883</v>
      </c>
      <c r="I18" s="141">
        <v>699.2</v>
      </c>
      <c r="J18" s="142">
        <f>(Y18/X18)*100</f>
        <v>18.006571349732749</v>
      </c>
      <c r="K18" s="568">
        <f>ROUND(((J18*H18)/100),2)</f>
        <v>699.2</v>
      </c>
      <c r="L18" s="658">
        <v>57</v>
      </c>
      <c r="M18" s="144"/>
      <c r="N18" s="144">
        <v>699.2</v>
      </c>
      <c r="O18" s="522" t="s">
        <v>180</v>
      </c>
      <c r="P18" s="145" t="s">
        <v>228</v>
      </c>
      <c r="Q18" s="146" t="s">
        <v>276</v>
      </c>
      <c r="R18" s="145"/>
      <c r="S18" s="145" t="s">
        <v>181</v>
      </c>
      <c r="T18" s="145"/>
      <c r="U18" s="147" t="s">
        <v>188</v>
      </c>
      <c r="V18" s="147" t="s">
        <v>189</v>
      </c>
      <c r="W18" s="147">
        <v>4450</v>
      </c>
      <c r="X18" s="653">
        <v>3913.96</v>
      </c>
      <c r="Y18" s="148">
        <v>704.77</v>
      </c>
      <c r="Z18" s="150"/>
      <c r="AA18" s="149"/>
      <c r="AB18" s="150"/>
      <c r="AC18" s="151"/>
      <c r="AD18" s="151"/>
      <c r="AE18" s="152">
        <f t="shared" si="0"/>
        <v>0</v>
      </c>
      <c r="AF18" s="151"/>
      <c r="AG18" s="152">
        <f t="shared" si="1"/>
        <v>0</v>
      </c>
      <c r="AH18" s="151"/>
      <c r="AI18" s="152">
        <f t="shared" si="2"/>
        <v>0</v>
      </c>
      <c r="AJ18" s="149"/>
      <c r="AK18" s="152">
        <f t="shared" si="58"/>
        <v>0</v>
      </c>
      <c r="AL18" s="149"/>
      <c r="AM18" s="151"/>
      <c r="AN18" s="152">
        <f t="shared" si="3"/>
        <v>0</v>
      </c>
      <c r="AO18" s="151"/>
      <c r="AP18" s="152">
        <f t="shared" si="4"/>
        <v>0</v>
      </c>
      <c r="AQ18" s="174">
        <f t="shared" ref="AQ18:AQ19" si="63">W18</f>
        <v>4450</v>
      </c>
      <c r="AR18" s="152">
        <f t="shared" si="48"/>
        <v>3111440</v>
      </c>
      <c r="AS18" s="149"/>
      <c r="AT18" s="149">
        <f t="shared" si="5"/>
        <v>4450</v>
      </c>
      <c r="AU18" s="152">
        <f t="shared" si="6"/>
        <v>0</v>
      </c>
      <c r="AV18" s="149">
        <f t="shared" si="7"/>
        <v>0</v>
      </c>
      <c r="AW18" s="152">
        <f t="shared" si="8"/>
        <v>0</v>
      </c>
      <c r="AX18" s="151">
        <f t="shared" si="9"/>
        <v>0</v>
      </c>
      <c r="AY18" s="152">
        <f t="shared" si="10"/>
        <v>0</v>
      </c>
      <c r="AZ18" s="153">
        <v>4.5</v>
      </c>
      <c r="BA18" s="153">
        <v>8.282</v>
      </c>
      <c r="BB18" s="153"/>
      <c r="BC18" s="154">
        <f t="shared" si="11"/>
        <v>12.40931</v>
      </c>
      <c r="BD18" s="155">
        <f t="shared" si="12"/>
        <v>8676.5895519999995</v>
      </c>
      <c r="BE18" s="156">
        <f t="shared" ref="BE18:BE19" si="64">CD18</f>
        <v>699.2</v>
      </c>
      <c r="BF18" s="157">
        <v>506</v>
      </c>
      <c r="BG18" s="157" t="s">
        <v>246</v>
      </c>
      <c r="BH18" s="156">
        <v>12.41</v>
      </c>
      <c r="BI18" s="158">
        <f t="shared" si="14"/>
        <v>8677.0720000000001</v>
      </c>
      <c r="BJ18" s="156">
        <v>7.6</v>
      </c>
      <c r="BK18" s="158">
        <f t="shared" si="15"/>
        <v>5313.92</v>
      </c>
      <c r="BL18" s="156">
        <v>44.36</v>
      </c>
      <c r="BM18" s="159">
        <f t="shared" si="16"/>
        <v>31016.512000000002</v>
      </c>
      <c r="BN18" s="157">
        <v>3039</v>
      </c>
      <c r="BO18" s="159">
        <f t="shared" si="17"/>
        <v>2124868.8000000003</v>
      </c>
      <c r="BP18" s="160"/>
      <c r="BQ18" s="156">
        <v>7.28</v>
      </c>
      <c r="BR18" s="158">
        <f t="shared" si="18"/>
        <v>5090.1760000000004</v>
      </c>
      <c r="BS18" s="156">
        <v>44.51</v>
      </c>
      <c r="BT18" s="159">
        <f t="shared" si="19"/>
        <v>31121.392</v>
      </c>
      <c r="BU18" s="157">
        <v>3050</v>
      </c>
      <c r="BV18" s="161">
        <f t="shared" si="49"/>
        <v>2132560</v>
      </c>
      <c r="BW18" s="157" t="s">
        <v>187</v>
      </c>
      <c r="BX18" s="157">
        <f t="shared" si="20"/>
        <v>2881</v>
      </c>
      <c r="BY18" s="161">
        <f t="shared" si="50"/>
        <v>2014395.2000000002</v>
      </c>
      <c r="BZ18" s="157">
        <f t="shared" si="21"/>
        <v>42.05</v>
      </c>
      <c r="CA18" s="161">
        <f t="shared" si="22"/>
        <v>29401.360000000001</v>
      </c>
      <c r="CB18" s="156">
        <f t="shared" si="23"/>
        <v>5.13</v>
      </c>
      <c r="CC18" s="161">
        <f t="shared" si="24"/>
        <v>3586.8960000000002</v>
      </c>
      <c r="CD18" s="162">
        <f t="shared" si="62"/>
        <v>699.2</v>
      </c>
      <c r="CE18" s="163">
        <v>4</v>
      </c>
      <c r="CF18" s="164">
        <v>6.08</v>
      </c>
      <c r="CG18" s="165">
        <f t="shared" si="51"/>
        <v>9.8368000000000002</v>
      </c>
      <c r="CH18" s="166">
        <f t="shared" si="25"/>
        <v>6877.8905600000007</v>
      </c>
      <c r="CI18" s="167">
        <v>39.1</v>
      </c>
      <c r="CJ18" s="166">
        <f t="shared" si="52"/>
        <v>27338.720000000001</v>
      </c>
      <c r="CK18" s="168">
        <v>4.17</v>
      </c>
      <c r="CL18" s="166">
        <f t="shared" si="26"/>
        <v>2915.6640000000002</v>
      </c>
      <c r="CM18" s="167">
        <v>28.3</v>
      </c>
      <c r="CN18" s="166">
        <f t="shared" si="27"/>
        <v>19787.36</v>
      </c>
      <c r="CO18" s="169">
        <f t="shared" si="28"/>
        <v>4268.8737999999994</v>
      </c>
      <c r="CP18" s="166">
        <f t="shared" si="29"/>
        <v>2984796.5609599999</v>
      </c>
      <c r="CQ18" s="167">
        <v>4050</v>
      </c>
      <c r="CR18" s="166">
        <f t="shared" si="53"/>
        <v>2831760</v>
      </c>
      <c r="CS18" s="170">
        <f t="shared" si="30"/>
        <v>38.72054680162789</v>
      </c>
      <c r="CT18" s="166">
        <f t="shared" si="31"/>
        <v>27073.406323698222</v>
      </c>
      <c r="CU18" s="168">
        <v>5.0999999999999996</v>
      </c>
      <c r="CV18" s="166">
        <f t="shared" si="32"/>
        <v>3565.92</v>
      </c>
      <c r="CW18" s="170">
        <f t="shared" si="33"/>
        <v>28.025357403735786</v>
      </c>
      <c r="CX18" s="166">
        <f t="shared" si="34"/>
        <v>19595.329896692063</v>
      </c>
      <c r="CY18" s="171">
        <f t="shared" si="35"/>
        <v>4010.6960242095383</v>
      </c>
      <c r="CZ18" s="166">
        <f t="shared" si="36"/>
        <v>2804278.6601273096</v>
      </c>
      <c r="DA18" s="170" t="str">
        <f t="shared" si="37"/>
        <v>G11</v>
      </c>
      <c r="DB18" s="171">
        <f t="shared" si="38"/>
        <v>3810.5077741834502</v>
      </c>
      <c r="DC18" s="166">
        <f t="shared" si="39"/>
        <v>2664307.0357090686</v>
      </c>
      <c r="DD18" s="170">
        <f t="shared" si="54"/>
        <v>36.787865177919237</v>
      </c>
      <c r="DE18" s="221">
        <f t="shared" si="55"/>
        <v>25722.075332401131</v>
      </c>
      <c r="DF18" s="222">
        <f t="shared" si="56"/>
        <v>4.7368000000000006</v>
      </c>
      <c r="DG18" s="221">
        <f t="shared" si="57"/>
        <v>3311.9705600000007</v>
      </c>
      <c r="DH18" s="172">
        <f t="shared" si="40"/>
        <v>-1</v>
      </c>
      <c r="DI18" s="173">
        <f t="shared" si="41"/>
        <v>960.69602420953834</v>
      </c>
      <c r="DJ18" s="174">
        <f t="shared" si="42"/>
        <v>-5</v>
      </c>
      <c r="DK18" s="175">
        <f t="shared" si="43"/>
        <v>1400</v>
      </c>
      <c r="DL18" s="176">
        <f t="shared" si="44"/>
        <v>-5</v>
      </c>
      <c r="DM18" s="175" t="e">
        <f t="shared" si="45"/>
        <v>#VALUE!</v>
      </c>
      <c r="DN18" s="177"/>
      <c r="DO18" s="178">
        <f t="shared" si="46"/>
        <v>-929.50777418345024</v>
      </c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80"/>
      <c r="EC18" s="181">
        <f t="shared" si="47"/>
        <v>-960.69602420953834</v>
      </c>
      <c r="EE18" s="181"/>
    </row>
    <row r="19" spans="1:135" s="182" customFormat="1" ht="30">
      <c r="A19" s="74">
        <v>24</v>
      </c>
      <c r="B19" s="74">
        <v>40</v>
      </c>
      <c r="C19" s="138">
        <v>45817</v>
      </c>
      <c r="D19" s="139">
        <v>141000003</v>
      </c>
      <c r="E19" s="138">
        <v>45817</v>
      </c>
      <c r="F19" s="138"/>
      <c r="G19" s="138"/>
      <c r="H19" s="649"/>
      <c r="I19" s="141">
        <v>3183.8</v>
      </c>
      <c r="J19" s="142">
        <f>(Y19/X18)*100</f>
        <v>81.993428650267248</v>
      </c>
      <c r="K19" s="568">
        <f>ROUND(((J19*H18)/100),2)</f>
        <v>3183.8</v>
      </c>
      <c r="L19" s="659"/>
      <c r="M19" s="144"/>
      <c r="N19" s="144">
        <v>3183.8</v>
      </c>
      <c r="O19" s="522" t="s">
        <v>180</v>
      </c>
      <c r="P19" s="145" t="s">
        <v>228</v>
      </c>
      <c r="Q19" s="146" t="s">
        <v>229</v>
      </c>
      <c r="R19" s="145"/>
      <c r="S19" s="145" t="s">
        <v>181</v>
      </c>
      <c r="T19" s="145"/>
      <c r="U19" s="147" t="s">
        <v>188</v>
      </c>
      <c r="V19" s="147" t="s">
        <v>189</v>
      </c>
      <c r="W19" s="147">
        <v>4450</v>
      </c>
      <c r="X19" s="655"/>
      <c r="Y19" s="148">
        <v>3209.19</v>
      </c>
      <c r="Z19" s="150"/>
      <c r="AA19" s="149"/>
      <c r="AB19" s="150"/>
      <c r="AC19" s="151"/>
      <c r="AD19" s="151"/>
      <c r="AE19" s="152">
        <f t="shared" si="0"/>
        <v>0</v>
      </c>
      <c r="AF19" s="151"/>
      <c r="AG19" s="152">
        <f t="shared" si="1"/>
        <v>0</v>
      </c>
      <c r="AH19" s="151"/>
      <c r="AI19" s="152">
        <f t="shared" si="2"/>
        <v>0</v>
      </c>
      <c r="AJ19" s="149"/>
      <c r="AK19" s="152">
        <f t="shared" si="58"/>
        <v>0</v>
      </c>
      <c r="AL19" s="149"/>
      <c r="AM19" s="151"/>
      <c r="AN19" s="152">
        <f t="shared" si="3"/>
        <v>0</v>
      </c>
      <c r="AO19" s="151"/>
      <c r="AP19" s="152">
        <f t="shared" si="4"/>
        <v>0</v>
      </c>
      <c r="AQ19" s="174">
        <f t="shared" si="63"/>
        <v>4450</v>
      </c>
      <c r="AR19" s="152">
        <f t="shared" si="48"/>
        <v>14167910</v>
      </c>
      <c r="AS19" s="149"/>
      <c r="AT19" s="149">
        <f t="shared" si="5"/>
        <v>4450</v>
      </c>
      <c r="AU19" s="152">
        <f t="shared" si="6"/>
        <v>0</v>
      </c>
      <c r="AV19" s="149">
        <f t="shared" si="7"/>
        <v>0</v>
      </c>
      <c r="AW19" s="152">
        <f t="shared" si="8"/>
        <v>0</v>
      </c>
      <c r="AX19" s="151">
        <f t="shared" si="9"/>
        <v>0</v>
      </c>
      <c r="AY19" s="152">
        <f t="shared" si="10"/>
        <v>0</v>
      </c>
      <c r="AZ19" s="153">
        <v>4.5</v>
      </c>
      <c r="BA19" s="153">
        <v>8.282</v>
      </c>
      <c r="BB19" s="153"/>
      <c r="BC19" s="154">
        <f t="shared" si="11"/>
        <v>12.40931</v>
      </c>
      <c r="BD19" s="155">
        <f t="shared" si="12"/>
        <v>39508.761178000001</v>
      </c>
      <c r="BE19" s="156">
        <f t="shared" si="64"/>
        <v>3183.8</v>
      </c>
      <c r="BF19" s="157">
        <v>506</v>
      </c>
      <c r="BG19" s="157" t="s">
        <v>246</v>
      </c>
      <c r="BH19" s="156">
        <v>12.41</v>
      </c>
      <c r="BI19" s="158">
        <f t="shared" si="14"/>
        <v>39510.958000000006</v>
      </c>
      <c r="BJ19" s="156">
        <v>7.6</v>
      </c>
      <c r="BK19" s="158">
        <f t="shared" si="15"/>
        <v>24196.880000000001</v>
      </c>
      <c r="BL19" s="156">
        <v>44.36</v>
      </c>
      <c r="BM19" s="159">
        <f t="shared" si="16"/>
        <v>141233.36800000002</v>
      </c>
      <c r="BN19" s="157">
        <v>3039</v>
      </c>
      <c r="BO19" s="159">
        <f t="shared" si="17"/>
        <v>9675568.2000000011</v>
      </c>
      <c r="BP19" s="160"/>
      <c r="BQ19" s="156">
        <v>7.28</v>
      </c>
      <c r="BR19" s="158">
        <f t="shared" si="18"/>
        <v>23178.064000000002</v>
      </c>
      <c r="BS19" s="156">
        <v>44.51</v>
      </c>
      <c r="BT19" s="159">
        <f t="shared" si="19"/>
        <v>141710.93799999999</v>
      </c>
      <c r="BU19" s="157">
        <v>3050</v>
      </c>
      <c r="BV19" s="161">
        <f t="shared" si="49"/>
        <v>9710590</v>
      </c>
      <c r="BW19" s="157" t="s">
        <v>187</v>
      </c>
      <c r="BX19" s="157">
        <f t="shared" si="20"/>
        <v>2881</v>
      </c>
      <c r="BY19" s="161">
        <f t="shared" si="50"/>
        <v>9172527.8000000007</v>
      </c>
      <c r="BZ19" s="157">
        <f t="shared" si="21"/>
        <v>42.05</v>
      </c>
      <c r="CA19" s="161">
        <f t="shared" si="22"/>
        <v>133878.79</v>
      </c>
      <c r="CB19" s="156">
        <f t="shared" si="23"/>
        <v>5.13</v>
      </c>
      <c r="CC19" s="161">
        <f t="shared" si="24"/>
        <v>16332.894</v>
      </c>
      <c r="CD19" s="162">
        <f t="shared" si="62"/>
        <v>3183.8</v>
      </c>
      <c r="CE19" s="163">
        <v>4</v>
      </c>
      <c r="CF19" s="164">
        <v>6.08</v>
      </c>
      <c r="CG19" s="165">
        <f t="shared" si="51"/>
        <v>9.8368000000000002</v>
      </c>
      <c r="CH19" s="166">
        <f t="shared" si="25"/>
        <v>31318.403840000003</v>
      </c>
      <c r="CI19" s="167">
        <v>39.1</v>
      </c>
      <c r="CJ19" s="166">
        <f t="shared" si="52"/>
        <v>124486.58000000002</v>
      </c>
      <c r="CK19" s="168">
        <v>4.17</v>
      </c>
      <c r="CL19" s="166">
        <f t="shared" si="26"/>
        <v>13276.446</v>
      </c>
      <c r="CM19" s="167">
        <v>28.3</v>
      </c>
      <c r="CN19" s="166">
        <f t="shared" si="27"/>
        <v>90101.540000000008</v>
      </c>
      <c r="CO19" s="169">
        <f t="shared" si="28"/>
        <v>4268.8737999999994</v>
      </c>
      <c r="CP19" s="166">
        <f t="shared" si="29"/>
        <v>13591240.404439999</v>
      </c>
      <c r="CQ19" s="167">
        <v>4050</v>
      </c>
      <c r="CR19" s="166">
        <f t="shared" si="53"/>
        <v>12894390</v>
      </c>
      <c r="CS19" s="170">
        <f t="shared" si="30"/>
        <v>38.72054680162789</v>
      </c>
      <c r="CT19" s="166">
        <f t="shared" si="31"/>
        <v>123278.47690702288</v>
      </c>
      <c r="CU19" s="168">
        <v>5.0999999999999996</v>
      </c>
      <c r="CV19" s="166">
        <f t="shared" si="32"/>
        <v>16237.38</v>
      </c>
      <c r="CW19" s="170">
        <f t="shared" si="33"/>
        <v>28.025357403735786</v>
      </c>
      <c r="CX19" s="166">
        <f t="shared" si="34"/>
        <v>89227.132902013996</v>
      </c>
      <c r="CY19" s="171">
        <f t="shared" si="35"/>
        <v>4010.6960242095383</v>
      </c>
      <c r="CZ19" s="166">
        <f t="shared" si="36"/>
        <v>12769254.001878329</v>
      </c>
      <c r="DA19" s="170" t="str">
        <f t="shared" si="37"/>
        <v>G11</v>
      </c>
      <c r="DB19" s="171">
        <f t="shared" si="38"/>
        <v>3810.5077741834502</v>
      </c>
      <c r="DC19" s="166">
        <f t="shared" si="39"/>
        <v>12131894.65144527</v>
      </c>
      <c r="DD19" s="170">
        <f t="shared" si="54"/>
        <v>36.787865177919237</v>
      </c>
      <c r="DE19" s="221">
        <f t="shared" si="55"/>
        <v>117125.20515345928</v>
      </c>
      <c r="DF19" s="222">
        <f t="shared" si="56"/>
        <v>4.7368000000000006</v>
      </c>
      <c r="DG19" s="221">
        <f t="shared" si="57"/>
        <v>15081.023840000003</v>
      </c>
      <c r="DH19" s="172">
        <f t="shared" si="40"/>
        <v>-1</v>
      </c>
      <c r="DI19" s="173">
        <f t="shared" si="41"/>
        <v>960.69602420953834</v>
      </c>
      <c r="DJ19" s="174">
        <f t="shared" si="42"/>
        <v>-5</v>
      </c>
      <c r="DK19" s="175">
        <f t="shared" si="43"/>
        <v>1400</v>
      </c>
      <c r="DL19" s="176">
        <f t="shared" si="44"/>
        <v>-5</v>
      </c>
      <c r="DM19" s="175" t="e">
        <f t="shared" si="45"/>
        <v>#VALUE!</v>
      </c>
      <c r="DN19" s="177"/>
      <c r="DO19" s="178">
        <f t="shared" si="46"/>
        <v>-929.50777418345024</v>
      </c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80"/>
      <c r="EC19" s="181">
        <f t="shared" si="47"/>
        <v>-960.69602420953834</v>
      </c>
      <c r="EE19" s="181"/>
    </row>
    <row r="20" spans="1:135" s="182" customFormat="1" ht="45">
      <c r="A20" s="74">
        <v>25</v>
      </c>
      <c r="B20" s="74">
        <v>42</v>
      </c>
      <c r="C20" s="138">
        <v>45818</v>
      </c>
      <c r="D20" s="139">
        <v>151000844</v>
      </c>
      <c r="E20" s="138">
        <v>45813</v>
      </c>
      <c r="F20" s="138"/>
      <c r="G20" s="138"/>
      <c r="H20" s="140">
        <v>3962.15</v>
      </c>
      <c r="I20" s="141">
        <v>3962.15</v>
      </c>
      <c r="J20" s="142"/>
      <c r="K20" s="568"/>
      <c r="L20" s="337">
        <v>58</v>
      </c>
      <c r="M20" s="144"/>
      <c r="N20" s="144">
        <v>3962.15</v>
      </c>
      <c r="O20" s="522" t="s">
        <v>180</v>
      </c>
      <c r="P20" s="145" t="s">
        <v>69</v>
      </c>
      <c r="Q20" s="146" t="s">
        <v>50</v>
      </c>
      <c r="R20" s="145"/>
      <c r="S20" s="145" t="s">
        <v>181</v>
      </c>
      <c r="T20" s="145"/>
      <c r="U20" s="147" t="s">
        <v>182</v>
      </c>
      <c r="V20" s="147" t="s">
        <v>183</v>
      </c>
      <c r="W20" s="147">
        <v>4150</v>
      </c>
      <c r="X20" s="519">
        <v>4051.69</v>
      </c>
      <c r="Y20" s="148">
        <v>4051.69</v>
      </c>
      <c r="Z20" s="150" t="s">
        <v>241</v>
      </c>
      <c r="AA20" s="149">
        <v>1660</v>
      </c>
      <c r="AB20" s="150" t="s">
        <v>244</v>
      </c>
      <c r="AC20" s="151">
        <v>4051.69</v>
      </c>
      <c r="AD20" s="151">
        <v>12.41</v>
      </c>
      <c r="AE20" s="152">
        <f t="shared" si="0"/>
        <v>50281.472900000001</v>
      </c>
      <c r="AF20" s="151">
        <v>6.09</v>
      </c>
      <c r="AG20" s="152">
        <f t="shared" si="1"/>
        <v>24674.792099999999</v>
      </c>
      <c r="AH20" s="151">
        <v>38.880000000000003</v>
      </c>
      <c r="AI20" s="152">
        <f t="shared" si="2"/>
        <v>157529.7072</v>
      </c>
      <c r="AJ20" s="149">
        <v>4125</v>
      </c>
      <c r="AK20" s="152">
        <f>AJ20*$AC20</f>
        <v>16713221.25</v>
      </c>
      <c r="AL20" s="149"/>
      <c r="AM20" s="151">
        <v>6.44</v>
      </c>
      <c r="AN20" s="152">
        <f t="shared" si="3"/>
        <v>26092.883600000001</v>
      </c>
      <c r="AO20" s="151">
        <v>38.74</v>
      </c>
      <c r="AP20" s="152">
        <f t="shared" si="4"/>
        <v>156962.4706</v>
      </c>
      <c r="AQ20" s="149">
        <v>4110</v>
      </c>
      <c r="AR20" s="152">
        <f t="shared" si="48"/>
        <v>16284436.5</v>
      </c>
      <c r="AS20" s="149" t="s">
        <v>185</v>
      </c>
      <c r="AT20" s="149">
        <f t="shared" si="5"/>
        <v>3848</v>
      </c>
      <c r="AU20" s="152">
        <f>AT20*$AC20</f>
        <v>15590903.120000001</v>
      </c>
      <c r="AV20" s="149">
        <f t="shared" si="7"/>
        <v>36.270000000000003</v>
      </c>
      <c r="AW20" s="152">
        <f>AV20*$AC20</f>
        <v>146954.79630000002</v>
      </c>
      <c r="AX20" s="151">
        <f>$AD20-$AM20</f>
        <v>5.97</v>
      </c>
      <c r="AY20" s="152">
        <f>AX20*$AC20</f>
        <v>24188.5893</v>
      </c>
      <c r="AZ20" s="153">
        <v>3.7</v>
      </c>
      <c r="BA20" s="153">
        <v>7.2640000000000002</v>
      </c>
      <c r="BB20" s="153"/>
      <c r="BC20" s="154">
        <f t="shared" si="11"/>
        <v>10.695232000000001</v>
      </c>
      <c r="BD20" s="155" t="e">
        <f>BC20*#REF!</f>
        <v>#REF!</v>
      </c>
      <c r="BE20" s="156">
        <f>CD20</f>
        <v>3962.15</v>
      </c>
      <c r="BF20" s="157">
        <v>506</v>
      </c>
      <c r="BG20" s="157" t="s">
        <v>246</v>
      </c>
      <c r="BH20" s="156">
        <v>10.7</v>
      </c>
      <c r="BI20" s="158">
        <f t="shared" si="14"/>
        <v>42395.004999999997</v>
      </c>
      <c r="BJ20" s="156">
        <v>7.09</v>
      </c>
      <c r="BK20" s="158">
        <f t="shared" si="15"/>
        <v>28091.643499999998</v>
      </c>
      <c r="BL20" s="156">
        <v>42.75</v>
      </c>
      <c r="BM20" s="159">
        <f t="shared" si="16"/>
        <v>169381.91250000001</v>
      </c>
      <c r="BN20" s="157">
        <v>3412</v>
      </c>
      <c r="BO20" s="159">
        <f t="shared" si="17"/>
        <v>13518855.800000001</v>
      </c>
      <c r="BP20" s="160"/>
      <c r="BQ20" s="156">
        <v>6.72</v>
      </c>
      <c r="BR20" s="158">
        <f t="shared" si="18"/>
        <v>26625.648000000001</v>
      </c>
      <c r="BS20" s="156">
        <v>42.92</v>
      </c>
      <c r="BT20" s="159">
        <f t="shared" si="19"/>
        <v>170055.478</v>
      </c>
      <c r="BU20" s="157">
        <v>3426</v>
      </c>
      <c r="BV20" s="161">
        <f t="shared" si="49"/>
        <v>13574325.9</v>
      </c>
      <c r="BW20" s="157" t="s">
        <v>190</v>
      </c>
      <c r="BX20" s="157">
        <f t="shared" si="20"/>
        <v>3280</v>
      </c>
      <c r="BY20" s="161">
        <f t="shared" si="50"/>
        <v>12995852</v>
      </c>
      <c r="BZ20" s="157">
        <f t="shared" si="21"/>
        <v>41.09</v>
      </c>
      <c r="CA20" s="161">
        <f>BZ20*$BE20</f>
        <v>162804.74350000001</v>
      </c>
      <c r="CB20" s="156">
        <f t="shared" si="23"/>
        <v>3.9799999999999995</v>
      </c>
      <c r="CC20" s="161">
        <f>CB20*$BE20</f>
        <v>15769.356999999998</v>
      </c>
      <c r="CD20" s="162">
        <f t="shared" si="62"/>
        <v>3962.15</v>
      </c>
      <c r="CE20" s="163">
        <v>3.2</v>
      </c>
      <c r="CF20" s="164">
        <v>8.66</v>
      </c>
      <c r="CG20" s="165">
        <f>CE20+CF20*(1-CE20/100)</f>
        <v>11.582879999999999</v>
      </c>
      <c r="CH20" s="166" t="e">
        <f>CG20*#REF!</f>
        <v>#REF!</v>
      </c>
      <c r="CI20" s="167">
        <v>42.97</v>
      </c>
      <c r="CJ20" s="166">
        <f t="shared" si="52"/>
        <v>170253.58549999999</v>
      </c>
      <c r="CK20" s="168">
        <v>3.64</v>
      </c>
      <c r="CL20" s="166">
        <f t="shared" si="26"/>
        <v>14422.226000000001</v>
      </c>
      <c r="CM20" s="167">
        <v>28.36</v>
      </c>
      <c r="CN20" s="166">
        <f t="shared" si="27"/>
        <v>112366.57399999999</v>
      </c>
      <c r="CO20" s="169">
        <f t="shared" si="28"/>
        <v>3981.8148999999994</v>
      </c>
      <c r="CP20" s="166">
        <f t="shared" si="29"/>
        <v>15776547.906034999</v>
      </c>
      <c r="CQ20" s="167">
        <v>3501</v>
      </c>
      <c r="CR20" s="166">
        <f t="shared" si="53"/>
        <v>13871487.15</v>
      </c>
      <c r="CS20" s="170">
        <f t="shared" si="30"/>
        <v>42.764871315898709</v>
      </c>
      <c r="CT20" s="166">
        <f t="shared" si="31"/>
        <v>169440.83488428808</v>
      </c>
      <c r="CU20" s="168">
        <v>4.0999999999999996</v>
      </c>
      <c r="CV20" s="166" t="e">
        <f>CU20*#REF!</f>
        <v>#REF!</v>
      </c>
      <c r="CW20" s="170">
        <f t="shared" si="33"/>
        <v>28.22461602324616</v>
      </c>
      <c r="CX20" s="166" t="e">
        <f>CW20*#REF!</f>
        <v>#REF!</v>
      </c>
      <c r="CY20" s="171">
        <f t="shared" si="35"/>
        <v>3484.2870485678704</v>
      </c>
      <c r="CZ20" s="166" t="e">
        <f>CY20*#REF!</f>
        <v>#REF!</v>
      </c>
      <c r="DA20" s="170" t="str">
        <f t="shared" si="37"/>
        <v>G13</v>
      </c>
      <c r="DB20" s="171">
        <f t="shared" si="38"/>
        <v>3212.4152876712328</v>
      </c>
      <c r="DC20" s="166" t="e">
        <f>DB20*#REF!</f>
        <v>#REF!</v>
      </c>
      <c r="DD20" s="170">
        <f t="shared" si="54"/>
        <v>39.42801625570776</v>
      </c>
      <c r="DE20" s="221">
        <f t="shared" si="55"/>
        <v>156219.71460755251</v>
      </c>
      <c r="DF20" s="222">
        <f t="shared" si="56"/>
        <v>7.4828799999999998</v>
      </c>
      <c r="DG20" s="221">
        <f t="shared" si="57"/>
        <v>29648.292991999999</v>
      </c>
      <c r="DH20" s="172">
        <f t="shared" si="40"/>
        <v>-2</v>
      </c>
      <c r="DI20" s="173">
        <f t="shared" si="41"/>
        <v>58.287048567870443</v>
      </c>
      <c r="DJ20" s="174">
        <f t="shared" si="42"/>
        <v>-2</v>
      </c>
      <c r="DK20" s="175">
        <f t="shared" si="43"/>
        <v>684</v>
      </c>
      <c r="DL20" s="176">
        <f t="shared" si="44"/>
        <v>-2</v>
      </c>
      <c r="DM20" s="175">
        <f t="shared" si="45"/>
        <v>0</v>
      </c>
      <c r="DN20" s="177"/>
      <c r="DO20" s="178">
        <f t="shared" si="46"/>
        <v>67.584712328767182</v>
      </c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80"/>
      <c r="EC20" s="181">
        <f t="shared" si="47"/>
        <v>-58.287048567870443</v>
      </c>
      <c r="EE20" s="181"/>
    </row>
    <row r="21" spans="1:135" s="182" customFormat="1" ht="30">
      <c r="A21" s="74">
        <v>26</v>
      </c>
      <c r="B21" s="74">
        <v>44</v>
      </c>
      <c r="C21" s="138">
        <v>45818</v>
      </c>
      <c r="D21" s="139">
        <v>151001322</v>
      </c>
      <c r="E21" s="138">
        <v>45814</v>
      </c>
      <c r="F21" s="138"/>
      <c r="G21" s="138"/>
      <c r="H21" s="140">
        <v>3994.45</v>
      </c>
      <c r="I21" s="141">
        <v>3994.45</v>
      </c>
      <c r="J21" s="142"/>
      <c r="K21" s="568"/>
      <c r="L21" s="337">
        <v>58</v>
      </c>
      <c r="M21" s="144"/>
      <c r="N21" s="144">
        <v>3994.45</v>
      </c>
      <c r="O21" s="522" t="s">
        <v>180</v>
      </c>
      <c r="P21" s="145" t="s">
        <v>71</v>
      </c>
      <c r="Q21" s="146" t="s">
        <v>222</v>
      </c>
      <c r="R21" s="145"/>
      <c r="S21" s="145" t="s">
        <v>181</v>
      </c>
      <c r="T21" s="145"/>
      <c r="U21" s="147" t="s">
        <v>190</v>
      </c>
      <c r="V21" s="147" t="s">
        <v>194</v>
      </c>
      <c r="W21" s="147">
        <v>3550</v>
      </c>
      <c r="X21" s="519">
        <v>4034.02</v>
      </c>
      <c r="Y21" s="148">
        <v>4034.02</v>
      </c>
      <c r="Z21" s="150" t="s">
        <v>242</v>
      </c>
      <c r="AA21" s="149">
        <v>1662</v>
      </c>
      <c r="AB21" s="150" t="s">
        <v>244</v>
      </c>
      <c r="AC21" s="151">
        <v>4034.02</v>
      </c>
      <c r="AD21" s="151">
        <v>11.71</v>
      </c>
      <c r="AE21" s="152">
        <f t="shared" si="0"/>
        <v>47238.374200000006</v>
      </c>
      <c r="AF21" s="151">
        <v>6.73</v>
      </c>
      <c r="AG21" s="152">
        <f t="shared" si="1"/>
        <v>27148.954600000001</v>
      </c>
      <c r="AH21" s="151">
        <v>42.67</v>
      </c>
      <c r="AI21" s="152">
        <f t="shared" si="2"/>
        <v>172131.63340000002</v>
      </c>
      <c r="AJ21" s="149">
        <v>3539</v>
      </c>
      <c r="AK21" s="152">
        <f t="shared" si="58"/>
        <v>14276396.779999999</v>
      </c>
      <c r="AL21" s="149"/>
      <c r="AM21" s="151">
        <v>8.68</v>
      </c>
      <c r="AN21" s="152">
        <f t="shared" si="3"/>
        <v>35015.293599999997</v>
      </c>
      <c r="AO21" s="151">
        <v>41.78</v>
      </c>
      <c r="AP21" s="152">
        <f t="shared" si="4"/>
        <v>168541.35560000001</v>
      </c>
      <c r="AQ21" s="149">
        <v>3465</v>
      </c>
      <c r="AR21" s="152">
        <f t="shared" si="48"/>
        <v>13840769.25</v>
      </c>
      <c r="AS21" s="149" t="s">
        <v>190</v>
      </c>
      <c r="AT21" s="149">
        <f t="shared" si="5"/>
        <v>3350</v>
      </c>
      <c r="AU21" s="152">
        <f t="shared" ref="AU21" si="65">AT21*$AC21</f>
        <v>13513967</v>
      </c>
      <c r="AV21" s="149">
        <f t="shared" si="7"/>
        <v>40.39</v>
      </c>
      <c r="AW21" s="152">
        <f t="shared" ref="AW21" si="66">AV21*$AC21</f>
        <v>162934.06779999999</v>
      </c>
      <c r="AX21" s="151">
        <f t="shared" si="9"/>
        <v>3.0300000000000011</v>
      </c>
      <c r="AY21" s="152">
        <f t="shared" ref="AY21" si="67">AX21*$AC21</f>
        <v>12223.080600000005</v>
      </c>
      <c r="AZ21" s="153">
        <v>2.4</v>
      </c>
      <c r="BA21" s="153">
        <v>9.4689999999999994</v>
      </c>
      <c r="BB21" s="153"/>
      <c r="BC21" s="154">
        <f t="shared" si="11"/>
        <v>11.641743999999999</v>
      </c>
      <c r="BD21" s="155">
        <f t="shared" ref="BD21:BD62" si="68">BC21*$CD21</f>
        <v>46502.364320799992</v>
      </c>
      <c r="BE21" s="156">
        <f>CD21</f>
        <v>3994.45</v>
      </c>
      <c r="BF21" s="157">
        <v>507</v>
      </c>
      <c r="BG21" s="157" t="s">
        <v>246</v>
      </c>
      <c r="BH21" s="156">
        <v>11.64</v>
      </c>
      <c r="BI21" s="158">
        <f t="shared" si="14"/>
        <v>46495.398000000001</v>
      </c>
      <c r="BJ21" s="156">
        <v>6.83</v>
      </c>
      <c r="BK21" s="158">
        <f t="shared" si="15"/>
        <v>27282.093499999999</v>
      </c>
      <c r="BL21" s="156">
        <v>48.67</v>
      </c>
      <c r="BM21" s="159">
        <f t="shared" si="16"/>
        <v>194409.88149999999</v>
      </c>
      <c r="BN21" s="157">
        <v>3024</v>
      </c>
      <c r="BO21" s="159">
        <f t="shared" si="17"/>
        <v>12079216.799999999</v>
      </c>
      <c r="BP21" s="160"/>
      <c r="BQ21" s="156">
        <v>7</v>
      </c>
      <c r="BR21" s="158">
        <f t="shared" si="18"/>
        <v>27961.149999999998</v>
      </c>
      <c r="BS21" s="156">
        <v>48.58</v>
      </c>
      <c r="BT21" s="159">
        <f t="shared" si="19"/>
        <v>194050.38099999999</v>
      </c>
      <c r="BU21" s="157">
        <v>3018</v>
      </c>
      <c r="BV21" s="161">
        <f t="shared" si="49"/>
        <v>12055250.1</v>
      </c>
      <c r="BW21" s="157" t="s">
        <v>187</v>
      </c>
      <c r="BX21" s="157">
        <f t="shared" si="20"/>
        <v>2867</v>
      </c>
      <c r="BY21" s="161">
        <f t="shared" si="50"/>
        <v>11452088.15</v>
      </c>
      <c r="BZ21" s="157">
        <f t="shared" si="21"/>
        <v>46.16</v>
      </c>
      <c r="CA21" s="161">
        <f>BZ21*$BE21</f>
        <v>184383.81199999998</v>
      </c>
      <c r="CB21" s="156">
        <f t="shared" si="23"/>
        <v>4.6400000000000006</v>
      </c>
      <c r="CC21" s="161">
        <f>CB21*$BE21</f>
        <v>18534.248000000003</v>
      </c>
      <c r="CD21" s="162">
        <f t="shared" si="62"/>
        <v>3994.45</v>
      </c>
      <c r="CE21" s="163">
        <v>2.4</v>
      </c>
      <c r="CF21" s="164">
        <v>9.0500000000000007</v>
      </c>
      <c r="CG21" s="165">
        <f t="shared" si="51"/>
        <v>11.232800000000001</v>
      </c>
      <c r="CH21" s="166">
        <f t="shared" si="25"/>
        <v>44868.857960000001</v>
      </c>
      <c r="CI21" s="167">
        <v>48.41</v>
      </c>
      <c r="CJ21" s="166">
        <f t="shared" si="52"/>
        <v>193371.32449999999</v>
      </c>
      <c r="CK21" s="168">
        <v>5.03</v>
      </c>
      <c r="CL21" s="166">
        <f t="shared" si="26"/>
        <v>20092.083500000001</v>
      </c>
      <c r="CM21" s="167">
        <v>21.69</v>
      </c>
      <c r="CN21" s="166">
        <f t="shared" si="27"/>
        <v>86639.620500000005</v>
      </c>
      <c r="CO21" s="169">
        <f t="shared" si="28"/>
        <v>3267.5280999999995</v>
      </c>
      <c r="CP21" s="166">
        <f t="shared" si="29"/>
        <v>13051977.619044997</v>
      </c>
      <c r="CQ21" s="167">
        <v>3017</v>
      </c>
      <c r="CR21" s="166">
        <f t="shared" si="53"/>
        <v>12051255.65</v>
      </c>
      <c r="CS21" s="170">
        <f t="shared" si="30"/>
        <v>49.245973465304829</v>
      </c>
      <c r="CT21" s="166">
        <f t="shared" si="31"/>
        <v>196710.57870848686</v>
      </c>
      <c r="CU21" s="168">
        <v>3.39</v>
      </c>
      <c r="CV21" s="166">
        <f>CU21*$CD21</f>
        <v>13541.1855</v>
      </c>
      <c r="CW21" s="170">
        <f t="shared" si="33"/>
        <v>22.064556175634412</v>
      </c>
      <c r="CX21" s="166">
        <f>CW21*$CD21</f>
        <v>88135.766415762875</v>
      </c>
      <c r="CY21" s="171">
        <f t="shared" si="35"/>
        <v>3069.0993998104668</v>
      </c>
      <c r="CZ21" s="166">
        <f>CY21*$CD21</f>
        <v>12259364.097572919</v>
      </c>
      <c r="DA21" s="170" t="str">
        <f t="shared" si="37"/>
        <v>G15</v>
      </c>
      <c r="DB21" s="171">
        <f t="shared" si="38"/>
        <v>2819.9499041802678</v>
      </c>
      <c r="DC21" s="166">
        <f t="shared" ref="DC21:DC62" si="69">DB21*$CD21</f>
        <v>11264148.894752869</v>
      </c>
      <c r="DD21" s="170">
        <f t="shared" si="54"/>
        <v>45.248185237443401</v>
      </c>
      <c r="DE21" s="221">
        <f t="shared" si="55"/>
        <v>180741.61352170579</v>
      </c>
      <c r="DF21" s="222">
        <f t="shared" si="56"/>
        <v>7.8428000000000004</v>
      </c>
      <c r="DG21" s="221">
        <f t="shared" si="57"/>
        <v>31327.672460000002</v>
      </c>
      <c r="DH21" s="172">
        <f t="shared" si="40"/>
        <v>-2</v>
      </c>
      <c r="DI21" s="173">
        <f t="shared" si="41"/>
        <v>51.099399810466821</v>
      </c>
      <c r="DJ21" s="174">
        <f t="shared" si="42"/>
        <v>-2</v>
      </c>
      <c r="DK21" s="175">
        <f t="shared" si="43"/>
        <v>447</v>
      </c>
      <c r="DL21" s="176">
        <f t="shared" si="44"/>
        <v>-2</v>
      </c>
      <c r="DM21" s="175">
        <f t="shared" si="45"/>
        <v>0</v>
      </c>
      <c r="DN21" s="177"/>
      <c r="DO21" s="178">
        <f t="shared" si="46"/>
        <v>47.050095819732178</v>
      </c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80"/>
      <c r="EC21" s="181">
        <f t="shared" si="47"/>
        <v>-51.099399810466821</v>
      </c>
      <c r="EE21" s="181"/>
    </row>
    <row r="22" spans="1:135" s="182" customFormat="1" ht="45">
      <c r="A22" s="74">
        <v>27</v>
      </c>
      <c r="B22" s="74">
        <v>47</v>
      </c>
      <c r="C22" s="138">
        <v>45818</v>
      </c>
      <c r="D22" s="139">
        <v>161005915</v>
      </c>
      <c r="E22" s="138">
        <v>45817</v>
      </c>
      <c r="F22" s="138"/>
      <c r="G22" s="138"/>
      <c r="H22" s="140">
        <v>3967.6</v>
      </c>
      <c r="I22" s="141">
        <v>3967.6</v>
      </c>
      <c r="J22" s="142"/>
      <c r="K22" s="568"/>
      <c r="L22" s="337">
        <v>58</v>
      </c>
      <c r="M22" s="144"/>
      <c r="N22" s="144">
        <v>3967.6</v>
      </c>
      <c r="O22" s="522" t="s">
        <v>180</v>
      </c>
      <c r="P22" s="145" t="s">
        <v>69</v>
      </c>
      <c r="Q22" s="146" t="s">
        <v>50</v>
      </c>
      <c r="R22" s="145"/>
      <c r="S22" s="145" t="s">
        <v>181</v>
      </c>
      <c r="T22" s="145"/>
      <c r="U22" s="147" t="s">
        <v>182</v>
      </c>
      <c r="V22" s="147" t="s">
        <v>183</v>
      </c>
      <c r="W22" s="147">
        <v>4150</v>
      </c>
      <c r="X22" s="519">
        <v>4072.3</v>
      </c>
      <c r="Y22" s="148">
        <v>4072.3</v>
      </c>
      <c r="Z22" s="150" t="s">
        <v>262</v>
      </c>
      <c r="AA22" s="149">
        <v>1667</v>
      </c>
      <c r="AB22" s="150" t="s">
        <v>243</v>
      </c>
      <c r="AC22" s="151">
        <v>4072.3</v>
      </c>
      <c r="AD22" s="151">
        <v>11.94</v>
      </c>
      <c r="AE22" s="152">
        <f t="shared" si="0"/>
        <v>48623.262000000002</v>
      </c>
      <c r="AF22" s="151">
        <v>9.32</v>
      </c>
      <c r="AG22" s="152">
        <f t="shared" si="1"/>
        <v>37953.836000000003</v>
      </c>
      <c r="AH22" s="151">
        <v>28.87</v>
      </c>
      <c r="AI22" s="152">
        <f t="shared" si="2"/>
        <v>117567.30100000001</v>
      </c>
      <c r="AJ22" s="149">
        <v>4123</v>
      </c>
      <c r="AK22" s="152">
        <f>AJ22*$AC22</f>
        <v>16790092.900000002</v>
      </c>
      <c r="AL22" s="149"/>
      <c r="AM22" s="151">
        <v>8.92</v>
      </c>
      <c r="AN22" s="152">
        <f t="shared" si="3"/>
        <v>36324.916000000005</v>
      </c>
      <c r="AO22" s="151">
        <v>28.98</v>
      </c>
      <c r="AP22" s="152">
        <f t="shared" si="4"/>
        <v>118015.254</v>
      </c>
      <c r="AQ22" s="149">
        <v>4138</v>
      </c>
      <c r="AR22" s="152">
        <f t="shared" si="48"/>
        <v>16417928.799999999</v>
      </c>
      <c r="AS22" s="149" t="s">
        <v>185</v>
      </c>
      <c r="AT22" s="149">
        <f t="shared" si="5"/>
        <v>4001</v>
      </c>
      <c r="AU22" s="152">
        <f>AT22*$AC22</f>
        <v>16293272.300000001</v>
      </c>
      <c r="AV22" s="149">
        <f>ROUND(((100-AD22)/(100-AM22)*AO22),2)</f>
        <v>28.02</v>
      </c>
      <c r="AW22" s="152">
        <f>AV22*$AC22</f>
        <v>114105.84600000001</v>
      </c>
      <c r="AX22" s="151">
        <f>$AD22-$AM22</f>
        <v>3.0199999999999996</v>
      </c>
      <c r="AY22" s="152">
        <f>AX22*$AC22</f>
        <v>12298.346</v>
      </c>
      <c r="AZ22" s="153">
        <v>3.4</v>
      </c>
      <c r="BA22" s="153">
        <v>12.448</v>
      </c>
      <c r="BB22" s="153"/>
      <c r="BC22" s="154">
        <f t="shared" si="11"/>
        <v>15.424768</v>
      </c>
      <c r="BD22" s="155">
        <f t="shared" si="68"/>
        <v>61199.3095168</v>
      </c>
      <c r="BE22" s="156">
        <f>CD22</f>
        <v>3967.6</v>
      </c>
      <c r="BF22" s="157">
        <v>507</v>
      </c>
      <c r="BG22" s="157" t="s">
        <v>246</v>
      </c>
      <c r="BH22" s="156">
        <v>15.42</v>
      </c>
      <c r="BI22" s="158">
        <f t="shared" si="14"/>
        <v>61180.392</v>
      </c>
      <c r="BJ22" s="156">
        <v>6.45</v>
      </c>
      <c r="BK22" s="158">
        <f t="shared" si="15"/>
        <v>25591.02</v>
      </c>
      <c r="BL22" s="156">
        <v>49.55</v>
      </c>
      <c r="BM22" s="159">
        <f t="shared" si="16"/>
        <v>196594.58</v>
      </c>
      <c r="BN22" s="157">
        <v>2836</v>
      </c>
      <c r="BO22" s="159">
        <f t="shared" si="17"/>
        <v>11252113.6</v>
      </c>
      <c r="BP22" s="160"/>
      <c r="BQ22" s="156">
        <v>6.25</v>
      </c>
      <c r="BR22" s="158">
        <f t="shared" si="18"/>
        <v>24797.5</v>
      </c>
      <c r="BS22" s="156">
        <v>49.66</v>
      </c>
      <c r="BT22" s="159">
        <f t="shared" si="19"/>
        <v>197031.01599999997</v>
      </c>
      <c r="BU22" s="157">
        <v>2842</v>
      </c>
      <c r="BV22" s="161">
        <f t="shared" si="49"/>
        <v>11275919.199999999</v>
      </c>
      <c r="BW22" s="157" t="s">
        <v>187</v>
      </c>
      <c r="BX22" s="157">
        <f t="shared" si="20"/>
        <v>2564</v>
      </c>
      <c r="BY22" s="161">
        <f t="shared" si="50"/>
        <v>10172926.4</v>
      </c>
      <c r="BZ22" s="157">
        <f t="shared" si="21"/>
        <v>44.8</v>
      </c>
      <c r="CA22" s="161">
        <f>BZ22*$BE22</f>
        <v>177748.47999999998</v>
      </c>
      <c r="CB22" s="156">
        <f t="shared" si="23"/>
        <v>9.17</v>
      </c>
      <c r="CC22" s="161">
        <f>CB22*$BE22</f>
        <v>36382.892</v>
      </c>
      <c r="CD22" s="162">
        <f t="shared" si="62"/>
        <v>3967.6</v>
      </c>
      <c r="CE22" s="163">
        <v>3.7</v>
      </c>
      <c r="CF22" s="164">
        <v>7.08</v>
      </c>
      <c r="CG22" s="165">
        <f>CE22+CF22*(1-CE22/100)</f>
        <v>10.518039999999999</v>
      </c>
      <c r="CH22" s="166">
        <f>CG22*$CD22</f>
        <v>41731.375503999996</v>
      </c>
      <c r="CI22" s="167">
        <v>49.25</v>
      </c>
      <c r="CJ22" s="166">
        <f t="shared" si="52"/>
        <v>195404.3</v>
      </c>
      <c r="CK22" s="168">
        <v>4.45</v>
      </c>
      <c r="CL22" s="166">
        <f t="shared" si="26"/>
        <v>17655.82</v>
      </c>
      <c r="CM22" s="167">
        <v>22.19</v>
      </c>
      <c r="CN22" s="166">
        <f t="shared" si="27"/>
        <v>88041.044000000009</v>
      </c>
      <c r="CO22" s="169">
        <f t="shared" si="28"/>
        <v>3272.9004999999997</v>
      </c>
      <c r="CP22" s="166">
        <f t="shared" si="29"/>
        <v>12985560.023799999</v>
      </c>
      <c r="CQ22" s="167">
        <v>2883</v>
      </c>
      <c r="CR22" s="166">
        <f t="shared" si="53"/>
        <v>11438590.799999999</v>
      </c>
      <c r="CS22" s="170">
        <f t="shared" si="30"/>
        <v>49.554107796964949</v>
      </c>
      <c r="CT22" s="166">
        <f t="shared" si="31"/>
        <v>196610.87809523812</v>
      </c>
      <c r="CU22" s="168">
        <v>3.86</v>
      </c>
      <c r="CV22" s="166">
        <f>CU22*$CD22</f>
        <v>15314.936</v>
      </c>
      <c r="CW22" s="170">
        <f>((100-CU22)/(100-CK22))*CM22</f>
        <v>22.327018315018318</v>
      </c>
      <c r="CX22" s="166">
        <f>CW22*$CD22</f>
        <v>88584.67786666668</v>
      </c>
      <c r="CY22" s="171">
        <f>((100-CU22)/(100-CK22))*CQ22</f>
        <v>2900.8018838304556</v>
      </c>
      <c r="CZ22" s="166">
        <f>CY22*$CD22</f>
        <v>11509221.554285716</v>
      </c>
      <c r="DA22" s="170" t="str">
        <f>IF(CY22&gt;=7000,"G1",IF(CY22&gt;=6700,"G2",IF(CY22&gt;=6400,"G3",IF(CY22&gt;=6100,"G4",IF(CY22&gt;=5800,"G5",IF(CY22&gt;=5500,"G6",IF(CY22&gt;=5200,"G7",IF(CY22&gt;=4900,"G8",IF(CY22&gt;=4600,"G9",IF(CY22&gt;=4300,"G10",IF(CY22&gt;=4000,"G11",IF(CY22&gt;=3700,"G12",IF(CY22&gt;=3400,"G13",IF(CY22&gt;=3100,"G14",IF(CY22&gt;=2800,"G15",IF(CY22&gt;=2500,"G16",IF(CY22&gt;=2200,"G17")))))))))))))))))</f>
        <v>G15</v>
      </c>
      <c r="DB22" s="171">
        <f t="shared" si="38"/>
        <v>2699.9109437990583</v>
      </c>
      <c r="DC22" s="166">
        <f t="shared" si="69"/>
        <v>10712166.660617143</v>
      </c>
      <c r="DD22" s="170">
        <f t="shared" si="54"/>
        <v>46.122308006279439</v>
      </c>
      <c r="DE22" s="221">
        <f t="shared" si="55"/>
        <v>182994.8692457143</v>
      </c>
      <c r="DF22" s="222">
        <f t="shared" si="56"/>
        <v>6.6580399999999997</v>
      </c>
      <c r="DG22" s="221">
        <f t="shared" si="57"/>
        <v>26416.439503999998</v>
      </c>
      <c r="DH22" s="172">
        <f t="shared" si="40"/>
        <v>-4</v>
      </c>
      <c r="DI22" s="173">
        <f t="shared" si="41"/>
        <v>58.801883830455608</v>
      </c>
      <c r="DJ22" s="174">
        <f t="shared" si="42"/>
        <v>-4</v>
      </c>
      <c r="DK22" s="175">
        <f t="shared" si="43"/>
        <v>1296</v>
      </c>
      <c r="DL22" s="176">
        <f t="shared" si="44"/>
        <v>-4</v>
      </c>
      <c r="DM22" s="175">
        <f t="shared" si="45"/>
        <v>0</v>
      </c>
      <c r="DN22" s="177"/>
      <c r="DO22" s="178">
        <f t="shared" si="46"/>
        <v>-135.91094379905826</v>
      </c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80"/>
      <c r="EC22" s="181">
        <f t="shared" si="47"/>
        <v>-58.801883830455608</v>
      </c>
      <c r="EE22" s="181"/>
    </row>
    <row r="23" spans="1:135" s="182" customFormat="1" ht="31.5">
      <c r="A23" s="74">
        <v>28</v>
      </c>
      <c r="B23" s="74">
        <v>49</v>
      </c>
      <c r="C23" s="138">
        <v>45819</v>
      </c>
      <c r="D23" s="139">
        <v>162000378</v>
      </c>
      <c r="E23" s="138">
        <v>45817</v>
      </c>
      <c r="F23" s="614" t="s">
        <v>262</v>
      </c>
      <c r="G23" s="614" t="s">
        <v>262</v>
      </c>
      <c r="H23" s="140">
        <v>3916.25</v>
      </c>
      <c r="I23" s="141">
        <v>3916.25</v>
      </c>
      <c r="J23" s="142"/>
      <c r="K23" s="568"/>
      <c r="L23" s="337">
        <v>59</v>
      </c>
      <c r="M23" s="144"/>
      <c r="N23" s="144">
        <v>3916.25</v>
      </c>
      <c r="O23" s="522" t="s">
        <v>180</v>
      </c>
      <c r="P23" s="145" t="s">
        <v>68</v>
      </c>
      <c r="Q23" s="146" t="s">
        <v>63</v>
      </c>
      <c r="R23" s="145"/>
      <c r="S23" s="145" t="s">
        <v>181</v>
      </c>
      <c r="T23" s="145"/>
      <c r="U23" s="147" t="s">
        <v>188</v>
      </c>
      <c r="V23" s="147" t="s">
        <v>189</v>
      </c>
      <c r="W23" s="147">
        <v>4450</v>
      </c>
      <c r="X23" s="519">
        <v>4060.44</v>
      </c>
      <c r="Y23" s="148">
        <v>4060.44</v>
      </c>
      <c r="Z23" s="150" t="s">
        <v>262</v>
      </c>
      <c r="AA23" s="149">
        <v>1666</v>
      </c>
      <c r="AB23" s="150" t="s">
        <v>243</v>
      </c>
      <c r="AC23" s="151">
        <v>4060.44</v>
      </c>
      <c r="AD23" s="151">
        <v>12.24</v>
      </c>
      <c r="AE23" s="152">
        <f t="shared" si="0"/>
        <v>49699.785600000003</v>
      </c>
      <c r="AF23" s="151">
        <v>7.12</v>
      </c>
      <c r="AG23" s="152">
        <f t="shared" si="1"/>
        <v>28910.3328</v>
      </c>
      <c r="AH23" s="151">
        <v>33.46</v>
      </c>
      <c r="AI23" s="152">
        <f t="shared" si="2"/>
        <v>135862.3224</v>
      </c>
      <c r="AJ23" s="149">
        <v>4143</v>
      </c>
      <c r="AK23" s="152">
        <f t="shared" ref="AK23:AK40" si="70">AJ23*$AC23</f>
        <v>16822402.920000002</v>
      </c>
      <c r="AL23" s="149"/>
      <c r="AM23" s="151">
        <v>7.42</v>
      </c>
      <c r="AN23" s="152">
        <f t="shared" si="3"/>
        <v>30128.464800000002</v>
      </c>
      <c r="AO23" s="151">
        <v>33.25</v>
      </c>
      <c r="AP23" s="152">
        <f t="shared" si="4"/>
        <v>135009.63</v>
      </c>
      <c r="AQ23" s="149">
        <v>4130</v>
      </c>
      <c r="AR23" s="152">
        <f t="shared" si="48"/>
        <v>16174112.5</v>
      </c>
      <c r="AS23" s="149" t="s">
        <v>185</v>
      </c>
      <c r="AT23" s="149">
        <f t="shared" si="5"/>
        <v>3915</v>
      </c>
      <c r="AU23" s="152">
        <f t="shared" ref="AU23:AU62" si="71">AT23*$AC23</f>
        <v>15896622.6</v>
      </c>
      <c r="AV23" s="149">
        <f t="shared" ref="AV23:AV36" si="72">ROUND(((100-AD23)/(100-AM23)*AO23),2)</f>
        <v>31.52</v>
      </c>
      <c r="AW23" s="152">
        <f t="shared" ref="AW23:AW62" si="73">AV23*$AC23</f>
        <v>127985.06879999999</v>
      </c>
      <c r="AX23" s="151">
        <f t="shared" si="9"/>
        <v>4.82</v>
      </c>
      <c r="AY23" s="152">
        <f t="shared" ref="AY23:AY62" si="74">AX23*$AC23</f>
        <v>19571.320800000001</v>
      </c>
      <c r="AZ23" s="153">
        <v>4.0999999999999996</v>
      </c>
      <c r="BA23" s="153">
        <v>7.8390000000000004</v>
      </c>
      <c r="BB23" s="153"/>
      <c r="BC23" s="154">
        <f t="shared" si="11"/>
        <v>11.617601000000001</v>
      </c>
      <c r="BD23" s="155">
        <f t="shared" si="68"/>
        <v>45497.429916250003</v>
      </c>
      <c r="BE23" s="156">
        <v>3916.25</v>
      </c>
      <c r="BF23" s="157">
        <v>508</v>
      </c>
      <c r="BG23" s="157" t="s">
        <v>243</v>
      </c>
      <c r="BH23" s="156">
        <v>11.62</v>
      </c>
      <c r="BI23" s="158">
        <f t="shared" si="14"/>
        <v>45506.824999999997</v>
      </c>
      <c r="BJ23" s="156">
        <v>8.5</v>
      </c>
      <c r="BK23" s="158">
        <f t="shared" si="15"/>
        <v>33288.125</v>
      </c>
      <c r="BL23" s="156">
        <v>43.85</v>
      </c>
      <c r="BM23" s="159">
        <f t="shared" si="16"/>
        <v>171727.5625</v>
      </c>
      <c r="BN23" s="157">
        <v>3228</v>
      </c>
      <c r="BO23" s="159">
        <f t="shared" si="17"/>
        <v>12641655</v>
      </c>
      <c r="BP23" s="160"/>
      <c r="BQ23" s="156">
        <v>7.91</v>
      </c>
      <c r="BR23" s="158">
        <f t="shared" si="18"/>
        <v>30977.537500000002</v>
      </c>
      <c r="BS23" s="156">
        <v>44.13</v>
      </c>
      <c r="BT23" s="159">
        <f t="shared" si="19"/>
        <v>172824.11250000002</v>
      </c>
      <c r="BU23" s="157">
        <v>3249</v>
      </c>
      <c r="BV23" s="161">
        <f t="shared" si="49"/>
        <v>12723896.25</v>
      </c>
      <c r="BW23" s="157" t="s">
        <v>193</v>
      </c>
      <c r="BX23" s="157">
        <f t="shared" si="20"/>
        <v>3118</v>
      </c>
      <c r="BY23" s="161">
        <f t="shared" si="50"/>
        <v>12210867.5</v>
      </c>
      <c r="BZ23" s="157">
        <f t="shared" si="21"/>
        <v>42.35</v>
      </c>
      <c r="CA23" s="161">
        <f t="shared" ref="CA23:CA62" si="75">BZ23*$BE23</f>
        <v>165853.1875</v>
      </c>
      <c r="CB23" s="156">
        <f t="shared" si="23"/>
        <v>3.7099999999999991</v>
      </c>
      <c r="CC23" s="161">
        <f t="shared" ref="CC23:CC34" si="76">CB23*$BE23</f>
        <v>14529.287499999997</v>
      </c>
      <c r="CD23" s="162">
        <f t="shared" si="62"/>
        <v>3916.25</v>
      </c>
      <c r="CE23" s="163">
        <v>4.0999999999999996</v>
      </c>
      <c r="CF23" s="164">
        <v>7.84</v>
      </c>
      <c r="CG23" s="165">
        <f t="shared" si="51"/>
        <v>11.618559999999999</v>
      </c>
      <c r="CH23" s="166">
        <f t="shared" si="25"/>
        <v>45501.185599999997</v>
      </c>
      <c r="CI23" s="167">
        <v>44.83</v>
      </c>
      <c r="CJ23" s="166">
        <f>CI23*$CD23</f>
        <v>175565.48749999999</v>
      </c>
      <c r="CK23" s="168">
        <v>5.52</v>
      </c>
      <c r="CL23" s="166">
        <f t="shared" si="26"/>
        <v>21617.699999999997</v>
      </c>
      <c r="CM23" s="167">
        <v>24.72</v>
      </c>
      <c r="CN23" s="166">
        <f t="shared" si="27"/>
        <v>96809.7</v>
      </c>
      <c r="CO23" s="169">
        <f t="shared" si="28"/>
        <v>3533.1175000000003</v>
      </c>
      <c r="CP23" s="166">
        <f t="shared" si="29"/>
        <v>13836571.409375001</v>
      </c>
      <c r="CQ23" s="167">
        <v>3299</v>
      </c>
      <c r="CR23" s="166">
        <f>CQ23*$CD23</f>
        <v>12919708.75</v>
      </c>
      <c r="CS23" s="170">
        <f t="shared" si="30"/>
        <v>44.137241744284495</v>
      </c>
      <c r="CT23" s="166">
        <f t="shared" si="31"/>
        <v>172852.47298105416</v>
      </c>
      <c r="CU23" s="168">
        <v>6.98</v>
      </c>
      <c r="CV23" s="166">
        <f t="shared" ref="CV23:CV62" si="77">CU23*$CD23</f>
        <v>27335.425000000003</v>
      </c>
      <c r="CW23" s="170">
        <f t="shared" ref="CW23:CW62" si="78">((100-CU23)/(100-CK23))*CM23</f>
        <v>24.338001693480098</v>
      </c>
      <c r="CX23" s="166">
        <f t="shared" ref="CX23:CX62" si="79">CW23*$CD23</f>
        <v>95313.699132091439</v>
      </c>
      <c r="CY23" s="171">
        <f t="shared" ref="CY23:CY62" si="80">((100-CU23)/(100-CK23))*CQ23</f>
        <v>3248.0205334462316</v>
      </c>
      <c r="CZ23" s="166">
        <f t="shared" ref="CZ23:CZ62" si="81">CY23*$CD23</f>
        <v>12720060.414108805</v>
      </c>
      <c r="DA23" s="170" t="str">
        <f t="shared" ref="DA23:DA24" si="82">IF(CY23&gt;=7000,"G1",IF(CY23&gt;=6700,"G2",IF(CY23&gt;=6400,"G3",IF(CY23&gt;=6100,"G4",IF(CY23&gt;=5800,"G5",IF(CY23&gt;=5500,"G6",IF(CY23&gt;=5200,"G7",IF(CY23&gt;=4900,"G8",IF(CY23&gt;=4600,"G9",IF(CY23&gt;=4300,"G10",IF(CY23&gt;=4000,"G11",IF(CY23&gt;=3700,"G12",IF(CY23&gt;=3400,"G13",IF(CY23&gt;=3100,"G14",IF(CY23&gt;=2800,"G15",IF(CY23&gt;=2500,"G16",IF(CY23&gt;=2200,"G17")))))))))))))))))</f>
        <v>G14</v>
      </c>
      <c r="DB23" s="171">
        <f>((100-CG23)/(100-CK23))*CQ23</f>
        <v>3086.0538797629124</v>
      </c>
      <c r="DC23" s="166">
        <f t="shared" si="69"/>
        <v>12085758.506621506</v>
      </c>
      <c r="DD23" s="170">
        <f t="shared" si="54"/>
        <v>41.936282337002538</v>
      </c>
      <c r="DE23" s="221">
        <f t="shared" si="55"/>
        <v>164232.96570228619</v>
      </c>
      <c r="DF23" s="222">
        <f t="shared" si="56"/>
        <v>4.6385599999999982</v>
      </c>
      <c r="DG23" s="221">
        <f t="shared" si="57"/>
        <v>18165.760599999994</v>
      </c>
      <c r="DH23" s="172">
        <f t="shared" si="40"/>
        <v>-4</v>
      </c>
      <c r="DI23" s="173">
        <f t="shared" si="41"/>
        <v>-0.97946655376836134</v>
      </c>
      <c r="DJ23" s="174">
        <f t="shared" si="42"/>
        <v>-4</v>
      </c>
      <c r="DK23" s="175">
        <f t="shared" si="43"/>
        <v>881</v>
      </c>
      <c r="DL23" s="176">
        <f t="shared" si="44"/>
        <v>-4</v>
      </c>
      <c r="DM23" s="175">
        <f t="shared" si="45"/>
        <v>-1</v>
      </c>
      <c r="DN23" s="177"/>
      <c r="DO23" s="178">
        <f t="shared" si="46"/>
        <v>31.946120237087598</v>
      </c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80"/>
      <c r="EC23" s="181">
        <f t="shared" si="47"/>
        <v>0.97946655376836134</v>
      </c>
      <c r="EE23" s="181"/>
    </row>
    <row r="24" spans="1:135" s="182" customFormat="1" ht="30">
      <c r="A24" s="74">
        <v>29</v>
      </c>
      <c r="B24" s="74">
        <v>51</v>
      </c>
      <c r="C24" s="138">
        <v>45819</v>
      </c>
      <c r="D24" s="139">
        <v>161016413</v>
      </c>
      <c r="E24" s="138">
        <v>45818</v>
      </c>
      <c r="F24" s="138"/>
      <c r="G24" s="138"/>
      <c r="H24" s="140">
        <v>3930.4</v>
      </c>
      <c r="I24" s="141">
        <v>3930.4</v>
      </c>
      <c r="J24" s="142"/>
      <c r="K24" s="568"/>
      <c r="L24" s="337">
        <v>58</v>
      </c>
      <c r="M24" s="144"/>
      <c r="N24" s="144">
        <v>3930.4</v>
      </c>
      <c r="O24" s="522" t="s">
        <v>180</v>
      </c>
      <c r="P24" s="145" t="s">
        <v>71</v>
      </c>
      <c r="Q24" s="146" t="s">
        <v>52</v>
      </c>
      <c r="R24" s="145"/>
      <c r="S24" s="145" t="s">
        <v>181</v>
      </c>
      <c r="T24" s="145"/>
      <c r="U24" s="147" t="s">
        <v>188</v>
      </c>
      <c r="V24" s="147" t="s">
        <v>189</v>
      </c>
      <c r="W24" s="147">
        <v>4450</v>
      </c>
      <c r="X24" s="519">
        <v>3974.14</v>
      </c>
      <c r="Y24" s="148">
        <v>3974.14</v>
      </c>
      <c r="Z24" s="150"/>
      <c r="AA24" s="149"/>
      <c r="AB24" s="150"/>
      <c r="AC24" s="151"/>
      <c r="AD24" s="151"/>
      <c r="AE24" s="152">
        <f t="shared" si="0"/>
        <v>0</v>
      </c>
      <c r="AF24" s="151"/>
      <c r="AG24" s="152">
        <f t="shared" si="1"/>
        <v>0</v>
      </c>
      <c r="AH24" s="151"/>
      <c r="AI24" s="152">
        <f t="shared" si="2"/>
        <v>0</v>
      </c>
      <c r="AJ24" s="149"/>
      <c r="AK24" s="152">
        <f t="shared" si="70"/>
        <v>0</v>
      </c>
      <c r="AL24" s="149"/>
      <c r="AM24" s="151"/>
      <c r="AN24" s="152">
        <f t="shared" si="3"/>
        <v>0</v>
      </c>
      <c r="AO24" s="151"/>
      <c r="AP24" s="152">
        <f t="shared" si="4"/>
        <v>0</v>
      </c>
      <c r="AQ24" s="174">
        <f>W24</f>
        <v>4450</v>
      </c>
      <c r="AR24" s="152">
        <f t="shared" si="48"/>
        <v>17490280</v>
      </c>
      <c r="AS24" s="149"/>
      <c r="AT24" s="149">
        <f t="shared" si="5"/>
        <v>4450</v>
      </c>
      <c r="AU24" s="152">
        <f t="shared" si="71"/>
        <v>0</v>
      </c>
      <c r="AV24" s="149">
        <f t="shared" si="72"/>
        <v>0</v>
      </c>
      <c r="AW24" s="152">
        <f t="shared" si="73"/>
        <v>0</v>
      </c>
      <c r="AX24" s="151">
        <f t="shared" si="9"/>
        <v>0</v>
      </c>
      <c r="AY24" s="152">
        <f t="shared" si="74"/>
        <v>0</v>
      </c>
      <c r="AZ24" s="153">
        <v>6.2</v>
      </c>
      <c r="BA24" s="153">
        <v>3.6819999999999999</v>
      </c>
      <c r="BB24" s="153"/>
      <c r="BC24" s="154">
        <f t="shared" si="11"/>
        <v>9.6537159999999993</v>
      </c>
      <c r="BD24" s="155">
        <f t="shared" si="68"/>
        <v>37942.9653664</v>
      </c>
      <c r="BE24" s="156">
        <f>CD24</f>
        <v>3930.4</v>
      </c>
      <c r="BF24" s="157">
        <v>508</v>
      </c>
      <c r="BG24" s="157" t="s">
        <v>243</v>
      </c>
      <c r="BH24" s="156">
        <v>12.47</v>
      </c>
      <c r="BI24" s="158">
        <f t="shared" si="14"/>
        <v>49012.088000000003</v>
      </c>
      <c r="BJ24" s="156">
        <v>8.4499999999999993</v>
      </c>
      <c r="BK24" s="158">
        <f t="shared" si="15"/>
        <v>33211.879999999997</v>
      </c>
      <c r="BL24" s="156">
        <v>45.82</v>
      </c>
      <c r="BM24" s="159">
        <f t="shared" si="16"/>
        <v>180090.92800000001</v>
      </c>
      <c r="BN24" s="157">
        <v>3170</v>
      </c>
      <c r="BO24" s="159">
        <f t="shared" si="17"/>
        <v>12459368</v>
      </c>
      <c r="BP24" s="160"/>
      <c r="BQ24" s="156">
        <v>7.61</v>
      </c>
      <c r="BR24" s="158">
        <f t="shared" si="18"/>
        <v>29910.344000000001</v>
      </c>
      <c r="BS24" s="156">
        <v>46.24</v>
      </c>
      <c r="BT24" s="159">
        <f t="shared" si="19"/>
        <v>181741.69600000003</v>
      </c>
      <c r="BU24" s="157">
        <v>3199</v>
      </c>
      <c r="BV24" s="161">
        <f t="shared" si="49"/>
        <v>12573349.6</v>
      </c>
      <c r="BW24" s="157" t="s">
        <v>193</v>
      </c>
      <c r="BX24" s="157">
        <f t="shared" si="20"/>
        <v>3031</v>
      </c>
      <c r="BY24" s="161">
        <f t="shared" si="50"/>
        <v>11913042.4</v>
      </c>
      <c r="BZ24" s="157">
        <f t="shared" si="21"/>
        <v>43.81</v>
      </c>
      <c r="CA24" s="161">
        <f t="shared" si="75"/>
        <v>172190.82400000002</v>
      </c>
      <c r="CB24" s="156">
        <f t="shared" si="23"/>
        <v>4.8600000000000003</v>
      </c>
      <c r="CC24" s="161">
        <f t="shared" si="76"/>
        <v>19101.744000000002</v>
      </c>
      <c r="CD24" s="162">
        <f t="shared" si="62"/>
        <v>3930.4</v>
      </c>
      <c r="CE24" s="163">
        <v>6.2</v>
      </c>
      <c r="CF24" s="164">
        <v>6.68</v>
      </c>
      <c r="CG24" s="165">
        <f t="shared" si="51"/>
        <v>12.46584</v>
      </c>
      <c r="CH24" s="166">
        <f t="shared" si="25"/>
        <v>48995.737536000001</v>
      </c>
      <c r="CI24" s="167">
        <v>46.02</v>
      </c>
      <c r="CJ24" s="166">
        <f t="shared" si="52"/>
        <v>180877.00800000003</v>
      </c>
      <c r="CK24" s="168">
        <v>5.6</v>
      </c>
      <c r="CL24" s="166">
        <f t="shared" si="26"/>
        <v>22010.239999999998</v>
      </c>
      <c r="CM24" s="167">
        <v>23.49</v>
      </c>
      <c r="CN24" s="166">
        <f t="shared" si="27"/>
        <v>92325.09599999999</v>
      </c>
      <c r="CO24" s="169">
        <f t="shared" si="28"/>
        <v>3409.4817999999996</v>
      </c>
      <c r="CP24" s="166">
        <f t="shared" si="29"/>
        <v>13400627.266719999</v>
      </c>
      <c r="CQ24" s="167">
        <v>3255</v>
      </c>
      <c r="CR24" s="166">
        <f t="shared" si="53"/>
        <v>12793452</v>
      </c>
      <c r="CS24" s="170">
        <f t="shared" si="30"/>
        <v>45.196124999999995</v>
      </c>
      <c r="CT24" s="166">
        <f t="shared" si="31"/>
        <v>177638.84969999999</v>
      </c>
      <c r="CU24" s="168">
        <v>7.29</v>
      </c>
      <c r="CV24" s="166">
        <f t="shared" si="77"/>
        <v>28652.616000000002</v>
      </c>
      <c r="CW24" s="170">
        <f t="shared" si="78"/>
        <v>23.069469279661014</v>
      </c>
      <c r="CX24" s="166">
        <f t="shared" si="79"/>
        <v>90672.242056779651</v>
      </c>
      <c r="CY24" s="171">
        <f t="shared" si="80"/>
        <v>3196.7272245762706</v>
      </c>
      <c r="CZ24" s="166">
        <f t="shared" si="81"/>
        <v>12564416.683474574</v>
      </c>
      <c r="DA24" s="170" t="str">
        <f t="shared" si="82"/>
        <v>G14</v>
      </c>
      <c r="DB24" s="171">
        <f t="shared" si="38"/>
        <v>3018.2594364406777</v>
      </c>
      <c r="DC24" s="166">
        <f t="shared" si="69"/>
        <v>11862966.88898644</v>
      </c>
      <c r="DD24" s="170">
        <f t="shared" si="54"/>
        <v>42.672902999999998</v>
      </c>
      <c r="DE24" s="221">
        <f t="shared" si="55"/>
        <v>167721.57795119999</v>
      </c>
      <c r="DF24" s="222">
        <f t="shared" si="56"/>
        <v>5.17584</v>
      </c>
      <c r="DG24" s="221">
        <f t="shared" si="57"/>
        <v>20343.121535999999</v>
      </c>
      <c r="DH24" s="172">
        <f t="shared" si="40"/>
        <v>-4</v>
      </c>
      <c r="DI24" s="173"/>
      <c r="DJ24" s="174"/>
      <c r="DK24" s="175"/>
      <c r="DL24" s="176"/>
      <c r="DM24" s="175"/>
      <c r="DN24" s="177"/>
      <c r="DO24" s="178">
        <f t="shared" si="46"/>
        <v>12.740563559322254</v>
      </c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80"/>
      <c r="EC24" s="181">
        <f t="shared" si="47"/>
        <v>2.2727754237293993</v>
      </c>
      <c r="EE24" s="181"/>
    </row>
    <row r="25" spans="1:135" s="182" customFormat="1" ht="30">
      <c r="A25" s="74">
        <v>30</v>
      </c>
      <c r="B25" s="74">
        <v>53</v>
      </c>
      <c r="C25" s="138">
        <v>45820</v>
      </c>
      <c r="D25" s="139">
        <v>161016411</v>
      </c>
      <c r="E25" s="138">
        <v>45817</v>
      </c>
      <c r="F25" s="138"/>
      <c r="G25" s="138"/>
      <c r="H25" s="140">
        <v>3943.1</v>
      </c>
      <c r="I25" s="141">
        <v>3943.1</v>
      </c>
      <c r="J25" s="142"/>
      <c r="K25" s="568"/>
      <c r="L25" s="337">
        <v>58</v>
      </c>
      <c r="M25" s="144"/>
      <c r="N25" s="144">
        <v>3943.1</v>
      </c>
      <c r="O25" s="522" t="s">
        <v>180</v>
      </c>
      <c r="P25" s="145" t="s">
        <v>71</v>
      </c>
      <c r="Q25" s="146" t="s">
        <v>52</v>
      </c>
      <c r="R25" s="145"/>
      <c r="S25" s="145" t="s">
        <v>181</v>
      </c>
      <c r="T25" s="145"/>
      <c r="U25" s="147" t="s">
        <v>190</v>
      </c>
      <c r="V25" s="147" t="s">
        <v>194</v>
      </c>
      <c r="W25" s="147">
        <v>3550</v>
      </c>
      <c r="X25" s="519">
        <v>3965.75</v>
      </c>
      <c r="Y25" s="148">
        <v>3965.75</v>
      </c>
      <c r="Z25" s="150" t="s">
        <v>262</v>
      </c>
      <c r="AA25" s="149">
        <v>1672</v>
      </c>
      <c r="AB25" s="150" t="s">
        <v>243</v>
      </c>
      <c r="AC25" s="151">
        <v>3965.75</v>
      </c>
      <c r="AD25" s="151">
        <v>11.38</v>
      </c>
      <c r="AE25" s="152">
        <f t="shared" si="0"/>
        <v>45130.235000000001</v>
      </c>
      <c r="AF25" s="151">
        <v>7.7</v>
      </c>
      <c r="AG25" s="152">
        <f t="shared" si="1"/>
        <v>30536.275000000001</v>
      </c>
      <c r="AH25" s="151">
        <v>37.020000000000003</v>
      </c>
      <c r="AI25" s="152">
        <f t="shared" si="2"/>
        <v>146812.065</v>
      </c>
      <c r="AJ25" s="149">
        <v>3812</v>
      </c>
      <c r="AK25" s="152">
        <f t="shared" si="70"/>
        <v>15117439</v>
      </c>
      <c r="AL25" s="149"/>
      <c r="AM25" s="151">
        <v>7.55</v>
      </c>
      <c r="AN25" s="152">
        <f t="shared" si="3"/>
        <v>29941.412499999999</v>
      </c>
      <c r="AO25" s="151">
        <v>37.08</v>
      </c>
      <c r="AP25" s="152">
        <f t="shared" si="4"/>
        <v>147050.00999999998</v>
      </c>
      <c r="AQ25" s="149">
        <v>3818</v>
      </c>
      <c r="AR25" s="152">
        <f t="shared" si="48"/>
        <v>15054755.799999999</v>
      </c>
      <c r="AS25" s="149" t="s">
        <v>184</v>
      </c>
      <c r="AT25" s="149">
        <f t="shared" si="5"/>
        <v>3660</v>
      </c>
      <c r="AU25" s="152">
        <f t="shared" si="71"/>
        <v>14514645</v>
      </c>
      <c r="AV25" s="149">
        <f t="shared" si="72"/>
        <v>35.54</v>
      </c>
      <c r="AW25" s="152">
        <f t="shared" si="73"/>
        <v>140942.755</v>
      </c>
      <c r="AX25" s="151">
        <f t="shared" si="9"/>
        <v>3.830000000000001</v>
      </c>
      <c r="AY25" s="152">
        <f t="shared" si="74"/>
        <v>15188.822500000004</v>
      </c>
      <c r="AZ25" s="153">
        <v>5.9</v>
      </c>
      <c r="BA25" s="153">
        <v>7.5579999999999998</v>
      </c>
      <c r="BB25" s="153"/>
      <c r="BC25" s="154">
        <f t="shared" si="11"/>
        <v>13.012077999999999</v>
      </c>
      <c r="BD25" s="155">
        <f t="shared" si="68"/>
        <v>51307.924761799994</v>
      </c>
      <c r="BE25" s="156">
        <f>CD25</f>
        <v>3943.1</v>
      </c>
      <c r="BF25" s="157">
        <v>508</v>
      </c>
      <c r="BG25" s="157" t="s">
        <v>243</v>
      </c>
      <c r="BH25" s="156">
        <v>13.01</v>
      </c>
      <c r="BI25" s="158">
        <f t="shared" si="14"/>
        <v>51299.731</v>
      </c>
      <c r="BJ25" s="156">
        <v>8.74</v>
      </c>
      <c r="BK25" s="158">
        <f t="shared" si="15"/>
        <v>34462.694000000003</v>
      </c>
      <c r="BL25" s="156">
        <v>38.03</v>
      </c>
      <c r="BM25" s="159">
        <f t="shared" si="16"/>
        <v>149956.09299999999</v>
      </c>
      <c r="BN25" s="157">
        <v>3536</v>
      </c>
      <c r="BO25" s="159">
        <f t="shared" si="17"/>
        <v>13942801.6</v>
      </c>
      <c r="BP25" s="160"/>
      <c r="BQ25" s="156">
        <v>7.78</v>
      </c>
      <c r="BR25" s="158">
        <f t="shared" si="18"/>
        <v>30677.317999999999</v>
      </c>
      <c r="BS25" s="156">
        <v>38.43</v>
      </c>
      <c r="BT25" s="159">
        <f t="shared" si="19"/>
        <v>151533.33299999998</v>
      </c>
      <c r="BU25" s="157">
        <v>3573</v>
      </c>
      <c r="BV25" s="161">
        <f t="shared" si="49"/>
        <v>14088696.299999999</v>
      </c>
      <c r="BW25" s="157" t="s">
        <v>190</v>
      </c>
      <c r="BX25" s="157">
        <f t="shared" si="20"/>
        <v>3370</v>
      </c>
      <c r="BY25" s="161">
        <f t="shared" si="50"/>
        <v>13288247</v>
      </c>
      <c r="BZ25" s="157">
        <f t="shared" si="21"/>
        <v>36.25</v>
      </c>
      <c r="CA25" s="161">
        <f t="shared" si="75"/>
        <v>142937.375</v>
      </c>
      <c r="CB25" s="156">
        <f t="shared" si="23"/>
        <v>5.2299999999999995</v>
      </c>
      <c r="CC25" s="161">
        <f t="shared" si="76"/>
        <v>20622.412999999997</v>
      </c>
      <c r="CD25" s="162">
        <f t="shared" si="62"/>
        <v>3943.1</v>
      </c>
      <c r="CE25" s="163">
        <v>5.9</v>
      </c>
      <c r="CF25" s="164">
        <v>7.56</v>
      </c>
      <c r="CG25" s="165">
        <f t="shared" si="51"/>
        <v>13.013960000000001</v>
      </c>
      <c r="CH25" s="166">
        <f t="shared" si="25"/>
        <v>51315.345676000004</v>
      </c>
      <c r="CI25" s="167">
        <v>40.78</v>
      </c>
      <c r="CJ25" s="166">
        <f>CI25*$CD25</f>
        <v>160799.61799999999</v>
      </c>
      <c r="CK25" s="168">
        <v>5.56</v>
      </c>
      <c r="CL25" s="166">
        <f t="shared" si="26"/>
        <v>21923.635999999999</v>
      </c>
      <c r="CM25" s="167">
        <v>25.24</v>
      </c>
      <c r="CN25" s="166">
        <f t="shared" si="27"/>
        <v>99523.843999999997</v>
      </c>
      <c r="CO25" s="169">
        <f t="shared" si="28"/>
        <v>3908.4405999999999</v>
      </c>
      <c r="CP25" s="166">
        <f t="shared" si="29"/>
        <v>15411372.129859999</v>
      </c>
      <c r="CQ25" s="167">
        <v>3601</v>
      </c>
      <c r="CR25" s="166">
        <f>CQ25*$CD25</f>
        <v>14199103.1</v>
      </c>
      <c r="CS25" s="170">
        <f>((100-CU25)/(100-CK25))*CI25</f>
        <v>40.050243540872515</v>
      </c>
      <c r="CT25" s="166">
        <f t="shared" si="31"/>
        <v>157922.1153060144</v>
      </c>
      <c r="CU25" s="168">
        <v>7.25</v>
      </c>
      <c r="CV25" s="166">
        <f t="shared" si="77"/>
        <v>28587.474999999999</v>
      </c>
      <c r="CW25" s="170">
        <f t="shared" si="78"/>
        <v>24.788331215586616</v>
      </c>
      <c r="CX25" s="166">
        <f t="shared" si="79"/>
        <v>97742.868816179587</v>
      </c>
      <c r="CY25" s="171">
        <f t="shared" si="80"/>
        <v>3536.560249894113</v>
      </c>
      <c r="CZ25" s="166">
        <f t="shared" si="81"/>
        <v>13945010.721357476</v>
      </c>
      <c r="DA25" s="170" t="str">
        <f>IF(CY25&gt;=7000,"G1",IF(CY25&gt;=6700,"G2",IF(CY25&gt;=6400,"G3",IF(CY25&gt;=6100,"G4",IF(CY25&gt;=5800,"G5",IF(CY25&gt;=5500,"G6",IF(CY25&gt;=5200,"G7",IF(CY25&gt;=4900,"G8",IF(CY25&gt;=4600,"G9",IF(CY25&gt;=4300,"G10",IF(CY25&gt;=4000,"G11",IF(CY25&gt;=3700,"G12",IF(CY25&gt;=3400,"G13",IF(CY25&gt;=3100,"G14",IF(CY25&gt;=2800,"G15",IF(CY25&gt;=2500,"G16",IF(CY25&gt;=2200,"G17")))))))))))))))))</f>
        <v>G13</v>
      </c>
      <c r="DB25" s="171">
        <f t="shared" si="38"/>
        <v>3316.7802842016094</v>
      </c>
      <c r="DC25" s="166">
        <f t="shared" si="69"/>
        <v>13078396.338635366</v>
      </c>
      <c r="DD25" s="170">
        <f t="shared" si="54"/>
        <v>37.561316298178738</v>
      </c>
      <c r="DE25" s="221">
        <f t="shared" si="55"/>
        <v>148108.02629534857</v>
      </c>
      <c r="DF25" s="222">
        <f t="shared" si="56"/>
        <v>5.7639600000000009</v>
      </c>
      <c r="DG25" s="221">
        <f t="shared" si="57"/>
        <v>22727.870676000002</v>
      </c>
      <c r="DH25" s="172">
        <f t="shared" si="40"/>
        <v>0</v>
      </c>
      <c r="DI25" s="173"/>
      <c r="DJ25" s="174"/>
      <c r="DK25" s="175"/>
      <c r="DL25" s="176"/>
      <c r="DM25" s="175"/>
      <c r="DN25" s="177"/>
      <c r="DO25" s="178">
        <f t="shared" si="46"/>
        <v>53.219715798390553</v>
      </c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80"/>
      <c r="EC25" s="181">
        <f t="shared" si="47"/>
        <v>36.439750105887015</v>
      </c>
      <c r="EE25" s="181"/>
    </row>
    <row r="26" spans="1:135" s="182" customFormat="1" ht="31.5">
      <c r="A26" s="74">
        <v>31</v>
      </c>
      <c r="B26" s="74">
        <v>54</v>
      </c>
      <c r="C26" s="138">
        <v>45820</v>
      </c>
      <c r="D26" s="139">
        <v>151000150</v>
      </c>
      <c r="E26" s="138">
        <v>45818</v>
      </c>
      <c r="F26" s="614" t="s">
        <v>262</v>
      </c>
      <c r="G26" s="614" t="s">
        <v>266</v>
      </c>
      <c r="H26" s="140">
        <v>3707.05</v>
      </c>
      <c r="I26" s="141">
        <v>3707.05</v>
      </c>
      <c r="J26" s="142"/>
      <c r="K26" s="568"/>
      <c r="L26" s="337">
        <v>58</v>
      </c>
      <c r="M26" s="144"/>
      <c r="N26" s="144">
        <v>3707.05</v>
      </c>
      <c r="O26" s="522" t="s">
        <v>180</v>
      </c>
      <c r="P26" s="145" t="s">
        <v>72</v>
      </c>
      <c r="Q26" s="146" t="s">
        <v>231</v>
      </c>
      <c r="R26" s="145"/>
      <c r="S26" s="145" t="s">
        <v>181</v>
      </c>
      <c r="T26" s="145"/>
      <c r="U26" s="147" t="s">
        <v>182</v>
      </c>
      <c r="V26" s="147" t="s">
        <v>183</v>
      </c>
      <c r="W26" s="147">
        <v>4150</v>
      </c>
      <c r="X26" s="519">
        <v>3829.64</v>
      </c>
      <c r="Y26" s="148">
        <v>3829.64</v>
      </c>
      <c r="Z26" s="150" t="s">
        <v>262</v>
      </c>
      <c r="AA26" s="149">
        <v>1666</v>
      </c>
      <c r="AB26" s="150" t="s">
        <v>243</v>
      </c>
      <c r="AC26" s="151">
        <v>3829.64</v>
      </c>
      <c r="AD26" s="151">
        <v>11.88</v>
      </c>
      <c r="AE26" s="152">
        <f t="shared" si="0"/>
        <v>45496.123200000002</v>
      </c>
      <c r="AF26" s="151">
        <v>7.21</v>
      </c>
      <c r="AG26" s="152">
        <f t="shared" si="1"/>
        <v>27611.704399999999</v>
      </c>
      <c r="AH26" s="151">
        <v>34.520000000000003</v>
      </c>
      <c r="AI26" s="152">
        <f t="shared" si="2"/>
        <v>132199.1728</v>
      </c>
      <c r="AJ26" s="149">
        <v>4039</v>
      </c>
      <c r="AK26" s="152">
        <f t="shared" si="70"/>
        <v>15467915.959999999</v>
      </c>
      <c r="AL26" s="149"/>
      <c r="AM26" s="151">
        <v>7.37</v>
      </c>
      <c r="AN26" s="152">
        <f t="shared" si="3"/>
        <v>28224.446799999998</v>
      </c>
      <c r="AO26" s="151">
        <v>34.46</v>
      </c>
      <c r="AP26" s="152">
        <f t="shared" si="4"/>
        <v>131969.39439999999</v>
      </c>
      <c r="AQ26" s="149">
        <v>4032</v>
      </c>
      <c r="AR26" s="152">
        <f t="shared" si="48"/>
        <v>14946825.600000001</v>
      </c>
      <c r="AS26" s="149" t="s">
        <v>185</v>
      </c>
      <c r="AT26" s="149">
        <f t="shared" si="5"/>
        <v>3836</v>
      </c>
      <c r="AU26" s="152">
        <f t="shared" si="71"/>
        <v>14690499.039999999</v>
      </c>
      <c r="AV26" s="149">
        <f t="shared" si="72"/>
        <v>32.78</v>
      </c>
      <c r="AW26" s="152">
        <f t="shared" si="73"/>
        <v>125535.5992</v>
      </c>
      <c r="AX26" s="151">
        <f t="shared" si="9"/>
        <v>4.5100000000000007</v>
      </c>
      <c r="AY26" s="152">
        <f t="shared" si="74"/>
        <v>17271.6764</v>
      </c>
      <c r="AZ26" s="153">
        <v>4.0999999999999996</v>
      </c>
      <c r="BA26" s="153">
        <v>9.5559999999999992</v>
      </c>
      <c r="BB26" s="153"/>
      <c r="BC26" s="154">
        <f t="shared" si="11"/>
        <v>13.264203999999998</v>
      </c>
      <c r="BD26" s="155">
        <f t="shared" si="68"/>
        <v>49171.067438199992</v>
      </c>
      <c r="BE26" s="156">
        <f>CD26</f>
        <v>3707.05</v>
      </c>
      <c r="BF26" s="157">
        <v>508</v>
      </c>
      <c r="BG26" s="157" t="s">
        <v>243</v>
      </c>
      <c r="BH26" s="156">
        <v>13.26</v>
      </c>
      <c r="BI26" s="158">
        <f t="shared" si="14"/>
        <v>49155.483</v>
      </c>
      <c r="BJ26" s="156">
        <v>7.66</v>
      </c>
      <c r="BK26" s="158">
        <f t="shared" si="15"/>
        <v>28396.003000000001</v>
      </c>
      <c r="BL26" s="156">
        <v>42.43</v>
      </c>
      <c r="BM26" s="159">
        <f t="shared" si="16"/>
        <v>157290.13150000002</v>
      </c>
      <c r="BN26" s="157">
        <v>3574</v>
      </c>
      <c r="BO26" s="159">
        <f t="shared" si="17"/>
        <v>13248996.700000001</v>
      </c>
      <c r="BP26" s="160"/>
      <c r="BQ26" s="156">
        <v>7.38</v>
      </c>
      <c r="BR26" s="158">
        <f t="shared" si="18"/>
        <v>27358.029000000002</v>
      </c>
      <c r="BS26" s="156">
        <v>42.5</v>
      </c>
      <c r="BT26" s="159">
        <f t="shared" si="19"/>
        <v>157549.625</v>
      </c>
      <c r="BU26" s="157">
        <v>3585</v>
      </c>
      <c r="BV26" s="161">
        <f t="shared" si="49"/>
        <v>13289774.25</v>
      </c>
      <c r="BW26" s="157" t="s">
        <v>190</v>
      </c>
      <c r="BX26" s="157">
        <f t="shared" si="20"/>
        <v>3357</v>
      </c>
      <c r="BY26" s="161">
        <f t="shared" si="50"/>
        <v>12444566.850000001</v>
      </c>
      <c r="BZ26" s="157">
        <f t="shared" si="21"/>
        <v>39.799999999999997</v>
      </c>
      <c r="CA26" s="161">
        <f t="shared" si="75"/>
        <v>147540.59</v>
      </c>
      <c r="CB26" s="156">
        <f t="shared" si="23"/>
        <v>5.88</v>
      </c>
      <c r="CC26" s="161">
        <f t="shared" si="76"/>
        <v>21797.454000000002</v>
      </c>
      <c r="CD26" s="162">
        <f t="shared" si="62"/>
        <v>3707.05</v>
      </c>
      <c r="CE26" s="163">
        <v>4.0999999999999996</v>
      </c>
      <c r="CF26" s="164">
        <v>9.5500000000000007</v>
      </c>
      <c r="CG26" s="165">
        <f t="shared" si="51"/>
        <v>13.25845</v>
      </c>
      <c r="CH26" s="166">
        <f t="shared" si="25"/>
        <v>49149.7370725</v>
      </c>
      <c r="CI26" s="167">
        <v>42.39</v>
      </c>
      <c r="CJ26" s="166">
        <f t="shared" si="52"/>
        <v>157141.84950000001</v>
      </c>
      <c r="CK26" s="168">
        <v>4.41</v>
      </c>
      <c r="CL26" s="166">
        <f t="shared" si="26"/>
        <v>16348.090500000002</v>
      </c>
      <c r="CM26" s="167">
        <v>26.1</v>
      </c>
      <c r="CN26" s="166">
        <f t="shared" si="27"/>
        <v>96754.005000000005</v>
      </c>
      <c r="CO26" s="169">
        <f t="shared" si="28"/>
        <v>3924.3174999999992</v>
      </c>
      <c r="CP26" s="166">
        <f t="shared" si="29"/>
        <v>14547641.188374998</v>
      </c>
      <c r="CQ26" s="167">
        <v>3590</v>
      </c>
      <c r="CR26" s="166">
        <f t="shared" si="53"/>
        <v>13308309.5</v>
      </c>
      <c r="CS26" s="170">
        <f t="shared" si="30"/>
        <v>42.669377549952927</v>
      </c>
      <c r="CT26" s="166">
        <f t="shared" si="31"/>
        <v>158177.51604655301</v>
      </c>
      <c r="CU26" s="168">
        <v>3.78</v>
      </c>
      <c r="CV26" s="166">
        <f t="shared" si="77"/>
        <v>14012.648999999999</v>
      </c>
      <c r="CW26" s="170">
        <f t="shared" si="78"/>
        <v>26.272015901244902</v>
      </c>
      <c r="CX26" s="166">
        <f t="shared" si="79"/>
        <v>97391.676546709918</v>
      </c>
      <c r="CY26" s="171">
        <f t="shared" si="80"/>
        <v>3613.6604247306204</v>
      </c>
      <c r="CZ26" s="166">
        <f t="shared" si="81"/>
        <v>13396019.877497647</v>
      </c>
      <c r="DA26" s="170" t="str">
        <f t="shared" ref="DA26:DA62" si="83">IF(CY26&gt;=7000,"G1",IF(CY26&gt;=6700,"G2",IF(CY26&gt;=6400,"G3",IF(CY26&gt;=6100,"G4",IF(CY26&gt;=5800,"G5",IF(CY26&gt;=5500,"G6",IF(CY26&gt;=5200,"G7",IF(CY26&gt;=4900,"G8",IF(CY26&gt;=4600,"G9",IF(CY26&gt;=4300,"G10",IF(CY26&gt;=4000,"G11",IF(CY26&gt;=3700,"G12",IF(CY26&gt;=3400,"G13",IF(CY26&gt;=3100,"G14",IF(CY26&gt;=2800,"G15",IF(CY26&gt;=2500,"G16",IF(CY26&gt;=2200,"G17")))))))))))))))))</f>
        <v>G13</v>
      </c>
      <c r="DB26" s="171">
        <f t="shared" si="38"/>
        <v>3257.6855790354639</v>
      </c>
      <c r="DC26" s="166">
        <f t="shared" si="69"/>
        <v>12076403.325763417</v>
      </c>
      <c r="DD26" s="170">
        <f t="shared" si="54"/>
        <v>38.466097965268332</v>
      </c>
      <c r="DE26" s="221">
        <f t="shared" si="55"/>
        <v>142595.74846214798</v>
      </c>
      <c r="DF26" s="222">
        <f t="shared" si="56"/>
        <v>9.4784500000000005</v>
      </c>
      <c r="DG26" s="221">
        <f t="shared" si="57"/>
        <v>35137.088072500002</v>
      </c>
      <c r="DH26" s="172">
        <f t="shared" si="40"/>
        <v>-2</v>
      </c>
      <c r="DI26" s="173"/>
      <c r="DJ26" s="174"/>
      <c r="DK26" s="175"/>
      <c r="DL26" s="176"/>
      <c r="DM26" s="175"/>
      <c r="DN26" s="177"/>
      <c r="DO26" s="178">
        <f t="shared" si="46"/>
        <v>99.314420964536112</v>
      </c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80"/>
      <c r="EC26" s="181">
        <f t="shared" si="47"/>
        <v>-28.660424730620434</v>
      </c>
      <c r="EE26" s="181"/>
    </row>
    <row r="27" spans="1:135" s="182" customFormat="1" ht="30">
      <c r="A27" s="74">
        <v>32</v>
      </c>
      <c r="B27" s="74">
        <v>55</v>
      </c>
      <c r="C27" s="138">
        <v>45820</v>
      </c>
      <c r="D27" s="139">
        <v>162000379</v>
      </c>
      <c r="E27" s="138">
        <v>45818</v>
      </c>
      <c r="F27" s="138"/>
      <c r="G27" s="138"/>
      <c r="H27" s="140">
        <v>3999.05</v>
      </c>
      <c r="I27" s="141">
        <v>3999.05</v>
      </c>
      <c r="J27" s="142"/>
      <c r="K27" s="568"/>
      <c r="L27" s="337">
        <v>59</v>
      </c>
      <c r="M27" s="144"/>
      <c r="N27" s="144">
        <v>3999.05</v>
      </c>
      <c r="O27" s="522" t="s">
        <v>180</v>
      </c>
      <c r="P27" s="145" t="s">
        <v>68</v>
      </c>
      <c r="Q27" s="146" t="s">
        <v>63</v>
      </c>
      <c r="R27" s="145"/>
      <c r="S27" s="145" t="s">
        <v>181</v>
      </c>
      <c r="T27" s="145"/>
      <c r="U27" s="147" t="s">
        <v>188</v>
      </c>
      <c r="V27" s="147" t="s">
        <v>189</v>
      </c>
      <c r="W27" s="147">
        <v>4450</v>
      </c>
      <c r="X27" s="519">
        <v>4140</v>
      </c>
      <c r="Y27" s="148">
        <v>4140</v>
      </c>
      <c r="Z27" s="150" t="s">
        <v>266</v>
      </c>
      <c r="AA27" s="149">
        <v>1666</v>
      </c>
      <c r="AB27" s="150" t="s">
        <v>243</v>
      </c>
      <c r="AC27" s="151">
        <v>4140</v>
      </c>
      <c r="AD27" s="151">
        <v>12.68</v>
      </c>
      <c r="AE27" s="152">
        <f t="shared" si="0"/>
        <v>52495.199999999997</v>
      </c>
      <c r="AF27" s="151">
        <v>8.67</v>
      </c>
      <c r="AG27" s="152">
        <f t="shared" si="1"/>
        <v>35893.800000000003</v>
      </c>
      <c r="AH27" s="151">
        <v>31.29</v>
      </c>
      <c r="AI27" s="152">
        <f t="shared" si="2"/>
        <v>129540.59999999999</v>
      </c>
      <c r="AJ27" s="149">
        <v>4322</v>
      </c>
      <c r="AK27" s="152">
        <f t="shared" si="70"/>
        <v>17893080</v>
      </c>
      <c r="AL27" s="149"/>
      <c r="AM27" s="151">
        <v>8.4600000000000009</v>
      </c>
      <c r="AN27" s="152">
        <f t="shared" si="3"/>
        <v>35024.400000000001</v>
      </c>
      <c r="AO27" s="151">
        <v>31.36</v>
      </c>
      <c r="AP27" s="152">
        <f t="shared" si="4"/>
        <v>129830.39999999999</v>
      </c>
      <c r="AQ27" s="149">
        <v>4332</v>
      </c>
      <c r="AR27" s="152">
        <f t="shared" si="48"/>
        <v>17323884.600000001</v>
      </c>
      <c r="AS27" s="149" t="s">
        <v>188</v>
      </c>
      <c r="AT27" s="149">
        <f t="shared" si="5"/>
        <v>4132</v>
      </c>
      <c r="AU27" s="152">
        <f t="shared" si="71"/>
        <v>17106480</v>
      </c>
      <c r="AV27" s="149">
        <f t="shared" si="72"/>
        <v>29.91</v>
      </c>
      <c r="AW27" s="152">
        <f t="shared" si="73"/>
        <v>123827.4</v>
      </c>
      <c r="AX27" s="151">
        <f t="shared" si="9"/>
        <v>4.2199999999999989</v>
      </c>
      <c r="AY27" s="152">
        <f t="shared" si="74"/>
        <v>17470.799999999996</v>
      </c>
      <c r="AZ27" s="153">
        <v>5.9</v>
      </c>
      <c r="BA27" s="153">
        <v>7.2309999999999999</v>
      </c>
      <c r="BB27" s="153"/>
      <c r="BC27" s="154">
        <f t="shared" si="11"/>
        <v>12.704371</v>
      </c>
      <c r="BD27" s="155">
        <f t="shared" si="68"/>
        <v>50805.414847550004</v>
      </c>
      <c r="BE27" s="156">
        <f>CD27</f>
        <v>3999.05</v>
      </c>
      <c r="BF27" s="157">
        <v>508</v>
      </c>
      <c r="BG27" s="157" t="s">
        <v>243</v>
      </c>
      <c r="BH27" s="156">
        <v>12.7</v>
      </c>
      <c r="BI27" s="158">
        <f t="shared" si="14"/>
        <v>50787.934999999998</v>
      </c>
      <c r="BJ27" s="156">
        <v>8.7100000000000009</v>
      </c>
      <c r="BK27" s="158">
        <f t="shared" si="15"/>
        <v>34831.725500000008</v>
      </c>
      <c r="BL27" s="156">
        <v>34.380000000000003</v>
      </c>
      <c r="BM27" s="159">
        <f t="shared" si="16"/>
        <v>137487.33900000001</v>
      </c>
      <c r="BN27" s="157">
        <v>4000</v>
      </c>
      <c r="BO27" s="159">
        <f t="shared" si="17"/>
        <v>15996200</v>
      </c>
      <c r="BP27" s="160"/>
      <c r="BQ27" s="156">
        <v>7.39</v>
      </c>
      <c r="BR27" s="158">
        <f t="shared" si="18"/>
        <v>29552.979500000001</v>
      </c>
      <c r="BS27" s="156">
        <v>34.880000000000003</v>
      </c>
      <c r="BT27" s="159">
        <f t="shared" si="19"/>
        <v>139486.86400000003</v>
      </c>
      <c r="BU27" s="157">
        <v>408</v>
      </c>
      <c r="BV27" s="161">
        <f t="shared" si="49"/>
        <v>1631612.4000000001</v>
      </c>
      <c r="BW27" s="157" t="s">
        <v>185</v>
      </c>
      <c r="BX27" s="157">
        <f t="shared" si="20"/>
        <v>385</v>
      </c>
      <c r="BY27" s="161">
        <f t="shared" si="50"/>
        <v>1539634.25</v>
      </c>
      <c r="BZ27" s="157">
        <f t="shared" si="21"/>
        <v>32.880000000000003</v>
      </c>
      <c r="CA27" s="161">
        <f t="shared" si="75"/>
        <v>131488.76400000002</v>
      </c>
      <c r="CB27" s="156">
        <f t="shared" si="23"/>
        <v>5.31</v>
      </c>
      <c r="CC27" s="161">
        <f t="shared" si="76"/>
        <v>21234.9555</v>
      </c>
      <c r="CD27" s="162">
        <f t="shared" si="62"/>
        <v>3999.05</v>
      </c>
      <c r="CE27" s="163">
        <v>5.9</v>
      </c>
      <c r="CF27" s="164">
        <v>7.23</v>
      </c>
      <c r="CG27" s="165">
        <f t="shared" si="51"/>
        <v>12.703430000000001</v>
      </c>
      <c r="CH27" s="166">
        <f t="shared" si="25"/>
        <v>50801.651741500005</v>
      </c>
      <c r="CI27" s="167">
        <v>37.74</v>
      </c>
      <c r="CJ27" s="166">
        <f t="shared" si="52"/>
        <v>150924.14700000003</v>
      </c>
      <c r="CK27" s="168">
        <v>6.04</v>
      </c>
      <c r="CL27" s="166">
        <f t="shared" si="26"/>
        <v>24154.262000000002</v>
      </c>
      <c r="CM27" s="167">
        <v>27.51</v>
      </c>
      <c r="CN27" s="166">
        <f t="shared" si="27"/>
        <v>110013.86550000001</v>
      </c>
      <c r="CO27" s="169">
        <f t="shared" si="28"/>
        <v>4124.6661999999997</v>
      </c>
      <c r="CP27" s="166">
        <f t="shared" si="29"/>
        <v>16494746.367109999</v>
      </c>
      <c r="CQ27" s="167">
        <v>4001</v>
      </c>
      <c r="CR27" s="166">
        <f t="shared" si="53"/>
        <v>16000199.050000001</v>
      </c>
      <c r="CS27" s="170">
        <f t="shared" si="30"/>
        <v>38.037228607918273</v>
      </c>
      <c r="CT27" s="166">
        <f t="shared" si="31"/>
        <v>152112.77906449558</v>
      </c>
      <c r="CU27" s="168">
        <v>5.3</v>
      </c>
      <c r="CV27" s="166">
        <f t="shared" si="77"/>
        <v>21194.965</v>
      </c>
      <c r="CW27" s="170">
        <f t="shared" si="78"/>
        <v>27.726660280970631</v>
      </c>
      <c r="CX27" s="166">
        <f t="shared" si="79"/>
        <v>110880.3007966156</v>
      </c>
      <c r="CY27" s="171">
        <f t="shared" si="80"/>
        <v>4032.5106428267354</v>
      </c>
      <c r="CZ27" s="166">
        <f t="shared" si="81"/>
        <v>16126211.686196256</v>
      </c>
      <c r="DA27" s="170" t="str">
        <f t="shared" si="83"/>
        <v>G11</v>
      </c>
      <c r="DB27" s="171">
        <f t="shared" si="38"/>
        <v>3717.2581584716904</v>
      </c>
      <c r="DC27" s="166">
        <f t="shared" si="69"/>
        <v>14865501.238636214</v>
      </c>
      <c r="DD27" s="170">
        <f t="shared" si="54"/>
        <v>35.06356483397191</v>
      </c>
      <c r="DE27" s="221">
        <f t="shared" si="55"/>
        <v>140220.94894929536</v>
      </c>
      <c r="DF27" s="222">
        <f t="shared" si="56"/>
        <v>7.4034300000000011</v>
      </c>
      <c r="DG27" s="221">
        <f t="shared" si="57"/>
        <v>29606.686741500005</v>
      </c>
      <c r="DH27" s="172">
        <f t="shared" si="40"/>
        <v>-1</v>
      </c>
      <c r="DI27" s="173"/>
      <c r="DJ27" s="174"/>
      <c r="DK27" s="175"/>
      <c r="DL27" s="176"/>
      <c r="DM27" s="175"/>
      <c r="DN27" s="177"/>
      <c r="DO27" s="178">
        <f t="shared" si="46"/>
        <v>-3332.2581584716904</v>
      </c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80"/>
      <c r="EC27" s="181">
        <f t="shared" si="47"/>
        <v>-3624.5106428267354</v>
      </c>
      <c r="EE27" s="181"/>
    </row>
    <row r="28" spans="1:135" s="182" customFormat="1" ht="45">
      <c r="A28" s="74">
        <v>33</v>
      </c>
      <c r="B28" s="74">
        <v>58</v>
      </c>
      <c r="C28" s="138">
        <v>45820</v>
      </c>
      <c r="D28" s="139">
        <v>161002567</v>
      </c>
      <c r="E28" s="138">
        <v>45819</v>
      </c>
      <c r="F28" s="138"/>
      <c r="G28" s="138"/>
      <c r="H28" s="140">
        <v>3721.15</v>
      </c>
      <c r="I28" s="141">
        <v>3721.15</v>
      </c>
      <c r="J28" s="142"/>
      <c r="K28" s="568"/>
      <c r="L28" s="337">
        <v>57</v>
      </c>
      <c r="M28" s="144"/>
      <c r="N28" s="144">
        <v>3721.15</v>
      </c>
      <c r="O28" s="522" t="s">
        <v>180</v>
      </c>
      <c r="P28" s="145" t="s">
        <v>72</v>
      </c>
      <c r="Q28" s="146" t="s">
        <v>224</v>
      </c>
      <c r="R28" s="145"/>
      <c r="S28" s="145" t="s">
        <v>181</v>
      </c>
      <c r="T28" s="145"/>
      <c r="U28" s="147" t="s">
        <v>182</v>
      </c>
      <c r="V28" s="147" t="s">
        <v>183</v>
      </c>
      <c r="W28" s="147">
        <v>4150</v>
      </c>
      <c r="X28" s="519">
        <v>3750.03</v>
      </c>
      <c r="Y28" s="148">
        <v>3750.03</v>
      </c>
      <c r="Z28" s="150" t="s">
        <v>266</v>
      </c>
      <c r="AA28" s="149">
        <v>1666</v>
      </c>
      <c r="AB28" s="150" t="s">
        <v>243</v>
      </c>
      <c r="AC28" s="151">
        <v>3750.03</v>
      </c>
      <c r="AD28" s="151">
        <v>12.36</v>
      </c>
      <c r="AE28" s="152">
        <f t="shared" si="0"/>
        <v>46350.370799999997</v>
      </c>
      <c r="AF28" s="151">
        <v>6.68</v>
      </c>
      <c r="AG28" s="152">
        <f t="shared" si="1"/>
        <v>25050.200400000002</v>
      </c>
      <c r="AH28" s="151">
        <v>35.29</v>
      </c>
      <c r="AI28" s="152">
        <f t="shared" si="2"/>
        <v>132338.55869999999</v>
      </c>
      <c r="AJ28" s="149">
        <v>4081</v>
      </c>
      <c r="AK28" s="152">
        <f t="shared" si="70"/>
        <v>15303872.430000002</v>
      </c>
      <c r="AL28" s="149"/>
      <c r="AM28" s="151">
        <v>7.36</v>
      </c>
      <c r="AN28" s="152">
        <f t="shared" si="3"/>
        <v>27600.220800000003</v>
      </c>
      <c r="AO28" s="151">
        <v>35.03</v>
      </c>
      <c r="AP28" s="152">
        <f t="shared" si="4"/>
        <v>131363.5509</v>
      </c>
      <c r="AQ28" s="149">
        <v>4051</v>
      </c>
      <c r="AR28" s="152">
        <f t="shared" si="48"/>
        <v>15074378.65</v>
      </c>
      <c r="AS28" s="149" t="s">
        <v>185</v>
      </c>
      <c r="AT28" s="149">
        <f t="shared" si="5"/>
        <v>3832</v>
      </c>
      <c r="AU28" s="152">
        <f t="shared" si="71"/>
        <v>14370114.960000001</v>
      </c>
      <c r="AV28" s="149">
        <f t="shared" si="72"/>
        <v>33.14</v>
      </c>
      <c r="AW28" s="152">
        <f t="shared" si="73"/>
        <v>124275.99420000002</v>
      </c>
      <c r="AX28" s="151">
        <f t="shared" si="9"/>
        <v>4.9999999999999991</v>
      </c>
      <c r="AY28" s="152">
        <f t="shared" si="74"/>
        <v>18750.149999999998</v>
      </c>
      <c r="AZ28" s="153">
        <v>5.0999999999999996</v>
      </c>
      <c r="BA28" s="153">
        <v>5.67</v>
      </c>
      <c r="BB28" s="153"/>
      <c r="BC28" s="154">
        <f t="shared" si="11"/>
        <v>10.480829999999999</v>
      </c>
      <c r="BD28" s="155">
        <f t="shared" si="68"/>
        <v>39000.7405545</v>
      </c>
      <c r="BE28" s="156">
        <f t="shared" ref="BE28:BE39" si="84">CD28</f>
        <v>3721.15</v>
      </c>
      <c r="BF28" s="157">
        <v>509</v>
      </c>
      <c r="BG28" s="157" t="s">
        <v>243</v>
      </c>
      <c r="BH28" s="156">
        <v>10.48</v>
      </c>
      <c r="BI28" s="158">
        <f t="shared" si="14"/>
        <v>38997.652000000002</v>
      </c>
      <c r="BJ28" s="156">
        <v>7.44</v>
      </c>
      <c r="BK28" s="158">
        <f t="shared" si="15"/>
        <v>27685.356000000003</v>
      </c>
      <c r="BL28" s="156">
        <v>40.47</v>
      </c>
      <c r="BM28" s="159">
        <f t="shared" si="16"/>
        <v>150594.9405</v>
      </c>
      <c r="BN28" s="157">
        <v>3469</v>
      </c>
      <c r="BO28" s="159">
        <f t="shared" si="17"/>
        <v>12908669.35</v>
      </c>
      <c r="BP28" s="160"/>
      <c r="BQ28" s="156">
        <v>7.17</v>
      </c>
      <c r="BR28" s="158">
        <f t="shared" si="18"/>
        <v>26680.645499999999</v>
      </c>
      <c r="BS28" s="156">
        <v>40.590000000000003</v>
      </c>
      <c r="BT28" s="159">
        <f t="shared" si="19"/>
        <v>151041.47850000003</v>
      </c>
      <c r="BU28" s="157">
        <v>3479</v>
      </c>
      <c r="BV28" s="161">
        <f t="shared" si="49"/>
        <v>12945880.85</v>
      </c>
      <c r="BW28" s="157" t="s">
        <v>190</v>
      </c>
      <c r="BX28" s="157">
        <f t="shared" si="20"/>
        <v>3355</v>
      </c>
      <c r="BY28" s="161">
        <f t="shared" si="50"/>
        <v>12484458.25</v>
      </c>
      <c r="BZ28" s="157">
        <f t="shared" si="21"/>
        <v>39.14</v>
      </c>
      <c r="CA28" s="161">
        <f t="shared" si="75"/>
        <v>145645.81100000002</v>
      </c>
      <c r="CB28" s="156">
        <f t="shared" si="23"/>
        <v>3.3100000000000005</v>
      </c>
      <c r="CC28" s="161">
        <f t="shared" si="76"/>
        <v>12317.006500000001</v>
      </c>
      <c r="CD28" s="162">
        <f t="shared" si="62"/>
        <v>3721.15</v>
      </c>
      <c r="CE28" s="163">
        <v>5.0999999999999996</v>
      </c>
      <c r="CF28" s="164">
        <v>5.67</v>
      </c>
      <c r="CG28" s="165">
        <f t="shared" si="51"/>
        <v>10.480829999999999</v>
      </c>
      <c r="CH28" s="166">
        <f t="shared" si="25"/>
        <v>39000.7405545</v>
      </c>
      <c r="CI28" s="167">
        <v>45.38</v>
      </c>
      <c r="CJ28" s="166">
        <f t="shared" si="52"/>
        <v>168865.78700000001</v>
      </c>
      <c r="CK28" s="168">
        <v>4.16</v>
      </c>
      <c r="CL28" s="166">
        <f t="shared" si="26"/>
        <v>15479.984</v>
      </c>
      <c r="CM28" s="167">
        <v>27.57</v>
      </c>
      <c r="CN28" s="166">
        <f t="shared" si="27"/>
        <v>102592.10550000001</v>
      </c>
      <c r="CO28" s="169">
        <f t="shared" si="28"/>
        <v>3679.3185999999996</v>
      </c>
      <c r="CP28" s="166">
        <f t="shared" si="29"/>
        <v>13691296.408389999</v>
      </c>
      <c r="CQ28" s="167">
        <v>3413</v>
      </c>
      <c r="CR28" s="166">
        <f t="shared" si="53"/>
        <v>12700284.950000001</v>
      </c>
      <c r="CS28" s="170">
        <f t="shared" si="30"/>
        <v>45.716183222036733</v>
      </c>
      <c r="CT28" s="166">
        <f t="shared" si="31"/>
        <v>170116.77519668199</v>
      </c>
      <c r="CU28" s="168">
        <v>3.45</v>
      </c>
      <c r="CV28" s="166">
        <f t="shared" si="77"/>
        <v>12837.967500000001</v>
      </c>
      <c r="CW28" s="170">
        <f t="shared" si="78"/>
        <v>27.774243530884807</v>
      </c>
      <c r="CX28" s="166">
        <f t="shared" si="79"/>
        <v>103352.12631495199</v>
      </c>
      <c r="CY28" s="171">
        <f t="shared" si="80"/>
        <v>3438.2841193656095</v>
      </c>
      <c r="CZ28" s="166">
        <f t="shared" si="81"/>
        <v>12794370.950777339</v>
      </c>
      <c r="DA28" s="170" t="str">
        <f t="shared" si="83"/>
        <v>G13</v>
      </c>
      <c r="DB28" s="171">
        <f t="shared" si="38"/>
        <v>3187.9061687186977</v>
      </c>
      <c r="DC28" s="166">
        <f t="shared" si="69"/>
        <v>11862677.039727582</v>
      </c>
      <c r="DD28" s="170">
        <f t="shared" si="54"/>
        <v>42.387102823455763</v>
      </c>
      <c r="DE28" s="221">
        <f t="shared" si="55"/>
        <v>157728.76767150243</v>
      </c>
      <c r="DF28" s="222">
        <f t="shared" si="56"/>
        <v>7.030829999999999</v>
      </c>
      <c r="DG28" s="221">
        <f t="shared" si="57"/>
        <v>26162.773054499998</v>
      </c>
      <c r="DH28" s="172">
        <f t="shared" si="40"/>
        <v>-2</v>
      </c>
      <c r="DI28" s="173">
        <f t="shared" ref="DI28:DI34" si="85">$CY28-$BU28</f>
        <v>-40.715880634390487</v>
      </c>
      <c r="DJ28" s="174">
        <f t="shared" ref="DJ28:DJ34" si="86">MID(U28,2,LEN(U28))-MID(BW28,2,LEN(BW28))</f>
        <v>-2</v>
      </c>
      <c r="DK28" s="175">
        <f t="shared" ref="DK28:DK34" si="87">$AQ28-$BU28</f>
        <v>572</v>
      </c>
      <c r="DL28" s="176">
        <f t="shared" ref="DL28:DL34" si="88">MID(U28,2,LEN(U28))-MID(BW28,2,LEN(BW28))</f>
        <v>-2</v>
      </c>
      <c r="DM28" s="175">
        <f t="shared" ref="DM28:DM34" si="89">MID(U28,2,LEN(U28))-MID(AS28,2,LEN(AS28))</f>
        <v>0</v>
      </c>
      <c r="DN28" s="177"/>
      <c r="DO28" s="178">
        <f t="shared" si="46"/>
        <v>167.0938312813023</v>
      </c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80"/>
      <c r="EC28" s="181">
        <f t="shared" si="47"/>
        <v>40.715880634390487</v>
      </c>
      <c r="EE28" s="181"/>
    </row>
    <row r="29" spans="1:135" s="182" customFormat="1" ht="30">
      <c r="A29" s="74">
        <v>34</v>
      </c>
      <c r="B29" s="74">
        <v>59</v>
      </c>
      <c r="C29" s="138">
        <v>45820</v>
      </c>
      <c r="D29" s="139">
        <v>151000198</v>
      </c>
      <c r="E29" s="138">
        <v>45819</v>
      </c>
      <c r="F29" s="138"/>
      <c r="G29" s="138"/>
      <c r="H29" s="140">
        <v>4015</v>
      </c>
      <c r="I29" s="141">
        <v>4015</v>
      </c>
      <c r="J29" s="142"/>
      <c r="K29" s="568"/>
      <c r="L29" s="337">
        <v>58</v>
      </c>
      <c r="M29" s="144"/>
      <c r="N29" s="144">
        <v>4015</v>
      </c>
      <c r="O29" s="522" t="s">
        <v>180</v>
      </c>
      <c r="P29" s="145" t="s">
        <v>228</v>
      </c>
      <c r="Q29" s="146" t="s">
        <v>276</v>
      </c>
      <c r="R29" s="525"/>
      <c r="S29" s="146" t="s">
        <v>181</v>
      </c>
      <c r="T29" s="525"/>
      <c r="U29" s="147" t="s">
        <v>188</v>
      </c>
      <c r="V29" s="147" t="s">
        <v>189</v>
      </c>
      <c r="W29" s="147">
        <v>4450</v>
      </c>
      <c r="X29" s="519">
        <v>4049.86</v>
      </c>
      <c r="Y29" s="148"/>
      <c r="Z29" s="150"/>
      <c r="AA29" s="149"/>
      <c r="AB29" s="150"/>
      <c r="AC29" s="151"/>
      <c r="AD29" s="151"/>
      <c r="AE29" s="152">
        <f t="shared" si="0"/>
        <v>0</v>
      </c>
      <c r="AF29" s="151"/>
      <c r="AG29" s="152">
        <f t="shared" si="1"/>
        <v>0</v>
      </c>
      <c r="AH29" s="151"/>
      <c r="AI29" s="152">
        <f t="shared" si="2"/>
        <v>0</v>
      </c>
      <c r="AJ29" s="149"/>
      <c r="AK29" s="152">
        <f t="shared" si="70"/>
        <v>0</v>
      </c>
      <c r="AL29" s="149"/>
      <c r="AM29" s="151"/>
      <c r="AN29" s="152">
        <f t="shared" si="3"/>
        <v>0</v>
      </c>
      <c r="AO29" s="151"/>
      <c r="AP29" s="152">
        <f t="shared" si="4"/>
        <v>0</v>
      </c>
      <c r="AQ29" s="174">
        <f>W29</f>
        <v>4450</v>
      </c>
      <c r="AR29" s="152">
        <f t="shared" si="48"/>
        <v>17866750</v>
      </c>
      <c r="AS29" s="149"/>
      <c r="AT29" s="149">
        <f t="shared" si="5"/>
        <v>4450</v>
      </c>
      <c r="AU29" s="152">
        <f t="shared" si="71"/>
        <v>0</v>
      </c>
      <c r="AV29" s="149">
        <f t="shared" si="72"/>
        <v>0</v>
      </c>
      <c r="AW29" s="152">
        <f t="shared" si="73"/>
        <v>0</v>
      </c>
      <c r="AX29" s="151">
        <f t="shared" si="9"/>
        <v>0</v>
      </c>
      <c r="AY29" s="152">
        <f t="shared" si="74"/>
        <v>0</v>
      </c>
      <c r="AZ29" s="153">
        <v>5.4</v>
      </c>
      <c r="BA29" s="153">
        <v>6.915</v>
      </c>
      <c r="BB29" s="153"/>
      <c r="BC29" s="154">
        <f t="shared" si="11"/>
        <v>11.94159</v>
      </c>
      <c r="BD29" s="155">
        <f t="shared" si="68"/>
        <v>47945.483849999997</v>
      </c>
      <c r="BE29" s="156">
        <f t="shared" si="84"/>
        <v>4015</v>
      </c>
      <c r="BF29" s="157">
        <v>509</v>
      </c>
      <c r="BG29" s="157" t="s">
        <v>243</v>
      </c>
      <c r="BH29" s="156">
        <v>11.94</v>
      </c>
      <c r="BI29" s="158">
        <f t="shared" si="14"/>
        <v>47939.1</v>
      </c>
      <c r="BJ29" s="156">
        <v>7</v>
      </c>
      <c r="BK29" s="158">
        <f t="shared" si="15"/>
        <v>28105</v>
      </c>
      <c r="BL29" s="156">
        <v>40.94</v>
      </c>
      <c r="BM29" s="159">
        <f t="shared" si="16"/>
        <v>164374.09999999998</v>
      </c>
      <c r="BN29" s="157">
        <v>3741</v>
      </c>
      <c r="BO29" s="159">
        <f t="shared" si="17"/>
        <v>15020115</v>
      </c>
      <c r="BP29" s="160"/>
      <c r="BQ29" s="156">
        <v>6.67</v>
      </c>
      <c r="BR29" s="158">
        <f t="shared" si="18"/>
        <v>26780.05</v>
      </c>
      <c r="BS29" s="156">
        <v>41.09</v>
      </c>
      <c r="BT29" s="159">
        <f t="shared" si="19"/>
        <v>164976.35</v>
      </c>
      <c r="BU29" s="157">
        <v>3754</v>
      </c>
      <c r="BV29" s="161">
        <f t="shared" si="49"/>
        <v>15072310</v>
      </c>
      <c r="BW29" s="157" t="s">
        <v>184</v>
      </c>
      <c r="BX29" s="157">
        <f t="shared" si="20"/>
        <v>3542</v>
      </c>
      <c r="BY29" s="161">
        <f t="shared" si="50"/>
        <v>14221130</v>
      </c>
      <c r="BZ29" s="157">
        <f t="shared" si="21"/>
        <v>38.770000000000003</v>
      </c>
      <c r="CA29" s="161">
        <f t="shared" si="75"/>
        <v>155661.55000000002</v>
      </c>
      <c r="CB29" s="156">
        <f t="shared" si="23"/>
        <v>5.27</v>
      </c>
      <c r="CC29" s="161">
        <f t="shared" si="76"/>
        <v>21159.05</v>
      </c>
      <c r="CD29" s="162">
        <f t="shared" si="62"/>
        <v>4015</v>
      </c>
      <c r="CE29" s="163">
        <v>5.4</v>
      </c>
      <c r="CF29" s="164">
        <v>6.92</v>
      </c>
      <c r="CG29" s="165">
        <f t="shared" si="51"/>
        <v>11.94632</v>
      </c>
      <c r="CH29" s="166">
        <f t="shared" si="25"/>
        <v>47964.474800000004</v>
      </c>
      <c r="CI29" s="167">
        <v>40.71</v>
      </c>
      <c r="CJ29" s="166">
        <f t="shared" si="52"/>
        <v>163450.65</v>
      </c>
      <c r="CK29" s="168">
        <v>4.03</v>
      </c>
      <c r="CL29" s="166">
        <f t="shared" si="26"/>
        <v>16180.45</v>
      </c>
      <c r="CM29" s="167">
        <v>26.89</v>
      </c>
      <c r="CN29" s="166">
        <f t="shared" si="27"/>
        <v>107963.35</v>
      </c>
      <c r="CO29" s="169">
        <f t="shared" si="28"/>
        <v>4137.7350999999999</v>
      </c>
      <c r="CP29" s="166">
        <f t="shared" si="29"/>
        <v>16613006.4265</v>
      </c>
      <c r="CQ29" s="167">
        <v>3691</v>
      </c>
      <c r="CR29" s="166">
        <f t="shared" si="53"/>
        <v>14819365</v>
      </c>
      <c r="CS29" s="170">
        <f t="shared" si="30"/>
        <v>41.29538918412004</v>
      </c>
      <c r="CT29" s="166">
        <f t="shared" si="31"/>
        <v>165800.98757424197</v>
      </c>
      <c r="CU29" s="168">
        <v>2.65</v>
      </c>
      <c r="CV29" s="166">
        <f t="shared" si="77"/>
        <v>10639.75</v>
      </c>
      <c r="CW29" s="170">
        <f t="shared" si="78"/>
        <v>27.276664582682088</v>
      </c>
      <c r="CX29" s="166">
        <f t="shared" si="79"/>
        <v>109515.80829946858</v>
      </c>
      <c r="CY29" s="171">
        <f t="shared" si="80"/>
        <v>3744.0747108471396</v>
      </c>
      <c r="CZ29" s="166">
        <f t="shared" si="81"/>
        <v>15032459.964051265</v>
      </c>
      <c r="DA29" s="170" t="str">
        <f t="shared" si="83"/>
        <v>G12</v>
      </c>
      <c r="DB29" s="171">
        <f t="shared" si="38"/>
        <v>3386.5388442221529</v>
      </c>
      <c r="DC29" s="166">
        <f t="shared" si="69"/>
        <v>13596953.459551943</v>
      </c>
      <c r="DD29" s="170">
        <f t="shared" si="54"/>
        <v>37.351936155048456</v>
      </c>
      <c r="DE29" s="221">
        <f t="shared" si="55"/>
        <v>149968.02366251955</v>
      </c>
      <c r="DF29" s="222">
        <f t="shared" si="56"/>
        <v>9.2963199999999997</v>
      </c>
      <c r="DG29" s="221">
        <f t="shared" si="57"/>
        <v>37324.724799999996</v>
      </c>
      <c r="DH29" s="172">
        <f t="shared" si="40"/>
        <v>-2</v>
      </c>
      <c r="DI29" s="173">
        <f t="shared" si="85"/>
        <v>-9.9252891528603868</v>
      </c>
      <c r="DJ29" s="174">
        <f t="shared" si="86"/>
        <v>-2</v>
      </c>
      <c r="DK29" s="175">
        <f t="shared" si="87"/>
        <v>696</v>
      </c>
      <c r="DL29" s="176">
        <f t="shared" si="88"/>
        <v>-2</v>
      </c>
      <c r="DM29" s="175" t="e">
        <f t="shared" si="89"/>
        <v>#VALUE!</v>
      </c>
      <c r="DN29" s="177"/>
      <c r="DO29" s="178">
        <f t="shared" si="46"/>
        <v>155.46115577784713</v>
      </c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80"/>
      <c r="EC29" s="181">
        <f t="shared" si="47"/>
        <v>9.9252891528603868</v>
      </c>
      <c r="EE29" s="181"/>
    </row>
    <row r="30" spans="1:135" s="182" customFormat="1" ht="30">
      <c r="A30" s="74">
        <v>35</v>
      </c>
      <c r="B30" s="74">
        <v>61</v>
      </c>
      <c r="C30" s="138">
        <v>45820</v>
      </c>
      <c r="D30" s="139">
        <v>162000380</v>
      </c>
      <c r="E30" s="138">
        <v>45819</v>
      </c>
      <c r="F30" s="138"/>
      <c r="G30" s="138"/>
      <c r="H30" s="647">
        <v>3705.75</v>
      </c>
      <c r="I30" s="141">
        <v>1763.23</v>
      </c>
      <c r="J30" s="142">
        <f>(Y30/X30)*100</f>
        <v>47.581045275569778</v>
      </c>
      <c r="K30" s="143">
        <f>ROUND(((J30*H30)/100),2)</f>
        <v>1763.23</v>
      </c>
      <c r="L30" s="650">
        <v>58</v>
      </c>
      <c r="M30" s="144"/>
      <c r="N30" s="144">
        <v>1763.23</v>
      </c>
      <c r="O30" s="522" t="s">
        <v>180</v>
      </c>
      <c r="P30" s="145" t="s">
        <v>68</v>
      </c>
      <c r="Q30" s="146" t="s">
        <v>62</v>
      </c>
      <c r="R30" s="145"/>
      <c r="S30" s="145" t="s">
        <v>181</v>
      </c>
      <c r="T30" s="145"/>
      <c r="U30" s="147" t="s">
        <v>182</v>
      </c>
      <c r="V30" s="147" t="s">
        <v>183</v>
      </c>
      <c r="W30" s="147">
        <v>4150</v>
      </c>
      <c r="X30" s="653">
        <v>3789.24</v>
      </c>
      <c r="Y30" s="148">
        <v>1802.96</v>
      </c>
      <c r="Z30" s="150" t="s">
        <v>267</v>
      </c>
      <c r="AA30" s="149">
        <v>1666</v>
      </c>
      <c r="AB30" s="150" t="s">
        <v>243</v>
      </c>
      <c r="AC30" s="151">
        <v>1802.96</v>
      </c>
      <c r="AD30" s="151">
        <v>13.1</v>
      </c>
      <c r="AE30" s="152">
        <f t="shared" si="0"/>
        <v>23618.775999999998</v>
      </c>
      <c r="AF30" s="151">
        <v>7.35</v>
      </c>
      <c r="AG30" s="152">
        <f t="shared" si="1"/>
        <v>13251.755999999999</v>
      </c>
      <c r="AH30" s="151">
        <v>34.549999999999997</v>
      </c>
      <c r="AI30" s="152">
        <f t="shared" si="2"/>
        <v>62292.267999999996</v>
      </c>
      <c r="AJ30" s="149">
        <v>4054</v>
      </c>
      <c r="AK30" s="152">
        <f t="shared" si="70"/>
        <v>7309199.8399999999</v>
      </c>
      <c r="AL30" s="149"/>
      <c r="AM30" s="151">
        <v>7.55</v>
      </c>
      <c r="AN30" s="152">
        <f t="shared" si="3"/>
        <v>13612.348</v>
      </c>
      <c r="AO30" s="151">
        <v>34.479999999999997</v>
      </c>
      <c r="AP30" s="152">
        <f t="shared" si="4"/>
        <v>62166.060799999992</v>
      </c>
      <c r="AQ30" s="149">
        <v>4045</v>
      </c>
      <c r="AR30" s="152">
        <f t="shared" si="48"/>
        <v>7132265.3499999996</v>
      </c>
      <c r="AS30" s="149" t="s">
        <v>188</v>
      </c>
      <c r="AT30" s="149">
        <f t="shared" si="5"/>
        <v>3802</v>
      </c>
      <c r="AU30" s="152">
        <f t="shared" si="71"/>
        <v>6854853.9199999999</v>
      </c>
      <c r="AV30" s="149">
        <f t="shared" si="72"/>
        <v>32.409999999999997</v>
      </c>
      <c r="AW30" s="152">
        <f t="shared" si="73"/>
        <v>58433.933599999997</v>
      </c>
      <c r="AX30" s="151">
        <f t="shared" si="9"/>
        <v>5.55</v>
      </c>
      <c r="AY30" s="152">
        <f t="shared" si="74"/>
        <v>10006.428</v>
      </c>
      <c r="AZ30" s="153">
        <v>6.6</v>
      </c>
      <c r="BA30" s="153">
        <v>7.2279999999999998</v>
      </c>
      <c r="BB30" s="153"/>
      <c r="BC30" s="154">
        <f t="shared" si="11"/>
        <v>13.350951999999999</v>
      </c>
      <c r="BD30" s="155">
        <f t="shared" si="68"/>
        <v>23540.799094959999</v>
      </c>
      <c r="BE30" s="156">
        <f t="shared" si="84"/>
        <v>1763.23</v>
      </c>
      <c r="BF30" s="157">
        <v>510</v>
      </c>
      <c r="BG30" s="157" t="s">
        <v>247</v>
      </c>
      <c r="BH30" s="156">
        <v>13.35</v>
      </c>
      <c r="BI30" s="158">
        <f t="shared" si="14"/>
        <v>23539.120500000001</v>
      </c>
      <c r="BJ30" s="156">
        <v>9.07</v>
      </c>
      <c r="BK30" s="158">
        <f t="shared" si="15"/>
        <v>15992.4961</v>
      </c>
      <c r="BL30" s="156">
        <v>40.72</v>
      </c>
      <c r="BM30" s="159">
        <f t="shared" si="16"/>
        <v>71798.725600000005</v>
      </c>
      <c r="BN30" s="157">
        <v>3685</v>
      </c>
      <c r="BO30" s="159">
        <f t="shared" si="17"/>
        <v>6497502.5499999998</v>
      </c>
      <c r="BP30" s="160"/>
      <c r="BQ30" s="156">
        <v>8.2899999999999991</v>
      </c>
      <c r="BR30" s="158">
        <f t="shared" si="18"/>
        <v>14617.176699999998</v>
      </c>
      <c r="BS30" s="156">
        <v>41.07</v>
      </c>
      <c r="BT30" s="159">
        <f t="shared" si="19"/>
        <v>72415.856100000005</v>
      </c>
      <c r="BU30" s="157">
        <v>3717</v>
      </c>
      <c r="BV30" s="161">
        <f t="shared" si="49"/>
        <v>6553925.9100000001</v>
      </c>
      <c r="BW30" s="157" t="s">
        <v>184</v>
      </c>
      <c r="BX30" s="157">
        <f t="shared" si="20"/>
        <v>3512</v>
      </c>
      <c r="BY30" s="161">
        <f t="shared" si="50"/>
        <v>6192463.7599999998</v>
      </c>
      <c r="BZ30" s="157">
        <f t="shared" si="21"/>
        <v>38.799999999999997</v>
      </c>
      <c r="CA30" s="161">
        <f t="shared" si="75"/>
        <v>68413.323999999993</v>
      </c>
      <c r="CB30" s="156">
        <f t="shared" si="23"/>
        <v>5.0600000000000005</v>
      </c>
      <c r="CC30" s="161">
        <f t="shared" si="76"/>
        <v>8921.9438000000009</v>
      </c>
      <c r="CD30" s="162">
        <f t="shared" si="62"/>
        <v>1763.23</v>
      </c>
      <c r="CE30" s="163">
        <v>6.6</v>
      </c>
      <c r="CF30" s="164">
        <v>7.23</v>
      </c>
      <c r="CG30" s="165">
        <f t="shared" si="51"/>
        <v>13.352819999999999</v>
      </c>
      <c r="CH30" s="166">
        <f t="shared" si="25"/>
        <v>23544.092808599999</v>
      </c>
      <c r="CI30" s="167">
        <v>40.22</v>
      </c>
      <c r="CJ30" s="166">
        <f>CI30*$CD30</f>
        <v>70917.1106</v>
      </c>
      <c r="CK30" s="168">
        <v>6.56</v>
      </c>
      <c r="CL30" s="166">
        <f t="shared" si="26"/>
        <v>11566.7888</v>
      </c>
      <c r="CM30" s="167">
        <v>24.26</v>
      </c>
      <c r="CN30" s="166">
        <f t="shared" si="27"/>
        <v>42775.959800000004</v>
      </c>
      <c r="CO30" s="169">
        <f t="shared" si="28"/>
        <v>3815.5821999999998</v>
      </c>
      <c r="CP30" s="166">
        <f t="shared" si="29"/>
        <v>6727749.002506</v>
      </c>
      <c r="CQ30" s="167">
        <v>3654</v>
      </c>
      <c r="CR30" s="166">
        <f>CQ30*$CD30</f>
        <v>6442842.4199999999</v>
      </c>
      <c r="CS30" s="170">
        <f t="shared" si="30"/>
        <v>41.584484160958901</v>
      </c>
      <c r="CT30" s="166">
        <f t="shared" si="31"/>
        <v>73323.010007127566</v>
      </c>
      <c r="CU30" s="168">
        <v>3.39</v>
      </c>
      <c r="CV30" s="166">
        <f t="shared" si="77"/>
        <v>5977.3497000000007</v>
      </c>
      <c r="CW30" s="170">
        <f t="shared" si="78"/>
        <v>25.083032962328765</v>
      </c>
      <c r="CX30" s="166">
        <f t="shared" si="79"/>
        <v>44227.156210166948</v>
      </c>
      <c r="CY30" s="171">
        <f t="shared" si="80"/>
        <v>3777.9638270547944</v>
      </c>
      <c r="CZ30" s="166">
        <f t="shared" si="81"/>
        <v>6661419.1587778255</v>
      </c>
      <c r="DA30" s="170" t="str">
        <f t="shared" si="83"/>
        <v>G12</v>
      </c>
      <c r="DB30" s="171">
        <f t="shared" si="38"/>
        <v>3388.3646802226031</v>
      </c>
      <c r="DC30" s="166">
        <f t="shared" si="69"/>
        <v>5974466.2551089004</v>
      </c>
      <c r="DD30" s="170">
        <f t="shared" si="54"/>
        <v>37.296121357020546</v>
      </c>
      <c r="DE30" s="221">
        <f t="shared" si="55"/>
        <v>65761.640060339341</v>
      </c>
      <c r="DF30" s="222">
        <f t="shared" si="56"/>
        <v>9.9628199999999989</v>
      </c>
      <c r="DG30" s="221">
        <f t="shared" si="57"/>
        <v>17566.7431086</v>
      </c>
      <c r="DH30" s="172">
        <f t="shared" si="40"/>
        <v>-1</v>
      </c>
      <c r="DI30" s="173">
        <f t="shared" si="85"/>
        <v>60.963827054794365</v>
      </c>
      <c r="DJ30" s="174">
        <f t="shared" si="86"/>
        <v>-1</v>
      </c>
      <c r="DK30" s="175">
        <f t="shared" si="87"/>
        <v>328</v>
      </c>
      <c r="DL30" s="176">
        <f t="shared" si="88"/>
        <v>-1</v>
      </c>
      <c r="DM30" s="175">
        <f t="shared" si="89"/>
        <v>1</v>
      </c>
      <c r="DN30" s="177"/>
      <c r="DO30" s="178">
        <f t="shared" si="46"/>
        <v>123.63531977739694</v>
      </c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80"/>
      <c r="EC30" s="181">
        <f t="shared" si="47"/>
        <v>-60.963827054794365</v>
      </c>
      <c r="EE30" s="181"/>
    </row>
    <row r="31" spans="1:135" s="182" customFormat="1" ht="30">
      <c r="A31" s="74">
        <v>36</v>
      </c>
      <c r="B31" s="74">
        <v>61</v>
      </c>
      <c r="C31" s="138">
        <v>45820</v>
      </c>
      <c r="D31" s="139">
        <v>162000380</v>
      </c>
      <c r="E31" s="138">
        <v>45819</v>
      </c>
      <c r="F31" s="138"/>
      <c r="G31" s="138"/>
      <c r="H31" s="649"/>
      <c r="I31" s="141">
        <v>1942.52</v>
      </c>
      <c r="J31" s="142">
        <f>(Y31/X30)*100</f>
        <v>52.418954724430236</v>
      </c>
      <c r="K31" s="143">
        <f>ROUND(((J31*H30)/100),2)</f>
        <v>1942.52</v>
      </c>
      <c r="L31" s="652"/>
      <c r="M31" s="144"/>
      <c r="N31" s="144">
        <v>1942.52</v>
      </c>
      <c r="O31" s="522" t="s">
        <v>180</v>
      </c>
      <c r="P31" s="145" t="s">
        <v>68</v>
      </c>
      <c r="Q31" s="146" t="s">
        <v>63</v>
      </c>
      <c r="R31" s="145"/>
      <c r="S31" s="145" t="s">
        <v>181</v>
      </c>
      <c r="T31" s="145"/>
      <c r="U31" s="147" t="s">
        <v>188</v>
      </c>
      <c r="V31" s="147" t="s">
        <v>189</v>
      </c>
      <c r="W31" s="147">
        <v>4450</v>
      </c>
      <c r="X31" s="655"/>
      <c r="Y31" s="148">
        <v>1986.28</v>
      </c>
      <c r="Z31" s="150" t="s">
        <v>267</v>
      </c>
      <c r="AA31" s="149">
        <v>1666</v>
      </c>
      <c r="AB31" s="150" t="s">
        <v>243</v>
      </c>
      <c r="AC31" s="151">
        <v>1986.28</v>
      </c>
      <c r="AD31" s="151">
        <v>12.86</v>
      </c>
      <c r="AE31" s="152">
        <f t="shared" si="0"/>
        <v>25543.560799999999</v>
      </c>
      <c r="AF31" s="151">
        <v>6.72</v>
      </c>
      <c r="AG31" s="152">
        <f t="shared" si="1"/>
        <v>13347.801599999999</v>
      </c>
      <c r="AH31" s="151">
        <v>31.73</v>
      </c>
      <c r="AI31" s="152">
        <f t="shared" si="2"/>
        <v>63024.664400000001</v>
      </c>
      <c r="AJ31" s="149">
        <v>4395</v>
      </c>
      <c r="AK31" s="152">
        <f t="shared" si="70"/>
        <v>8729700.5999999996</v>
      </c>
      <c r="AL31" s="149"/>
      <c r="AM31" s="151">
        <v>8.34</v>
      </c>
      <c r="AN31" s="152">
        <f t="shared" si="3"/>
        <v>16565.575199999999</v>
      </c>
      <c r="AO31" s="151">
        <v>31.18</v>
      </c>
      <c r="AP31" s="152">
        <f t="shared" si="4"/>
        <v>61932.210399999996</v>
      </c>
      <c r="AQ31" s="149">
        <v>4319</v>
      </c>
      <c r="AR31" s="152">
        <f t="shared" si="48"/>
        <v>8389743.8800000008</v>
      </c>
      <c r="AS31" s="149" t="s">
        <v>188</v>
      </c>
      <c r="AT31" s="149">
        <f t="shared" si="5"/>
        <v>4106</v>
      </c>
      <c r="AU31" s="152">
        <f t="shared" si="71"/>
        <v>8155665.6799999997</v>
      </c>
      <c r="AV31" s="149">
        <f t="shared" si="72"/>
        <v>29.64</v>
      </c>
      <c r="AW31" s="152">
        <f t="shared" si="73"/>
        <v>58873.339200000002</v>
      </c>
      <c r="AX31" s="151">
        <f t="shared" si="9"/>
        <v>4.5199999999999996</v>
      </c>
      <c r="AY31" s="152">
        <f t="shared" si="74"/>
        <v>8977.9855999999982</v>
      </c>
      <c r="AZ31" s="153">
        <v>6.6</v>
      </c>
      <c r="BA31" s="153">
        <v>7.2279999999999998</v>
      </c>
      <c r="BB31" s="153"/>
      <c r="BC31" s="154">
        <f t="shared" si="11"/>
        <v>13.350951999999999</v>
      </c>
      <c r="BD31" s="155">
        <f t="shared" si="68"/>
        <v>25934.491279039998</v>
      </c>
      <c r="BE31" s="156">
        <f t="shared" si="84"/>
        <v>1942.52</v>
      </c>
      <c r="BF31" s="157">
        <v>510</v>
      </c>
      <c r="BG31" s="157" t="s">
        <v>247</v>
      </c>
      <c r="BH31" s="156">
        <v>13.35</v>
      </c>
      <c r="BI31" s="158">
        <f t="shared" si="14"/>
        <v>25932.642</v>
      </c>
      <c r="BJ31" s="156">
        <v>9.07</v>
      </c>
      <c r="BK31" s="158">
        <f t="shared" si="15"/>
        <v>17618.6564</v>
      </c>
      <c r="BL31" s="156">
        <v>40.72</v>
      </c>
      <c r="BM31" s="159">
        <f t="shared" si="16"/>
        <v>79099.414399999994</v>
      </c>
      <c r="BN31" s="157">
        <v>3685</v>
      </c>
      <c r="BO31" s="159">
        <f t="shared" si="17"/>
        <v>7158186.2000000002</v>
      </c>
      <c r="BP31" s="160"/>
      <c r="BQ31" s="156">
        <v>8.2899999999999991</v>
      </c>
      <c r="BR31" s="158">
        <f t="shared" si="18"/>
        <v>16103.490799999998</v>
      </c>
      <c r="BS31" s="156">
        <v>41.07</v>
      </c>
      <c r="BT31" s="159">
        <f t="shared" si="19"/>
        <v>79779.296400000007</v>
      </c>
      <c r="BU31" s="157">
        <v>3717</v>
      </c>
      <c r="BV31" s="161">
        <f t="shared" si="49"/>
        <v>7220346.8399999999</v>
      </c>
      <c r="BW31" s="157" t="s">
        <v>184</v>
      </c>
      <c r="BX31" s="157">
        <f t="shared" si="20"/>
        <v>3512</v>
      </c>
      <c r="BY31" s="161">
        <f t="shared" si="50"/>
        <v>6822130.2400000002</v>
      </c>
      <c r="BZ31" s="157">
        <f t="shared" si="21"/>
        <v>38.799999999999997</v>
      </c>
      <c r="CA31" s="161">
        <f t="shared" si="75"/>
        <v>75369.775999999998</v>
      </c>
      <c r="CB31" s="156">
        <f t="shared" si="23"/>
        <v>5.0600000000000005</v>
      </c>
      <c r="CC31" s="161">
        <f t="shared" si="76"/>
        <v>9829.1512000000002</v>
      </c>
      <c r="CD31" s="162">
        <f t="shared" si="62"/>
        <v>1942.52</v>
      </c>
      <c r="CE31" s="163">
        <v>6.6</v>
      </c>
      <c r="CF31" s="164">
        <v>7.23</v>
      </c>
      <c r="CG31" s="165">
        <f t="shared" si="51"/>
        <v>13.352819999999999</v>
      </c>
      <c r="CH31" s="166">
        <f t="shared" si="25"/>
        <v>25938.119906399999</v>
      </c>
      <c r="CI31" s="167">
        <v>40.22</v>
      </c>
      <c r="CJ31" s="166">
        <f>CI31*$CD31</f>
        <v>78128.154399999999</v>
      </c>
      <c r="CK31" s="168">
        <v>6.56</v>
      </c>
      <c r="CL31" s="166">
        <f t="shared" si="26"/>
        <v>12742.931199999999</v>
      </c>
      <c r="CM31" s="167">
        <v>24.26</v>
      </c>
      <c r="CN31" s="166">
        <f t="shared" si="27"/>
        <v>47125.535200000006</v>
      </c>
      <c r="CO31" s="169">
        <f t="shared" si="28"/>
        <v>3815.5821999999998</v>
      </c>
      <c r="CP31" s="166">
        <f t="shared" si="29"/>
        <v>7411844.7351439996</v>
      </c>
      <c r="CQ31" s="167">
        <v>3654</v>
      </c>
      <c r="CR31" s="166">
        <f>CQ31*$CD31</f>
        <v>7097968.0800000001</v>
      </c>
      <c r="CS31" s="170">
        <f t="shared" si="30"/>
        <v>41.584484160958901</v>
      </c>
      <c r="CT31" s="166">
        <f t="shared" si="31"/>
        <v>80778.69217234588</v>
      </c>
      <c r="CU31" s="168">
        <v>3.39</v>
      </c>
      <c r="CV31" s="166">
        <f t="shared" si="77"/>
        <v>6585.1428000000005</v>
      </c>
      <c r="CW31" s="170">
        <f t="shared" si="78"/>
        <v>25.083032962328765</v>
      </c>
      <c r="CX31" s="166">
        <f t="shared" si="79"/>
        <v>48724.293189982876</v>
      </c>
      <c r="CY31" s="171">
        <f t="shared" si="80"/>
        <v>3777.9638270547944</v>
      </c>
      <c r="CZ31" s="166">
        <f t="shared" si="81"/>
        <v>7338770.2933304794</v>
      </c>
      <c r="DA31" s="170" t="str">
        <f t="shared" si="83"/>
        <v>G12</v>
      </c>
      <c r="DB31" s="171">
        <f t="shared" si="38"/>
        <v>3388.3646802226031</v>
      </c>
      <c r="DC31" s="166">
        <f t="shared" si="69"/>
        <v>6581966.1586260106</v>
      </c>
      <c r="DD31" s="170">
        <f t="shared" si="54"/>
        <v>37.296121357020546</v>
      </c>
      <c r="DE31" s="221">
        <f t="shared" si="55"/>
        <v>72448.461658439555</v>
      </c>
      <c r="DF31" s="222">
        <f t="shared" si="56"/>
        <v>9.9628199999999989</v>
      </c>
      <c r="DG31" s="221">
        <f t="shared" si="57"/>
        <v>19352.977106399998</v>
      </c>
      <c r="DH31" s="172">
        <f t="shared" si="40"/>
        <v>-2</v>
      </c>
      <c r="DI31" s="173">
        <f t="shared" si="85"/>
        <v>60.963827054794365</v>
      </c>
      <c r="DJ31" s="174">
        <f t="shared" si="86"/>
        <v>-2</v>
      </c>
      <c r="DK31" s="175">
        <f t="shared" si="87"/>
        <v>602</v>
      </c>
      <c r="DL31" s="176">
        <f t="shared" si="88"/>
        <v>-2</v>
      </c>
      <c r="DM31" s="175">
        <f t="shared" si="89"/>
        <v>0</v>
      </c>
      <c r="DN31" s="177"/>
      <c r="DO31" s="178">
        <f t="shared" si="46"/>
        <v>123.63531977739694</v>
      </c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80"/>
      <c r="EC31" s="181">
        <f t="shared" si="47"/>
        <v>-60.963827054794365</v>
      </c>
      <c r="EE31" s="181"/>
    </row>
    <row r="32" spans="1:135" s="182" customFormat="1" ht="30">
      <c r="A32" s="74">
        <v>37</v>
      </c>
      <c r="B32" s="74">
        <v>62</v>
      </c>
      <c r="C32" s="138">
        <v>45821</v>
      </c>
      <c r="D32" s="139">
        <v>151001328</v>
      </c>
      <c r="E32" s="138">
        <v>45818</v>
      </c>
      <c r="F32" s="138"/>
      <c r="G32" s="138"/>
      <c r="H32" s="140">
        <v>4120.45</v>
      </c>
      <c r="I32" s="141">
        <v>4120.45</v>
      </c>
      <c r="J32" s="142"/>
      <c r="K32" s="568"/>
      <c r="L32" s="337">
        <v>59</v>
      </c>
      <c r="M32" s="144"/>
      <c r="N32" s="144">
        <v>4120.45</v>
      </c>
      <c r="O32" s="522" t="s">
        <v>180</v>
      </c>
      <c r="P32" s="145" t="s">
        <v>71</v>
      </c>
      <c r="Q32" s="146" t="s">
        <v>52</v>
      </c>
      <c r="R32" s="145"/>
      <c r="S32" s="145" t="s">
        <v>181</v>
      </c>
      <c r="T32" s="145"/>
      <c r="U32" s="147" t="s">
        <v>190</v>
      </c>
      <c r="V32" s="147" t="s">
        <v>194</v>
      </c>
      <c r="W32" s="147">
        <v>3550</v>
      </c>
      <c r="X32" s="519">
        <v>4148.7</v>
      </c>
      <c r="Y32" s="148">
        <v>4148.7</v>
      </c>
      <c r="Z32" s="150" t="s">
        <v>262</v>
      </c>
      <c r="AA32" s="149">
        <v>1672</v>
      </c>
      <c r="AB32" s="150" t="s">
        <v>243</v>
      </c>
      <c r="AC32" s="151">
        <v>4148.7</v>
      </c>
      <c r="AD32" s="151">
        <v>10.46</v>
      </c>
      <c r="AE32" s="152">
        <f t="shared" si="0"/>
        <v>43395.402000000002</v>
      </c>
      <c r="AF32" s="151">
        <v>7.83</v>
      </c>
      <c r="AG32" s="152">
        <f t="shared" si="1"/>
        <v>32484.321</v>
      </c>
      <c r="AH32" s="151">
        <v>41.69</v>
      </c>
      <c r="AI32" s="152">
        <f t="shared" si="2"/>
        <v>172959.30299999999</v>
      </c>
      <c r="AJ32" s="149">
        <v>3519</v>
      </c>
      <c r="AK32" s="152">
        <f t="shared" si="70"/>
        <v>14599275.299999999</v>
      </c>
      <c r="AL32" s="149"/>
      <c r="AM32" s="151">
        <v>8.81</v>
      </c>
      <c r="AN32" s="152">
        <f t="shared" si="3"/>
        <v>36550.046999999999</v>
      </c>
      <c r="AO32" s="151">
        <v>41.25</v>
      </c>
      <c r="AP32" s="152">
        <f t="shared" si="4"/>
        <v>171133.875</v>
      </c>
      <c r="AQ32" s="149">
        <v>3482</v>
      </c>
      <c r="AR32" s="152">
        <f t="shared" si="48"/>
        <v>14347406.899999999</v>
      </c>
      <c r="AS32" s="149" t="s">
        <v>190</v>
      </c>
      <c r="AT32" s="149">
        <f t="shared" si="5"/>
        <v>3419</v>
      </c>
      <c r="AU32" s="152">
        <f t="shared" si="71"/>
        <v>14184405.299999999</v>
      </c>
      <c r="AV32" s="149">
        <f t="shared" si="72"/>
        <v>40.5</v>
      </c>
      <c r="AW32" s="152">
        <f t="shared" si="73"/>
        <v>168022.35</v>
      </c>
      <c r="AX32" s="151">
        <f t="shared" si="9"/>
        <v>1.6500000000000004</v>
      </c>
      <c r="AY32" s="152">
        <f t="shared" si="74"/>
        <v>6845.3550000000014</v>
      </c>
      <c r="AZ32" s="153">
        <v>5.0999999999999996</v>
      </c>
      <c r="BA32" s="153">
        <v>9.7100000000000009</v>
      </c>
      <c r="BB32" s="153"/>
      <c r="BC32" s="154">
        <f t="shared" si="11"/>
        <v>14.31479</v>
      </c>
      <c r="BD32" s="155">
        <f t="shared" si="68"/>
        <v>58983.376455500002</v>
      </c>
      <c r="BE32" s="156">
        <f t="shared" si="84"/>
        <v>4120.45</v>
      </c>
      <c r="BF32" s="157">
        <v>510</v>
      </c>
      <c r="BG32" s="157" t="s">
        <v>247</v>
      </c>
      <c r="BH32" s="156">
        <v>14.31</v>
      </c>
      <c r="BI32" s="158">
        <f t="shared" si="14"/>
        <v>58963.639499999997</v>
      </c>
      <c r="BJ32" s="156">
        <v>9.34</v>
      </c>
      <c r="BK32" s="158">
        <f t="shared" si="15"/>
        <v>38485.002999999997</v>
      </c>
      <c r="BL32" s="156">
        <v>40.85</v>
      </c>
      <c r="BM32" s="159">
        <f t="shared" si="16"/>
        <v>168320.38250000001</v>
      </c>
      <c r="BN32" s="157">
        <v>3244</v>
      </c>
      <c r="BO32" s="159">
        <f t="shared" si="17"/>
        <v>13366739.799999999</v>
      </c>
      <c r="BP32" s="160"/>
      <c r="BQ32" s="156">
        <v>8.3800000000000008</v>
      </c>
      <c r="BR32" s="158">
        <f t="shared" si="18"/>
        <v>34529.370999999999</v>
      </c>
      <c r="BS32" s="156">
        <v>41.28</v>
      </c>
      <c r="BT32" s="159">
        <f t="shared" si="19"/>
        <v>170092.17600000001</v>
      </c>
      <c r="BU32" s="157">
        <v>3278</v>
      </c>
      <c r="BV32" s="161">
        <f t="shared" si="49"/>
        <v>13506835.1</v>
      </c>
      <c r="BW32" s="157" t="s">
        <v>193</v>
      </c>
      <c r="BX32" s="157">
        <f t="shared" si="20"/>
        <v>3066</v>
      </c>
      <c r="BY32" s="161">
        <f t="shared" si="50"/>
        <v>12633299.699999999</v>
      </c>
      <c r="BZ32" s="157">
        <f t="shared" si="21"/>
        <v>38.61</v>
      </c>
      <c r="CA32" s="161">
        <f t="shared" si="75"/>
        <v>159090.57449999999</v>
      </c>
      <c r="CB32" s="156">
        <f t="shared" si="23"/>
        <v>5.93</v>
      </c>
      <c r="CC32" s="161">
        <f t="shared" si="76"/>
        <v>24434.268499999998</v>
      </c>
      <c r="CD32" s="162">
        <f t="shared" si="62"/>
        <v>4120.45</v>
      </c>
      <c r="CE32" s="163">
        <v>5.0999999999999996</v>
      </c>
      <c r="CF32" s="164">
        <v>9.7100000000000009</v>
      </c>
      <c r="CG32" s="165">
        <f t="shared" si="51"/>
        <v>14.31479</v>
      </c>
      <c r="CH32" s="166">
        <f t="shared" si="25"/>
        <v>58983.376455500002</v>
      </c>
      <c r="CI32" s="167">
        <v>45.11</v>
      </c>
      <c r="CJ32" s="166">
        <f t="shared" si="52"/>
        <v>185873.49949999998</v>
      </c>
      <c r="CK32" s="168">
        <v>6.15</v>
      </c>
      <c r="CL32" s="166">
        <f t="shared" si="26"/>
        <v>25340.767500000002</v>
      </c>
      <c r="CM32" s="167">
        <v>23.04</v>
      </c>
      <c r="CN32" s="166">
        <f t="shared" si="27"/>
        <v>94935.167999999991</v>
      </c>
      <c r="CO32" s="169">
        <f t="shared" si="28"/>
        <v>3415.0638999999992</v>
      </c>
      <c r="CP32" s="166">
        <f t="shared" si="29"/>
        <v>14071600.046754995</v>
      </c>
      <c r="CQ32" s="167">
        <v>3249</v>
      </c>
      <c r="CR32" s="166">
        <f t="shared" si="53"/>
        <v>13387342.049999999</v>
      </c>
      <c r="CS32" s="170">
        <f t="shared" si="30"/>
        <v>46.302038359083639</v>
      </c>
      <c r="CT32" s="166">
        <f t="shared" si="31"/>
        <v>190785.23395668616</v>
      </c>
      <c r="CU32" s="168">
        <v>3.67</v>
      </c>
      <c r="CV32" s="166">
        <f t="shared" si="77"/>
        <v>15122.0515</v>
      </c>
      <c r="CW32" s="170">
        <f t="shared" si="78"/>
        <v>23.648835375599358</v>
      </c>
      <c r="CX32" s="166">
        <f t="shared" si="79"/>
        <v>97443.843723388374</v>
      </c>
      <c r="CY32" s="171">
        <f t="shared" si="80"/>
        <v>3334.8553010122532</v>
      </c>
      <c r="CZ32" s="166">
        <f t="shared" si="81"/>
        <v>13741104.525055937</v>
      </c>
      <c r="DA32" s="170" t="str">
        <f t="shared" si="83"/>
        <v>G14</v>
      </c>
      <c r="DB32" s="171">
        <f t="shared" si="38"/>
        <v>2966.3425390516782</v>
      </c>
      <c r="DC32" s="166">
        <f t="shared" si="69"/>
        <v>12222666.115035487</v>
      </c>
      <c r="DD32" s="170">
        <f t="shared" si="54"/>
        <v>41.185506905700585</v>
      </c>
      <c r="DE32" s="221">
        <f t="shared" si="55"/>
        <v>169702.82192959398</v>
      </c>
      <c r="DF32" s="222">
        <f t="shared" si="56"/>
        <v>10.64479</v>
      </c>
      <c r="DG32" s="221">
        <f t="shared" si="57"/>
        <v>43861.3249555</v>
      </c>
      <c r="DH32" s="172">
        <f t="shared" si="40"/>
        <v>-1</v>
      </c>
      <c r="DI32" s="173">
        <f t="shared" si="85"/>
        <v>56.855301012253221</v>
      </c>
      <c r="DJ32" s="174">
        <f t="shared" si="86"/>
        <v>-1</v>
      </c>
      <c r="DK32" s="175">
        <f t="shared" si="87"/>
        <v>204</v>
      </c>
      <c r="DL32" s="176">
        <f t="shared" si="88"/>
        <v>-1</v>
      </c>
      <c r="DM32" s="175">
        <f t="shared" si="89"/>
        <v>0</v>
      </c>
      <c r="DN32" s="177"/>
      <c r="DO32" s="178">
        <f t="shared" si="46"/>
        <v>99.657460948321841</v>
      </c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80"/>
      <c r="EC32" s="181">
        <f t="shared" si="47"/>
        <v>-56.855301012253221</v>
      </c>
      <c r="EE32" s="181"/>
    </row>
    <row r="33" spans="1:135" s="182" customFormat="1" ht="30">
      <c r="A33" s="74">
        <v>39</v>
      </c>
      <c r="B33" s="74">
        <v>66</v>
      </c>
      <c r="C33" s="138">
        <v>45822</v>
      </c>
      <c r="D33" s="139">
        <v>161002896</v>
      </c>
      <c r="E33" s="138">
        <v>45821</v>
      </c>
      <c r="F33" s="138"/>
      <c r="G33" s="138"/>
      <c r="H33" s="140">
        <v>3427.2</v>
      </c>
      <c r="I33" s="141">
        <v>3427.2</v>
      </c>
      <c r="J33" s="142"/>
      <c r="K33" s="568"/>
      <c r="L33" s="337">
        <v>51</v>
      </c>
      <c r="M33" s="144"/>
      <c r="N33" s="144">
        <v>3427.2</v>
      </c>
      <c r="O33" s="522" t="s">
        <v>180</v>
      </c>
      <c r="P33" s="145" t="s">
        <v>70</v>
      </c>
      <c r="Q33" s="146" t="s">
        <v>64</v>
      </c>
      <c r="R33" s="145"/>
      <c r="S33" s="145" t="s">
        <v>181</v>
      </c>
      <c r="T33" s="145"/>
      <c r="U33" s="147" t="s">
        <v>188</v>
      </c>
      <c r="V33" s="147" t="s">
        <v>189</v>
      </c>
      <c r="W33" s="147">
        <v>4450</v>
      </c>
      <c r="X33" s="519">
        <v>3454.62</v>
      </c>
      <c r="Y33" s="148">
        <v>3454.62</v>
      </c>
      <c r="Z33" s="150"/>
      <c r="AA33" s="149"/>
      <c r="AB33" s="150"/>
      <c r="AC33" s="151"/>
      <c r="AD33" s="151"/>
      <c r="AE33" s="152">
        <f t="shared" si="0"/>
        <v>0</v>
      </c>
      <c r="AF33" s="151"/>
      <c r="AG33" s="152">
        <f t="shared" si="1"/>
        <v>0</v>
      </c>
      <c r="AH33" s="151"/>
      <c r="AI33" s="152">
        <f t="shared" si="2"/>
        <v>0</v>
      </c>
      <c r="AJ33" s="149"/>
      <c r="AK33" s="152">
        <f t="shared" si="70"/>
        <v>0</v>
      </c>
      <c r="AL33" s="149"/>
      <c r="AM33" s="151"/>
      <c r="AN33" s="152">
        <f t="shared" si="3"/>
        <v>0</v>
      </c>
      <c r="AO33" s="151"/>
      <c r="AP33" s="152">
        <f t="shared" si="4"/>
        <v>0</v>
      </c>
      <c r="AQ33" s="174">
        <f t="shared" ref="AQ33:AQ34" si="90">W33</f>
        <v>4450</v>
      </c>
      <c r="AR33" s="152">
        <f t="shared" si="48"/>
        <v>15251040</v>
      </c>
      <c r="AS33" s="149"/>
      <c r="AT33" s="149">
        <f t="shared" si="5"/>
        <v>4450</v>
      </c>
      <c r="AU33" s="152">
        <f t="shared" si="71"/>
        <v>0</v>
      </c>
      <c r="AV33" s="149">
        <f t="shared" si="72"/>
        <v>0</v>
      </c>
      <c r="AW33" s="152">
        <f t="shared" si="73"/>
        <v>0</v>
      </c>
      <c r="AX33" s="151">
        <f t="shared" si="9"/>
        <v>0</v>
      </c>
      <c r="AY33" s="152">
        <f t="shared" si="74"/>
        <v>0</v>
      </c>
      <c r="AZ33" s="153">
        <v>3.9</v>
      </c>
      <c r="BA33" s="153">
        <v>8.3930000000000007</v>
      </c>
      <c r="BB33" s="153"/>
      <c r="BC33" s="154">
        <f t="shared" si="11"/>
        <v>11.965673000000001</v>
      </c>
      <c r="BD33" s="155">
        <f t="shared" si="68"/>
        <v>41008.754505600002</v>
      </c>
      <c r="BE33" s="156">
        <f t="shared" si="84"/>
        <v>3427.2</v>
      </c>
      <c r="BF33" s="157">
        <v>510</v>
      </c>
      <c r="BG33" s="157" t="s">
        <v>247</v>
      </c>
      <c r="BH33" s="156">
        <v>11.97</v>
      </c>
      <c r="BI33" s="158">
        <f t="shared" si="14"/>
        <v>41023.584000000003</v>
      </c>
      <c r="BJ33" s="156">
        <v>9.06</v>
      </c>
      <c r="BK33" s="158">
        <f t="shared" si="15"/>
        <v>31050.432000000001</v>
      </c>
      <c r="BL33" s="156">
        <v>41.18</v>
      </c>
      <c r="BM33" s="159">
        <f t="shared" si="16"/>
        <v>141132.09599999999</v>
      </c>
      <c r="BN33" s="157">
        <v>3311</v>
      </c>
      <c r="BO33" s="159">
        <f t="shared" si="17"/>
        <v>11347459.199999999</v>
      </c>
      <c r="BP33" s="160"/>
      <c r="BQ33" s="156">
        <v>8.34</v>
      </c>
      <c r="BR33" s="158">
        <f t="shared" si="18"/>
        <v>28582.847999999998</v>
      </c>
      <c r="BS33" s="156">
        <v>41.51</v>
      </c>
      <c r="BT33" s="159">
        <f t="shared" si="19"/>
        <v>142263.07199999999</v>
      </c>
      <c r="BU33" s="157">
        <v>3337</v>
      </c>
      <c r="BV33" s="161">
        <f t="shared" si="49"/>
        <v>11436566.399999999</v>
      </c>
      <c r="BW33" s="157" t="s">
        <v>193</v>
      </c>
      <c r="BX33" s="157">
        <f t="shared" si="20"/>
        <v>3205</v>
      </c>
      <c r="BY33" s="161">
        <f t="shared" si="50"/>
        <v>10984176</v>
      </c>
      <c r="BZ33" s="157">
        <f t="shared" si="21"/>
        <v>39.869999999999997</v>
      </c>
      <c r="CA33" s="161">
        <f t="shared" si="75"/>
        <v>136642.46399999998</v>
      </c>
      <c r="CB33" s="156">
        <f t="shared" si="23"/>
        <v>3.6300000000000008</v>
      </c>
      <c r="CC33" s="161">
        <f t="shared" si="76"/>
        <v>12440.736000000003</v>
      </c>
      <c r="CD33" s="162">
        <f t="shared" si="62"/>
        <v>3427.2</v>
      </c>
      <c r="CE33" s="163">
        <v>3.9</v>
      </c>
      <c r="CF33" s="164">
        <v>8.39</v>
      </c>
      <c r="CG33" s="165">
        <f t="shared" si="51"/>
        <v>11.96279</v>
      </c>
      <c r="CH33" s="166">
        <f t="shared" si="25"/>
        <v>40998.873887999995</v>
      </c>
      <c r="CI33" s="167">
        <v>44.09</v>
      </c>
      <c r="CJ33" s="166">
        <f>CI33*$CD33</f>
        <v>151105.24799999999</v>
      </c>
      <c r="CK33" s="168">
        <v>6.04</v>
      </c>
      <c r="CL33" s="166">
        <f t="shared" si="26"/>
        <v>20700.288</v>
      </c>
      <c r="CM33" s="167">
        <v>23.32</v>
      </c>
      <c r="CN33" s="166">
        <f t="shared" si="27"/>
        <v>79922.304000000004</v>
      </c>
      <c r="CO33" s="169">
        <f t="shared" si="28"/>
        <v>3527.0676999999996</v>
      </c>
      <c r="CP33" s="166">
        <f t="shared" si="29"/>
        <v>12087966.421439998</v>
      </c>
      <c r="CQ33" s="167">
        <v>3325</v>
      </c>
      <c r="CR33" s="166">
        <f>CQ33*$CD33</f>
        <v>11395440</v>
      </c>
      <c r="CS33" s="170">
        <f t="shared" si="30"/>
        <v>45.145795019157099</v>
      </c>
      <c r="CT33" s="166">
        <f t="shared" si="31"/>
        <v>154723.6686896552</v>
      </c>
      <c r="CU33" s="168">
        <v>3.79</v>
      </c>
      <c r="CV33" s="166">
        <f t="shared" si="77"/>
        <v>12989.088</v>
      </c>
      <c r="CW33" s="170">
        <f t="shared" si="78"/>
        <v>23.878429118773948</v>
      </c>
      <c r="CX33" s="166">
        <f t="shared" si="79"/>
        <v>81836.15227586207</v>
      </c>
      <c r="CY33" s="171">
        <f t="shared" si="80"/>
        <v>3404.6216475095789</v>
      </c>
      <c r="CZ33" s="166">
        <f t="shared" si="81"/>
        <v>11668319.310344828</v>
      </c>
      <c r="DA33" s="170" t="str">
        <f t="shared" si="83"/>
        <v>G13</v>
      </c>
      <c r="DB33" s="171">
        <f t="shared" si="38"/>
        <v>3115.4078677096641</v>
      </c>
      <c r="DC33" s="166">
        <f t="shared" si="69"/>
        <v>10677125.84421456</v>
      </c>
      <c r="DD33" s="170">
        <f t="shared" si="54"/>
        <v>41.310776808216268</v>
      </c>
      <c r="DE33" s="221">
        <f t="shared" si="55"/>
        <v>141580.29427711878</v>
      </c>
      <c r="DF33" s="222">
        <f t="shared" si="56"/>
        <v>8.1727899999999991</v>
      </c>
      <c r="DG33" s="221">
        <f t="shared" si="57"/>
        <v>28009.785887999995</v>
      </c>
      <c r="DH33" s="172">
        <f t="shared" si="40"/>
        <v>-3</v>
      </c>
      <c r="DI33" s="173">
        <f t="shared" si="85"/>
        <v>67.621647509578906</v>
      </c>
      <c r="DJ33" s="174">
        <f t="shared" si="86"/>
        <v>-4</v>
      </c>
      <c r="DK33" s="175">
        <f t="shared" si="87"/>
        <v>1113</v>
      </c>
      <c r="DL33" s="176">
        <f t="shared" si="88"/>
        <v>-4</v>
      </c>
      <c r="DM33" s="175" t="e">
        <f t="shared" si="89"/>
        <v>#VALUE!</v>
      </c>
      <c r="DN33" s="177"/>
      <c r="DO33" s="178">
        <f t="shared" si="46"/>
        <v>89.59213229033594</v>
      </c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80"/>
      <c r="EC33" s="181">
        <f t="shared" si="47"/>
        <v>-67.621647509578906</v>
      </c>
      <c r="EE33" s="181"/>
    </row>
    <row r="34" spans="1:135" s="182" customFormat="1" ht="30">
      <c r="A34" s="74">
        <v>40</v>
      </c>
      <c r="B34" s="74">
        <v>71</v>
      </c>
      <c r="C34" s="138">
        <v>45823</v>
      </c>
      <c r="D34" s="139">
        <v>151001331</v>
      </c>
      <c r="E34" s="138">
        <v>45821</v>
      </c>
      <c r="F34" s="138"/>
      <c r="G34" s="138"/>
      <c r="H34" s="140">
        <v>4136.3500000000004</v>
      </c>
      <c r="I34" s="141">
        <v>4136.3500000000004</v>
      </c>
      <c r="J34" s="142"/>
      <c r="K34" s="568"/>
      <c r="L34" s="337">
        <v>59</v>
      </c>
      <c r="M34" s="144"/>
      <c r="N34" s="144">
        <v>4136.3500000000004</v>
      </c>
      <c r="O34" s="522" t="s">
        <v>180</v>
      </c>
      <c r="P34" s="145" t="s">
        <v>71</v>
      </c>
      <c r="Q34" s="145" t="s">
        <v>52</v>
      </c>
      <c r="R34" s="145"/>
      <c r="S34" s="145" t="s">
        <v>181</v>
      </c>
      <c r="T34" s="145"/>
      <c r="U34" s="147" t="s">
        <v>188</v>
      </c>
      <c r="V34" s="147" t="s">
        <v>189</v>
      </c>
      <c r="W34" s="147">
        <v>4450</v>
      </c>
      <c r="X34" s="519">
        <v>4168.3500000000004</v>
      </c>
      <c r="Y34" s="148">
        <v>4168.3500000000004</v>
      </c>
      <c r="Z34" s="150"/>
      <c r="AA34" s="149"/>
      <c r="AB34" s="150"/>
      <c r="AC34" s="151"/>
      <c r="AD34" s="151"/>
      <c r="AE34" s="152">
        <f t="shared" si="0"/>
        <v>0</v>
      </c>
      <c r="AF34" s="151"/>
      <c r="AG34" s="152">
        <f t="shared" si="1"/>
        <v>0</v>
      </c>
      <c r="AH34" s="151"/>
      <c r="AI34" s="152">
        <f t="shared" si="2"/>
        <v>0</v>
      </c>
      <c r="AJ34" s="149"/>
      <c r="AK34" s="152">
        <f t="shared" si="70"/>
        <v>0</v>
      </c>
      <c r="AL34" s="149"/>
      <c r="AM34" s="151"/>
      <c r="AN34" s="152">
        <f t="shared" si="3"/>
        <v>0</v>
      </c>
      <c r="AO34" s="151"/>
      <c r="AP34" s="152">
        <f t="shared" si="4"/>
        <v>0</v>
      </c>
      <c r="AQ34" s="174">
        <f t="shared" si="90"/>
        <v>4450</v>
      </c>
      <c r="AR34" s="152">
        <f t="shared" si="48"/>
        <v>18406757.5</v>
      </c>
      <c r="AS34" s="149"/>
      <c r="AT34" s="149">
        <f t="shared" si="5"/>
        <v>4450</v>
      </c>
      <c r="AU34" s="152">
        <f t="shared" si="71"/>
        <v>0</v>
      </c>
      <c r="AV34" s="149">
        <f t="shared" si="72"/>
        <v>0</v>
      </c>
      <c r="AW34" s="152">
        <f t="shared" si="73"/>
        <v>0</v>
      </c>
      <c r="AX34" s="151">
        <f t="shared" si="9"/>
        <v>0</v>
      </c>
      <c r="AY34" s="152">
        <f t="shared" si="74"/>
        <v>0</v>
      </c>
      <c r="AZ34" s="153">
        <v>7</v>
      </c>
      <c r="BA34" s="153">
        <v>8.1120000000000001</v>
      </c>
      <c r="BB34" s="153"/>
      <c r="BC34" s="154">
        <f t="shared" si="11"/>
        <v>14.54416</v>
      </c>
      <c r="BD34" s="155">
        <f t="shared" si="68"/>
        <v>60159.736216000005</v>
      </c>
      <c r="BE34" s="156">
        <f t="shared" si="84"/>
        <v>4136.3500000000004</v>
      </c>
      <c r="BF34" s="157">
        <v>511</v>
      </c>
      <c r="BG34" s="157" t="s">
        <v>248</v>
      </c>
      <c r="BH34" s="156">
        <v>14.54</v>
      </c>
      <c r="BI34" s="158">
        <f t="shared" si="14"/>
        <v>60142.529000000002</v>
      </c>
      <c r="BJ34" s="156">
        <v>7.24</v>
      </c>
      <c r="BK34" s="158">
        <f t="shared" si="15"/>
        <v>29947.174000000003</v>
      </c>
      <c r="BL34" s="156">
        <v>42.63</v>
      </c>
      <c r="BM34" s="159">
        <f t="shared" si="16"/>
        <v>176332.60050000003</v>
      </c>
      <c r="BN34" s="157">
        <v>3316</v>
      </c>
      <c r="BO34" s="159">
        <f t="shared" si="17"/>
        <v>13716136.600000001</v>
      </c>
      <c r="BP34" s="160"/>
      <c r="BQ34" s="156">
        <v>5.98</v>
      </c>
      <c r="BR34" s="158">
        <f t="shared" si="18"/>
        <v>24735.373000000003</v>
      </c>
      <c r="BS34" s="156">
        <v>43.21</v>
      </c>
      <c r="BT34" s="159">
        <f t="shared" si="19"/>
        <v>178731.68350000001</v>
      </c>
      <c r="BU34" s="157">
        <v>3361</v>
      </c>
      <c r="BV34" s="161">
        <f t="shared" si="49"/>
        <v>13902272.350000001</v>
      </c>
      <c r="BW34" s="157" t="s">
        <v>193</v>
      </c>
      <c r="BX34" s="157">
        <f t="shared" si="20"/>
        <v>3055</v>
      </c>
      <c r="BY34" s="161">
        <f t="shared" si="50"/>
        <v>12636549.250000002</v>
      </c>
      <c r="BZ34" s="157">
        <f t="shared" si="21"/>
        <v>39.28</v>
      </c>
      <c r="CA34" s="161">
        <f t="shared" si="75"/>
        <v>162475.82800000001</v>
      </c>
      <c r="CB34" s="156">
        <f t="shared" si="23"/>
        <v>8.5599999999999987</v>
      </c>
      <c r="CC34" s="161">
        <f t="shared" si="76"/>
        <v>35407.155999999995</v>
      </c>
      <c r="CD34" s="162">
        <f t="shared" si="62"/>
        <v>4136.3500000000004</v>
      </c>
      <c r="CE34" s="163">
        <v>7</v>
      </c>
      <c r="CF34" s="164">
        <v>8.11</v>
      </c>
      <c r="CG34" s="165">
        <f t="shared" si="51"/>
        <v>14.542299999999999</v>
      </c>
      <c r="CH34" s="166">
        <f t="shared" si="25"/>
        <v>60152.042605000002</v>
      </c>
      <c r="CI34" s="167">
        <v>43.75</v>
      </c>
      <c r="CJ34" s="166">
        <f>CI34*$CD34</f>
        <v>180965.31250000003</v>
      </c>
      <c r="CK34" s="168">
        <v>5.9</v>
      </c>
      <c r="CL34" s="166">
        <f t="shared" si="26"/>
        <v>24404.465000000004</v>
      </c>
      <c r="CM34" s="167">
        <v>25.73</v>
      </c>
      <c r="CN34" s="166">
        <f t="shared" si="27"/>
        <v>106428.28550000001</v>
      </c>
      <c r="CO34" s="169">
        <f t="shared" si="28"/>
        <v>3579.4434999999994</v>
      </c>
      <c r="CP34" s="166">
        <f t="shared" si="29"/>
        <v>14805831.121224999</v>
      </c>
      <c r="CQ34" s="167">
        <v>3312</v>
      </c>
      <c r="CR34" s="166">
        <f>CQ34*$CD34</f>
        <v>13699591.200000001</v>
      </c>
      <c r="CS34" s="170">
        <f t="shared" si="30"/>
        <v>43.647715196599364</v>
      </c>
      <c r="CT34" s="166">
        <f t="shared" si="31"/>
        <v>180542.22675345378</v>
      </c>
      <c r="CU34" s="168">
        <v>6.12</v>
      </c>
      <c r="CV34" s="166">
        <f t="shared" si="77"/>
        <v>25314.462000000003</v>
      </c>
      <c r="CW34" s="170">
        <f t="shared" si="78"/>
        <v>25.66984484590861</v>
      </c>
      <c r="CX34" s="166">
        <f t="shared" si="79"/>
        <v>106179.46272837408</v>
      </c>
      <c r="CY34" s="171">
        <f t="shared" si="80"/>
        <v>3304.2567481402766</v>
      </c>
      <c r="CZ34" s="166">
        <f t="shared" si="81"/>
        <v>13667562.400170034</v>
      </c>
      <c r="DA34" s="170" t="str">
        <f t="shared" si="83"/>
        <v>G14</v>
      </c>
      <c r="DB34" s="171">
        <f t="shared" si="38"/>
        <v>3007.8204293304998</v>
      </c>
      <c r="DC34" s="166">
        <f t="shared" si="69"/>
        <v>12441398.032861214</v>
      </c>
      <c r="DD34" s="170">
        <f t="shared" si="54"/>
        <v>39.731927470775773</v>
      </c>
      <c r="DE34" s="221">
        <f t="shared" si="55"/>
        <v>164345.15819374338</v>
      </c>
      <c r="DF34" s="222">
        <f t="shared" si="56"/>
        <v>8.4222999999999999</v>
      </c>
      <c r="DG34" s="221">
        <f t="shared" si="57"/>
        <v>34837.580605000003</v>
      </c>
      <c r="DH34" s="172">
        <f t="shared" si="40"/>
        <v>-4</v>
      </c>
      <c r="DI34" s="173">
        <f t="shared" si="85"/>
        <v>-56.743251859723387</v>
      </c>
      <c r="DJ34" s="174">
        <f t="shared" si="86"/>
        <v>-4</v>
      </c>
      <c r="DK34" s="175">
        <f t="shared" si="87"/>
        <v>1089</v>
      </c>
      <c r="DL34" s="176">
        <f t="shared" si="88"/>
        <v>-4</v>
      </c>
      <c r="DM34" s="175" t="e">
        <f t="shared" si="89"/>
        <v>#VALUE!</v>
      </c>
      <c r="DN34" s="177"/>
      <c r="DO34" s="178">
        <f t="shared" si="46"/>
        <v>47.179570669500208</v>
      </c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80"/>
      <c r="EC34" s="181">
        <f t="shared" si="47"/>
        <v>56.743251859723387</v>
      </c>
      <c r="EE34" s="181"/>
    </row>
    <row r="35" spans="1:135" s="182" customFormat="1" ht="30">
      <c r="A35" s="74">
        <v>41</v>
      </c>
      <c r="B35" s="74">
        <v>72</v>
      </c>
      <c r="C35" s="138">
        <v>45823</v>
      </c>
      <c r="D35" s="139">
        <v>161016415</v>
      </c>
      <c r="E35" s="138">
        <v>45820</v>
      </c>
      <c r="F35" s="138"/>
      <c r="G35" s="138"/>
      <c r="H35" s="140">
        <v>3950.4</v>
      </c>
      <c r="I35" s="141">
        <v>3950.4</v>
      </c>
      <c r="J35" s="142"/>
      <c r="K35" s="568"/>
      <c r="L35" s="337">
        <v>59</v>
      </c>
      <c r="M35" s="144"/>
      <c r="N35" s="144">
        <v>3950.4</v>
      </c>
      <c r="O35" s="522" t="s">
        <v>180</v>
      </c>
      <c r="P35" s="145" t="s">
        <v>71</v>
      </c>
      <c r="Q35" s="146" t="s">
        <v>222</v>
      </c>
      <c r="R35" s="145"/>
      <c r="S35" s="145" t="s">
        <v>181</v>
      </c>
      <c r="T35" s="145"/>
      <c r="U35" s="147" t="s">
        <v>190</v>
      </c>
      <c r="V35" s="147" t="s">
        <v>194</v>
      </c>
      <c r="W35" s="147">
        <v>3550</v>
      </c>
      <c r="X35" s="519">
        <v>3977.09</v>
      </c>
      <c r="Y35" s="148">
        <v>3977.09</v>
      </c>
      <c r="Z35" s="150" t="s">
        <v>267</v>
      </c>
      <c r="AA35" s="149">
        <v>1672</v>
      </c>
      <c r="AB35" s="150" t="s">
        <v>243</v>
      </c>
      <c r="AC35" s="151">
        <v>3977.09</v>
      </c>
      <c r="AD35" s="151">
        <v>11.09</v>
      </c>
      <c r="AE35" s="152">
        <f t="shared" si="0"/>
        <v>44105.928100000005</v>
      </c>
      <c r="AF35" s="151">
        <v>6.6</v>
      </c>
      <c r="AG35" s="152">
        <f t="shared" si="1"/>
        <v>26248.793999999998</v>
      </c>
      <c r="AH35" s="151">
        <v>44.12</v>
      </c>
      <c r="AI35" s="152">
        <f t="shared" si="2"/>
        <v>175469.2108</v>
      </c>
      <c r="AJ35" s="149">
        <v>3317</v>
      </c>
      <c r="AK35" s="152">
        <f t="shared" si="70"/>
        <v>13192007.530000001</v>
      </c>
      <c r="AL35" s="149"/>
      <c r="AM35" s="151">
        <v>6.3</v>
      </c>
      <c r="AN35" s="152">
        <f t="shared" si="3"/>
        <v>25055.667000000001</v>
      </c>
      <c r="AO35" s="151">
        <v>44.26</v>
      </c>
      <c r="AP35" s="152">
        <f t="shared" si="4"/>
        <v>176026.00339999999</v>
      </c>
      <c r="AQ35" s="149">
        <v>3328</v>
      </c>
      <c r="AR35" s="152">
        <f t="shared" si="48"/>
        <v>13146931.200000001</v>
      </c>
      <c r="AS35" s="149" t="s">
        <v>193</v>
      </c>
      <c r="AT35" s="149">
        <f t="shared" si="5"/>
        <v>3158</v>
      </c>
      <c r="AU35" s="152">
        <f t="shared" si="71"/>
        <v>12559650.220000001</v>
      </c>
      <c r="AV35" s="149">
        <f t="shared" si="72"/>
        <v>42</v>
      </c>
      <c r="AW35" s="152">
        <f t="shared" si="73"/>
        <v>167037.78</v>
      </c>
      <c r="AX35" s="151">
        <f t="shared" si="9"/>
        <v>4.79</v>
      </c>
      <c r="AY35" s="152">
        <f t="shared" si="74"/>
        <v>19050.2611</v>
      </c>
      <c r="AZ35" s="153">
        <v>6.2</v>
      </c>
      <c r="BA35" s="153">
        <v>7.45</v>
      </c>
      <c r="BB35" s="153"/>
      <c r="BC35" s="154">
        <f t="shared" si="11"/>
        <v>13.188099999999999</v>
      </c>
      <c r="BD35" s="155">
        <f t="shared" si="68"/>
        <v>52098.270239999998</v>
      </c>
      <c r="BE35" s="156">
        <f t="shared" si="84"/>
        <v>3950.4</v>
      </c>
      <c r="BF35" s="157">
        <v>511</v>
      </c>
      <c r="BG35" s="157" t="s">
        <v>248</v>
      </c>
      <c r="BH35" s="156">
        <v>13.19</v>
      </c>
      <c r="BI35" s="158">
        <f t="shared" si="14"/>
        <v>52105.775999999998</v>
      </c>
      <c r="BJ35" s="156">
        <v>7.09</v>
      </c>
      <c r="BK35" s="158">
        <f t="shared" si="15"/>
        <v>28008.335999999999</v>
      </c>
      <c r="BL35" s="156">
        <v>49.98</v>
      </c>
      <c r="BM35" s="159">
        <f t="shared" si="16"/>
        <v>197440.992</v>
      </c>
      <c r="BN35" s="157">
        <v>2699</v>
      </c>
      <c r="BO35" s="159">
        <f t="shared" si="17"/>
        <v>10662129.6</v>
      </c>
      <c r="BP35" s="160"/>
      <c r="BQ35" s="156">
        <v>5.6</v>
      </c>
      <c r="BR35" s="158">
        <f t="shared" si="18"/>
        <v>22122.239999999998</v>
      </c>
      <c r="BS35" s="156">
        <v>50.78</v>
      </c>
      <c r="BT35" s="159">
        <f t="shared" si="19"/>
        <v>200601.31200000001</v>
      </c>
      <c r="BU35" s="157">
        <v>2742</v>
      </c>
      <c r="BV35" s="161">
        <f t="shared" si="49"/>
        <v>10831996.800000001</v>
      </c>
      <c r="BW35" s="157" t="s">
        <v>186</v>
      </c>
      <c r="BX35" s="157">
        <f t="shared" si="20"/>
        <v>2522</v>
      </c>
      <c r="BY35" s="161">
        <f t="shared" si="50"/>
        <v>9962908.8000000007</v>
      </c>
      <c r="BZ35" s="157">
        <f t="shared" si="21"/>
        <v>46.7</v>
      </c>
      <c r="CA35" s="161">
        <f t="shared" si="75"/>
        <v>184483.68000000002</v>
      </c>
      <c r="CB35" s="156">
        <f t="shared" si="23"/>
        <v>7.59</v>
      </c>
      <c r="CC35" s="161"/>
      <c r="CD35" s="162">
        <f t="shared" si="62"/>
        <v>3950.4</v>
      </c>
      <c r="CE35" s="163">
        <v>6.2</v>
      </c>
      <c r="CF35" s="164">
        <v>7.45</v>
      </c>
      <c r="CG35" s="165">
        <f t="shared" si="51"/>
        <v>13.188099999999999</v>
      </c>
      <c r="CH35" s="166">
        <f t="shared" si="25"/>
        <v>52098.270239999998</v>
      </c>
      <c r="CI35" s="167">
        <v>52.2</v>
      </c>
      <c r="CJ35" s="166">
        <f t="shared" ref="CJ35:CJ50" si="91">CI35*$CD35</f>
        <v>206210.88</v>
      </c>
      <c r="CK35" s="168">
        <v>4.83</v>
      </c>
      <c r="CL35" s="166">
        <f t="shared" si="26"/>
        <v>19080.432000000001</v>
      </c>
      <c r="CM35" s="167">
        <v>21.32</v>
      </c>
      <c r="CN35" s="166">
        <f t="shared" si="27"/>
        <v>84222.528000000006</v>
      </c>
      <c r="CO35" s="169">
        <f t="shared" si="28"/>
        <v>2939.9631999999992</v>
      </c>
      <c r="CP35" s="166">
        <f t="shared" si="29"/>
        <v>11614030.625279997</v>
      </c>
      <c r="CQ35" s="167">
        <v>2758</v>
      </c>
      <c r="CR35" s="166">
        <f t="shared" ref="CR35:CR50" si="92">CQ35*$CD35</f>
        <v>10895203.200000001</v>
      </c>
      <c r="CS35" s="170">
        <f t="shared" si="30"/>
        <v>53.137921613953978</v>
      </c>
      <c r="CT35" s="166">
        <f t="shared" si="31"/>
        <v>209916.04554376379</v>
      </c>
      <c r="CU35" s="168">
        <v>3.12</v>
      </c>
      <c r="CV35" s="166">
        <f t="shared" si="77"/>
        <v>12325.248000000001</v>
      </c>
      <c r="CW35" s="170">
        <f t="shared" si="78"/>
        <v>21.703074498266261</v>
      </c>
      <c r="CX35" s="166">
        <f t="shared" si="79"/>
        <v>85735.825497951038</v>
      </c>
      <c r="CY35" s="171">
        <f t="shared" si="80"/>
        <v>2807.5553220552697</v>
      </c>
      <c r="CZ35" s="166">
        <f t="shared" si="81"/>
        <v>11090966.544247137</v>
      </c>
      <c r="DA35" s="170" t="str">
        <f t="shared" si="83"/>
        <v>G15</v>
      </c>
      <c r="DB35" s="171">
        <f t="shared" si="38"/>
        <v>2515.7845980876332</v>
      </c>
      <c r="DC35" s="166">
        <f t="shared" si="69"/>
        <v>9938355.4762853868</v>
      </c>
      <c r="DD35" s="170">
        <f t="shared" si="54"/>
        <v>47.61564757801829</v>
      </c>
      <c r="DE35" s="221">
        <f t="shared" si="55"/>
        <v>188100.85419220346</v>
      </c>
      <c r="DF35" s="222">
        <f t="shared" si="56"/>
        <v>10.068099999999998</v>
      </c>
      <c r="DG35" s="221">
        <f t="shared" si="57"/>
        <v>39773.022239999991</v>
      </c>
      <c r="DH35" s="172">
        <f t="shared" si="40"/>
        <v>-2</v>
      </c>
      <c r="DI35" s="173"/>
      <c r="DJ35" s="174"/>
      <c r="DK35" s="175"/>
      <c r="DL35" s="176"/>
      <c r="DM35" s="175"/>
      <c r="DN35" s="177"/>
      <c r="DO35" s="178">
        <f t="shared" si="46"/>
        <v>6.2154019123668149</v>
      </c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80"/>
      <c r="EC35" s="181">
        <f t="shared" si="47"/>
        <v>-65.555322055269698</v>
      </c>
      <c r="EE35" s="181"/>
    </row>
    <row r="36" spans="1:135" s="182" customFormat="1" ht="30">
      <c r="A36" s="74">
        <v>43</v>
      </c>
      <c r="B36" s="74">
        <v>76</v>
      </c>
      <c r="C36" s="138">
        <v>45823</v>
      </c>
      <c r="D36" s="139">
        <v>161002569</v>
      </c>
      <c r="E36" s="138">
        <v>45822</v>
      </c>
      <c r="F36" s="138"/>
      <c r="G36" s="138"/>
      <c r="H36" s="140">
        <v>3753.6</v>
      </c>
      <c r="I36" s="141">
        <v>3753.6</v>
      </c>
      <c r="J36" s="142"/>
      <c r="K36" s="568"/>
      <c r="L36" s="337">
        <v>58</v>
      </c>
      <c r="M36" s="144"/>
      <c r="N36" s="144">
        <v>3753.6</v>
      </c>
      <c r="O36" s="522" t="s">
        <v>180</v>
      </c>
      <c r="P36" s="145" t="s">
        <v>72</v>
      </c>
      <c r="Q36" s="146" t="s">
        <v>231</v>
      </c>
      <c r="R36" s="145"/>
      <c r="S36" s="145" t="s">
        <v>181</v>
      </c>
      <c r="T36" s="145"/>
      <c r="U36" s="147" t="s">
        <v>182</v>
      </c>
      <c r="V36" s="147" t="s">
        <v>183</v>
      </c>
      <c r="W36" s="147">
        <v>4150</v>
      </c>
      <c r="X36" s="519">
        <v>3791.93</v>
      </c>
      <c r="Y36" s="148">
        <v>3791.93</v>
      </c>
      <c r="Z36" s="150"/>
      <c r="AA36" s="149"/>
      <c r="AB36" s="150"/>
      <c r="AC36" s="151"/>
      <c r="AD36" s="151"/>
      <c r="AE36" s="152">
        <f t="shared" si="0"/>
        <v>0</v>
      </c>
      <c r="AF36" s="151"/>
      <c r="AG36" s="152">
        <f t="shared" si="1"/>
        <v>0</v>
      </c>
      <c r="AH36" s="151"/>
      <c r="AI36" s="152">
        <f t="shared" si="2"/>
        <v>0</v>
      </c>
      <c r="AJ36" s="149"/>
      <c r="AK36" s="152">
        <f t="shared" si="70"/>
        <v>0</v>
      </c>
      <c r="AL36" s="149"/>
      <c r="AM36" s="151"/>
      <c r="AN36" s="152">
        <f t="shared" si="3"/>
        <v>0</v>
      </c>
      <c r="AO36" s="151"/>
      <c r="AP36" s="152">
        <f t="shared" si="4"/>
        <v>0</v>
      </c>
      <c r="AQ36" s="174">
        <f t="shared" ref="AQ36" si="93">W36</f>
        <v>4150</v>
      </c>
      <c r="AR36" s="152">
        <f t="shared" si="48"/>
        <v>15577440</v>
      </c>
      <c r="AS36" s="149"/>
      <c r="AT36" s="149">
        <f t="shared" si="5"/>
        <v>4150</v>
      </c>
      <c r="AU36" s="152">
        <f t="shared" si="71"/>
        <v>0</v>
      </c>
      <c r="AV36" s="149">
        <f t="shared" si="72"/>
        <v>0</v>
      </c>
      <c r="AW36" s="152">
        <f t="shared" si="73"/>
        <v>0</v>
      </c>
      <c r="AX36" s="151">
        <f t="shared" si="9"/>
        <v>0</v>
      </c>
      <c r="AY36" s="152">
        <f t="shared" si="74"/>
        <v>0</v>
      </c>
      <c r="AZ36" s="153">
        <v>5.7</v>
      </c>
      <c r="BA36" s="153">
        <v>9.4459999999999997</v>
      </c>
      <c r="BB36" s="153"/>
      <c r="BC36" s="154">
        <f t="shared" si="11"/>
        <v>14.607578</v>
      </c>
      <c r="BD36" s="155">
        <f t="shared" si="68"/>
        <v>54831.004780800002</v>
      </c>
      <c r="BE36" s="156">
        <f t="shared" si="84"/>
        <v>3753.6</v>
      </c>
      <c r="BF36" s="157">
        <v>512</v>
      </c>
      <c r="BG36" s="157" t="s">
        <v>248</v>
      </c>
      <c r="BH36" s="156">
        <v>14.61</v>
      </c>
      <c r="BI36" s="158">
        <f t="shared" si="14"/>
        <v>54840.095999999998</v>
      </c>
      <c r="BJ36" s="156">
        <v>7.5</v>
      </c>
      <c r="BK36" s="158">
        <f t="shared" si="15"/>
        <v>28152</v>
      </c>
      <c r="BL36" s="156">
        <v>38.450000000000003</v>
      </c>
      <c r="BM36" s="159">
        <f t="shared" si="16"/>
        <v>144325.92000000001</v>
      </c>
      <c r="BN36" s="157">
        <v>3562</v>
      </c>
      <c r="BO36" s="159">
        <f t="shared" si="17"/>
        <v>13370323.199999999</v>
      </c>
      <c r="BP36" s="160"/>
      <c r="BQ36" s="156">
        <v>6.18</v>
      </c>
      <c r="BR36" s="158">
        <f t="shared" si="18"/>
        <v>23197.248</v>
      </c>
      <c r="BS36" s="156">
        <v>39</v>
      </c>
      <c r="BT36" s="159">
        <f t="shared" si="19"/>
        <v>146390.39999999999</v>
      </c>
      <c r="BU36" s="157">
        <v>3613</v>
      </c>
      <c r="BV36" s="161">
        <f t="shared" si="49"/>
        <v>13561756.799999999</v>
      </c>
      <c r="BW36" s="157" t="s">
        <v>190</v>
      </c>
      <c r="BX36" s="157">
        <f t="shared" si="20"/>
        <v>3288</v>
      </c>
      <c r="BY36" s="161">
        <f t="shared" si="50"/>
        <v>12341836.799999999</v>
      </c>
      <c r="BZ36" s="157">
        <f t="shared" si="21"/>
        <v>35.5</v>
      </c>
      <c r="CA36" s="161">
        <f t="shared" si="75"/>
        <v>133252.79999999999</v>
      </c>
      <c r="CB36" s="156">
        <f t="shared" si="23"/>
        <v>8.43</v>
      </c>
      <c r="CC36" s="161">
        <f t="shared" ref="CC36:CC62" si="94">CB36*$BE36</f>
        <v>31642.847999999998</v>
      </c>
      <c r="CD36" s="162">
        <f t="shared" si="62"/>
        <v>3753.6</v>
      </c>
      <c r="CE36" s="163">
        <v>5.7</v>
      </c>
      <c r="CF36" s="164">
        <v>9.4499999999999993</v>
      </c>
      <c r="CG36" s="165">
        <f t="shared" si="51"/>
        <v>14.611349999999998</v>
      </c>
      <c r="CH36" s="166">
        <f t="shared" si="25"/>
        <v>54845.163359999991</v>
      </c>
      <c r="CI36" s="167">
        <v>42.2</v>
      </c>
      <c r="CJ36" s="166">
        <f t="shared" si="91"/>
        <v>158401.92000000001</v>
      </c>
      <c r="CK36" s="168">
        <v>4.6500000000000004</v>
      </c>
      <c r="CL36" s="166">
        <f t="shared" si="26"/>
        <v>17454.240000000002</v>
      </c>
      <c r="CM36" s="167">
        <v>23.36</v>
      </c>
      <c r="CN36" s="166">
        <f t="shared" si="27"/>
        <v>87684.09599999999</v>
      </c>
      <c r="CO36" s="169">
        <f t="shared" si="28"/>
        <v>3907.2639999999992</v>
      </c>
      <c r="CP36" s="166">
        <f t="shared" si="29"/>
        <v>14666306.150399996</v>
      </c>
      <c r="CQ36" s="167">
        <v>3509</v>
      </c>
      <c r="CR36" s="166">
        <f t="shared" si="92"/>
        <v>13171382.4</v>
      </c>
      <c r="CS36" s="170">
        <f t="shared" si="30"/>
        <v>42.841740954378608</v>
      </c>
      <c r="CT36" s="166">
        <f t="shared" si="31"/>
        <v>160810.75884635554</v>
      </c>
      <c r="CU36" s="168">
        <v>3.2</v>
      </c>
      <c r="CV36" s="166">
        <f t="shared" si="77"/>
        <v>12011.52</v>
      </c>
      <c r="CW36" s="170">
        <f t="shared" si="78"/>
        <v>23.715238594651286</v>
      </c>
      <c r="CX36" s="166">
        <f t="shared" si="79"/>
        <v>89017.519588883064</v>
      </c>
      <c r="CY36" s="171">
        <f t="shared" si="80"/>
        <v>3562.3618248557946</v>
      </c>
      <c r="CZ36" s="166">
        <f t="shared" si="81"/>
        <v>13371681.345778709</v>
      </c>
      <c r="DA36" s="170" t="str">
        <f t="shared" si="83"/>
        <v>G13</v>
      </c>
      <c r="DB36" s="171">
        <f t="shared" si="38"/>
        <v>3142.4097834294707</v>
      </c>
      <c r="DC36" s="166">
        <f t="shared" si="69"/>
        <v>11795349.363080861</v>
      </c>
      <c r="DD36" s="170">
        <f t="shared" si="54"/>
        <v>37.791306030414269</v>
      </c>
      <c r="DE36" s="221">
        <f t="shared" si="55"/>
        <v>141853.44631576299</v>
      </c>
      <c r="DF36" s="222">
        <f t="shared" si="56"/>
        <v>11.411349999999999</v>
      </c>
      <c r="DG36" s="221">
        <f t="shared" si="57"/>
        <v>42833.643359999995</v>
      </c>
      <c r="DH36" s="172">
        <f t="shared" si="40"/>
        <v>-2</v>
      </c>
      <c r="DI36" s="173">
        <f t="shared" ref="DI36:DI61" si="95">$CY36-$BU36</f>
        <v>-50.638175144205434</v>
      </c>
      <c r="DJ36" s="174">
        <f t="shared" ref="DJ36:DJ61" si="96">MID(U36,2,LEN(U36))-MID(BW36,2,LEN(BW36))</f>
        <v>-2</v>
      </c>
      <c r="DK36" s="175">
        <f t="shared" ref="DK36:DK61" si="97">$AQ36-$BU36</f>
        <v>537</v>
      </c>
      <c r="DL36" s="176">
        <f t="shared" ref="DL36:DL61" si="98">MID(U36,2,LEN(U36))-MID(BW36,2,LEN(BW36))</f>
        <v>-2</v>
      </c>
      <c r="DM36" s="175" t="e">
        <f t="shared" ref="DM36:DM61" si="99">MID(U36,2,LEN(U36))-MID(AS36,2,LEN(AS36))</f>
        <v>#VALUE!</v>
      </c>
      <c r="DN36" s="177"/>
      <c r="DO36" s="178">
        <f t="shared" si="46"/>
        <v>145.59021657052926</v>
      </c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80"/>
      <c r="EC36" s="181">
        <f t="shared" si="47"/>
        <v>50.638175144205434</v>
      </c>
      <c r="EE36" s="181"/>
    </row>
    <row r="37" spans="1:135" s="182" customFormat="1" ht="30">
      <c r="A37" s="74">
        <v>44</v>
      </c>
      <c r="B37" s="74">
        <v>77</v>
      </c>
      <c r="C37" s="138">
        <v>45823</v>
      </c>
      <c r="D37" s="139">
        <v>151001334</v>
      </c>
      <c r="E37" s="138">
        <v>45821</v>
      </c>
      <c r="F37" s="138"/>
      <c r="G37" s="138"/>
      <c r="H37" s="140">
        <v>3917</v>
      </c>
      <c r="I37" s="141">
        <v>3917</v>
      </c>
      <c r="J37" s="142"/>
      <c r="K37" s="568"/>
      <c r="L37" s="337">
        <v>58</v>
      </c>
      <c r="M37" s="144"/>
      <c r="N37" s="144">
        <v>3917</v>
      </c>
      <c r="O37" s="522" t="s">
        <v>180</v>
      </c>
      <c r="P37" s="145" t="s">
        <v>71</v>
      </c>
      <c r="Q37" s="146" t="s">
        <v>52</v>
      </c>
      <c r="R37" s="145"/>
      <c r="S37" s="145" t="s">
        <v>181</v>
      </c>
      <c r="T37" s="145"/>
      <c r="U37" s="147" t="s">
        <v>190</v>
      </c>
      <c r="V37" s="147" t="s">
        <v>194</v>
      </c>
      <c r="W37" s="147">
        <v>3550</v>
      </c>
      <c r="X37" s="526">
        <v>3944.22</v>
      </c>
      <c r="Y37" s="148">
        <v>4168.3500000000004</v>
      </c>
      <c r="Z37" s="150" t="s">
        <v>253</v>
      </c>
      <c r="AA37" s="149">
        <v>1688</v>
      </c>
      <c r="AB37" s="150" t="s">
        <v>249</v>
      </c>
      <c r="AC37" s="151">
        <v>3944.22</v>
      </c>
      <c r="AD37" s="151">
        <v>10.37</v>
      </c>
      <c r="AE37" s="152">
        <f t="shared" si="0"/>
        <v>40901.561399999991</v>
      </c>
      <c r="AF37" s="151">
        <v>8</v>
      </c>
      <c r="AG37" s="152">
        <f t="shared" si="1"/>
        <v>31553.759999999998</v>
      </c>
      <c r="AH37" s="151">
        <v>41.62</v>
      </c>
      <c r="AI37" s="152">
        <f t="shared" si="2"/>
        <v>164158.43639999998</v>
      </c>
      <c r="AJ37" s="149">
        <v>3519</v>
      </c>
      <c r="AK37" s="152">
        <f t="shared" si="70"/>
        <v>13879710.18</v>
      </c>
      <c r="AL37" s="149"/>
      <c r="AM37" s="151">
        <v>9.73</v>
      </c>
      <c r="AN37" s="152">
        <f t="shared" si="3"/>
        <v>38377.260600000001</v>
      </c>
      <c r="AO37" s="151">
        <v>40.840000000000003</v>
      </c>
      <c r="AP37" s="152">
        <f t="shared" si="4"/>
        <v>161081.9448</v>
      </c>
      <c r="AQ37" s="149">
        <v>3453</v>
      </c>
      <c r="AR37" s="152">
        <f t="shared" si="48"/>
        <v>13525401</v>
      </c>
      <c r="AS37" s="149" t="s">
        <v>190</v>
      </c>
      <c r="AT37" s="149">
        <f t="shared" si="5"/>
        <v>3429</v>
      </c>
      <c r="AU37" s="152">
        <f t="shared" si="71"/>
        <v>13524730.379999999</v>
      </c>
      <c r="AV37" s="149">
        <f t="shared" si="7"/>
        <v>40.549999999999997</v>
      </c>
      <c r="AW37" s="152">
        <f t="shared" si="73"/>
        <v>159938.12099999998</v>
      </c>
      <c r="AX37" s="151">
        <f t="shared" si="9"/>
        <v>0.63999999999999879</v>
      </c>
      <c r="AY37" s="152">
        <f t="shared" si="74"/>
        <v>2524.300799999995</v>
      </c>
      <c r="AZ37" s="153">
        <v>5.0999999999999996</v>
      </c>
      <c r="BA37" s="153">
        <v>9.7729999999999997</v>
      </c>
      <c r="BB37" s="153"/>
      <c r="BC37" s="154">
        <f t="shared" si="11"/>
        <v>14.374576999999999</v>
      </c>
      <c r="BD37" s="155">
        <f t="shared" si="68"/>
        <v>56305.218108999994</v>
      </c>
      <c r="BE37" s="156">
        <f t="shared" si="84"/>
        <v>3917</v>
      </c>
      <c r="BF37" s="157">
        <v>512</v>
      </c>
      <c r="BG37" s="157" t="s">
        <v>248</v>
      </c>
      <c r="BH37" s="156">
        <v>14.37</v>
      </c>
      <c r="BI37" s="158">
        <f t="shared" si="14"/>
        <v>56287.289999999994</v>
      </c>
      <c r="BJ37" s="156">
        <v>6.14</v>
      </c>
      <c r="BK37" s="158">
        <f t="shared" si="15"/>
        <v>24050.379999999997</v>
      </c>
      <c r="BL37" s="156">
        <v>44.36</v>
      </c>
      <c r="BM37" s="159">
        <f t="shared" si="16"/>
        <v>173758.12</v>
      </c>
      <c r="BN37" s="157">
        <v>3159</v>
      </c>
      <c r="BO37" s="159">
        <f t="shared" si="17"/>
        <v>12373803</v>
      </c>
      <c r="BP37" s="160"/>
      <c r="BQ37" s="156">
        <v>5.39</v>
      </c>
      <c r="BR37" s="158">
        <f t="shared" si="18"/>
        <v>21112.629999999997</v>
      </c>
      <c r="BS37" s="156">
        <v>45</v>
      </c>
      <c r="BT37" s="159">
        <f t="shared" si="19"/>
        <v>176265</v>
      </c>
      <c r="BU37" s="157">
        <v>3205</v>
      </c>
      <c r="BV37" s="161">
        <f t="shared" si="49"/>
        <v>12553985</v>
      </c>
      <c r="BW37" s="157" t="s">
        <v>193</v>
      </c>
      <c r="BX37" s="157">
        <f t="shared" si="20"/>
        <v>2901</v>
      </c>
      <c r="BY37" s="161">
        <f t="shared" si="50"/>
        <v>11363217</v>
      </c>
      <c r="BZ37" s="157">
        <f t="shared" si="21"/>
        <v>40.729999999999997</v>
      </c>
      <c r="CA37" s="161">
        <f t="shared" si="75"/>
        <v>159539.40999999997</v>
      </c>
      <c r="CB37" s="156">
        <f t="shared" si="23"/>
        <v>8.98</v>
      </c>
      <c r="CC37" s="161">
        <f t="shared" si="94"/>
        <v>35174.660000000003</v>
      </c>
      <c r="CD37" s="162">
        <f t="shared" si="62"/>
        <v>3917</v>
      </c>
      <c r="CE37" s="163">
        <v>5.0999999999999996</v>
      </c>
      <c r="CF37" s="164">
        <v>9.77</v>
      </c>
      <c r="CG37" s="165">
        <f t="shared" si="51"/>
        <v>14.371729999999999</v>
      </c>
      <c r="CH37" s="166">
        <f t="shared" si="25"/>
        <v>56294.066409999999</v>
      </c>
      <c r="CI37" s="167">
        <v>47.14</v>
      </c>
      <c r="CJ37" s="166">
        <f t="shared" si="91"/>
        <v>184647.38</v>
      </c>
      <c r="CK37" s="168">
        <v>5.13</v>
      </c>
      <c r="CL37" s="166">
        <f t="shared" si="26"/>
        <v>20094.21</v>
      </c>
      <c r="CM37" s="167">
        <v>23.81</v>
      </c>
      <c r="CN37" s="166">
        <f t="shared" si="27"/>
        <v>93263.76999999999</v>
      </c>
      <c r="CO37" s="169">
        <f t="shared" si="28"/>
        <v>3372.4917999999998</v>
      </c>
      <c r="CP37" s="166">
        <f t="shared" si="29"/>
        <v>13210050.3806</v>
      </c>
      <c r="CQ37" s="167">
        <v>3218</v>
      </c>
      <c r="CR37" s="166">
        <f t="shared" si="92"/>
        <v>12604906</v>
      </c>
      <c r="CS37" s="170">
        <f t="shared" si="30"/>
        <v>47.949931485190262</v>
      </c>
      <c r="CT37" s="166">
        <f t="shared" si="31"/>
        <v>187819.88162749025</v>
      </c>
      <c r="CU37" s="168">
        <v>3.5</v>
      </c>
      <c r="CV37" s="166">
        <f t="shared" si="77"/>
        <v>13709.5</v>
      </c>
      <c r="CW37" s="170">
        <f t="shared" si="78"/>
        <v>24.219089280067458</v>
      </c>
      <c r="CX37" s="166">
        <f t="shared" si="79"/>
        <v>94866.172710024228</v>
      </c>
      <c r="CY37" s="171">
        <f t="shared" si="80"/>
        <v>3273.289764941499</v>
      </c>
      <c r="CZ37" s="166">
        <f t="shared" si="81"/>
        <v>12821476.009275852</v>
      </c>
      <c r="DA37" s="170" t="str">
        <f t="shared" si="83"/>
        <v>G14</v>
      </c>
      <c r="DB37" s="171">
        <f t="shared" si="38"/>
        <v>2904.5195832191421</v>
      </c>
      <c r="DC37" s="166">
        <f t="shared" si="69"/>
        <v>11377003.20746938</v>
      </c>
      <c r="DD37" s="170">
        <f t="shared" si="54"/>
        <v>42.547872328449458</v>
      </c>
      <c r="DE37" s="221">
        <f t="shared" si="55"/>
        <v>166660.01591053652</v>
      </c>
      <c r="DF37" s="222">
        <f t="shared" si="56"/>
        <v>10.871729999999999</v>
      </c>
      <c r="DG37" s="221">
        <f t="shared" si="57"/>
        <v>42584.566409999999</v>
      </c>
      <c r="DH37" s="172">
        <f t="shared" si="40"/>
        <v>-1</v>
      </c>
      <c r="DI37" s="173">
        <f t="shared" si="95"/>
        <v>68.289764941499016</v>
      </c>
      <c r="DJ37" s="174">
        <f t="shared" si="96"/>
        <v>-1</v>
      </c>
      <c r="DK37" s="175">
        <f t="shared" si="97"/>
        <v>248</v>
      </c>
      <c r="DL37" s="176">
        <f t="shared" si="98"/>
        <v>-1</v>
      </c>
      <c r="DM37" s="175">
        <f t="shared" si="99"/>
        <v>0</v>
      </c>
      <c r="DN37" s="177"/>
      <c r="DO37" s="178">
        <f t="shared" si="46"/>
        <v>-3.5195832191420777</v>
      </c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80"/>
      <c r="EC37" s="181">
        <f t="shared" si="47"/>
        <v>-68.289764941499016</v>
      </c>
      <c r="EE37" s="181"/>
    </row>
    <row r="38" spans="1:135" s="182" customFormat="1" ht="30">
      <c r="A38" s="74">
        <v>46</v>
      </c>
      <c r="B38" s="174">
        <v>83</v>
      </c>
      <c r="C38" s="138">
        <v>45825</v>
      </c>
      <c r="D38" s="139">
        <v>162000387</v>
      </c>
      <c r="E38" s="138">
        <v>45823</v>
      </c>
      <c r="F38" s="138"/>
      <c r="G38" s="138"/>
      <c r="H38" s="647">
        <f>1951.25+1850.85</f>
        <v>3802.1</v>
      </c>
      <c r="I38" s="141">
        <v>1852.16</v>
      </c>
      <c r="J38" s="142">
        <f>(Y38/X38)*100</f>
        <v>48.714052300315089</v>
      </c>
      <c r="K38" s="143">
        <f>ROUND(((J38*H38)/100),2)</f>
        <v>1852.16</v>
      </c>
      <c r="L38" s="650">
        <v>57</v>
      </c>
      <c r="M38" s="144"/>
      <c r="N38" s="144">
        <v>1852.16</v>
      </c>
      <c r="O38" s="522" t="s">
        <v>180</v>
      </c>
      <c r="P38" s="145" t="s">
        <v>68</v>
      </c>
      <c r="Q38" s="146" t="s">
        <v>62</v>
      </c>
      <c r="R38" s="145"/>
      <c r="S38" s="145" t="s">
        <v>181</v>
      </c>
      <c r="T38" s="145"/>
      <c r="U38" s="147" t="s">
        <v>182</v>
      </c>
      <c r="V38" s="147" t="s">
        <v>183</v>
      </c>
      <c r="W38" s="147">
        <v>4150</v>
      </c>
      <c r="X38" s="653">
        <v>3849.69</v>
      </c>
      <c r="Y38" s="148">
        <v>1875.34</v>
      </c>
      <c r="Z38" s="150"/>
      <c r="AA38" s="149"/>
      <c r="AB38" s="150"/>
      <c r="AC38" s="151"/>
      <c r="AD38" s="151"/>
      <c r="AE38" s="152">
        <f t="shared" si="0"/>
        <v>0</v>
      </c>
      <c r="AF38" s="151"/>
      <c r="AG38" s="152">
        <f t="shared" si="1"/>
        <v>0</v>
      </c>
      <c r="AH38" s="151"/>
      <c r="AI38" s="152">
        <f t="shared" si="2"/>
        <v>0</v>
      </c>
      <c r="AJ38" s="149"/>
      <c r="AK38" s="152">
        <f t="shared" si="70"/>
        <v>0</v>
      </c>
      <c r="AL38" s="149"/>
      <c r="AM38" s="151"/>
      <c r="AN38" s="152">
        <f t="shared" si="3"/>
        <v>0</v>
      </c>
      <c r="AO38" s="151"/>
      <c r="AP38" s="152">
        <f t="shared" si="4"/>
        <v>0</v>
      </c>
      <c r="AQ38" s="174">
        <f t="shared" ref="AQ38:AQ41" si="100">W38</f>
        <v>4150</v>
      </c>
      <c r="AR38" s="152">
        <f t="shared" si="48"/>
        <v>7686464</v>
      </c>
      <c r="AS38" s="149"/>
      <c r="AT38" s="149">
        <f t="shared" si="5"/>
        <v>4150</v>
      </c>
      <c r="AU38" s="152">
        <f t="shared" si="71"/>
        <v>0</v>
      </c>
      <c r="AV38" s="149">
        <f t="shared" si="7"/>
        <v>0</v>
      </c>
      <c r="AW38" s="152">
        <f t="shared" si="73"/>
        <v>0</v>
      </c>
      <c r="AX38" s="151">
        <f t="shared" si="9"/>
        <v>0</v>
      </c>
      <c r="AY38" s="152">
        <f t="shared" si="74"/>
        <v>0</v>
      </c>
      <c r="AZ38" s="153">
        <v>3.1</v>
      </c>
      <c r="BA38" s="153">
        <v>9.57</v>
      </c>
      <c r="BB38" s="153"/>
      <c r="BC38" s="154">
        <f t="shared" si="11"/>
        <v>12.373329999999999</v>
      </c>
      <c r="BD38" s="155">
        <f t="shared" si="68"/>
        <v>22917.386892800001</v>
      </c>
      <c r="BE38" s="156">
        <f t="shared" si="84"/>
        <v>1852.16</v>
      </c>
      <c r="BF38" s="157">
        <v>513</v>
      </c>
      <c r="BG38" s="157" t="s">
        <v>249</v>
      </c>
      <c r="BH38" s="156">
        <v>12.37</v>
      </c>
      <c r="BI38" s="158">
        <f t="shared" si="14"/>
        <v>22911.2192</v>
      </c>
      <c r="BJ38" s="156">
        <v>6.14</v>
      </c>
      <c r="BK38" s="158">
        <f t="shared" si="15"/>
        <v>11372.2624</v>
      </c>
      <c r="BL38" s="156">
        <v>55.4</v>
      </c>
      <c r="BM38" s="159">
        <f t="shared" si="16"/>
        <v>102609.664</v>
      </c>
      <c r="BN38" s="157">
        <v>2396</v>
      </c>
      <c r="BO38" s="159">
        <f t="shared" si="17"/>
        <v>4437775.3600000003</v>
      </c>
      <c r="BP38" s="160"/>
      <c r="BQ38" s="156">
        <v>5.48</v>
      </c>
      <c r="BR38" s="158">
        <f t="shared" si="18"/>
        <v>10149.836800000001</v>
      </c>
      <c r="BS38" s="156">
        <v>55.79</v>
      </c>
      <c r="BT38" s="159">
        <f t="shared" si="19"/>
        <v>103332.0064</v>
      </c>
      <c r="BU38" s="157">
        <v>2413</v>
      </c>
      <c r="BV38" s="161">
        <f t="shared" si="49"/>
        <v>4469262.08</v>
      </c>
      <c r="BW38" s="157" t="s">
        <v>223</v>
      </c>
      <c r="BX38" s="157">
        <f t="shared" si="20"/>
        <v>2237</v>
      </c>
      <c r="BY38" s="161">
        <f t="shared" si="50"/>
        <v>4143281.9200000004</v>
      </c>
      <c r="BZ38" s="157">
        <f t="shared" si="21"/>
        <v>51.72</v>
      </c>
      <c r="CA38" s="161">
        <f t="shared" si="75"/>
        <v>95793.715200000006</v>
      </c>
      <c r="CB38" s="156">
        <f t="shared" si="23"/>
        <v>6.8899999999999988</v>
      </c>
      <c r="CC38" s="161">
        <f t="shared" si="94"/>
        <v>12761.382399999999</v>
      </c>
      <c r="CD38" s="162">
        <f t="shared" si="62"/>
        <v>1852.16</v>
      </c>
      <c r="CE38" s="163">
        <v>3.1</v>
      </c>
      <c r="CF38" s="164">
        <v>9.57</v>
      </c>
      <c r="CG38" s="165">
        <f t="shared" si="51"/>
        <v>12.373329999999999</v>
      </c>
      <c r="CH38" s="166">
        <f t="shared" si="25"/>
        <v>22917.386892800001</v>
      </c>
      <c r="CI38" s="167">
        <v>55.33</v>
      </c>
      <c r="CJ38" s="166">
        <f t="shared" si="91"/>
        <v>102480.0128</v>
      </c>
      <c r="CK38" s="168">
        <v>4.28</v>
      </c>
      <c r="CL38" s="166">
        <f t="shared" si="26"/>
        <v>7927.2448000000004</v>
      </c>
      <c r="CM38" s="167">
        <v>20</v>
      </c>
      <c r="CN38" s="166">
        <f t="shared" si="27"/>
        <v>37043.200000000004</v>
      </c>
      <c r="CO38" s="169">
        <f t="shared" si="28"/>
        <v>2725.4569000000001</v>
      </c>
      <c r="CP38" s="166">
        <f t="shared" si="29"/>
        <v>5047982.2519040005</v>
      </c>
      <c r="CQ38" s="167">
        <v>2443</v>
      </c>
      <c r="CR38" s="166">
        <f t="shared" si="92"/>
        <v>4524826.88</v>
      </c>
      <c r="CS38" s="170">
        <f t="shared" si="30"/>
        <v>55.607459256163814</v>
      </c>
      <c r="CT38" s="166">
        <f t="shared" si="31"/>
        <v>102993.91173589637</v>
      </c>
      <c r="CU38" s="168">
        <v>3.8</v>
      </c>
      <c r="CV38" s="166">
        <f t="shared" si="77"/>
        <v>7038.2079999999996</v>
      </c>
      <c r="CW38" s="170">
        <f t="shared" si="78"/>
        <v>20.100292519849564</v>
      </c>
      <c r="CX38" s="166">
        <f t="shared" si="79"/>
        <v>37228.957793564572</v>
      </c>
      <c r="CY38" s="171">
        <f t="shared" si="80"/>
        <v>2455.250731299624</v>
      </c>
      <c r="CZ38" s="166">
        <f t="shared" si="81"/>
        <v>4547517.1944839116</v>
      </c>
      <c r="DA38" s="170" t="str">
        <f t="shared" si="83"/>
        <v>G17</v>
      </c>
      <c r="DB38" s="171">
        <f t="shared" si="38"/>
        <v>2236.4391434391978</v>
      </c>
      <c r="DC38" s="166">
        <f t="shared" si="69"/>
        <v>4142243.1239123447</v>
      </c>
      <c r="DD38" s="170">
        <f t="shared" si="54"/>
        <v>50.651730579816132</v>
      </c>
      <c r="DE38" s="221">
        <f t="shared" si="55"/>
        <v>93815.109310712258</v>
      </c>
      <c r="DF38" s="222">
        <f t="shared" si="56"/>
        <v>8.5733299999999986</v>
      </c>
      <c r="DG38" s="221">
        <f t="shared" si="57"/>
        <v>15879.178892799999</v>
      </c>
      <c r="DH38" s="172">
        <f t="shared" si="40"/>
        <v>-6</v>
      </c>
      <c r="DI38" s="173">
        <f t="shared" si="95"/>
        <v>42.250731299624022</v>
      </c>
      <c r="DJ38" s="174">
        <f t="shared" si="96"/>
        <v>-6</v>
      </c>
      <c r="DK38" s="175">
        <f t="shared" si="97"/>
        <v>1737</v>
      </c>
      <c r="DL38" s="176">
        <f t="shared" si="98"/>
        <v>-6</v>
      </c>
      <c r="DM38" s="175" t="e">
        <f t="shared" si="99"/>
        <v>#VALUE!</v>
      </c>
      <c r="DN38" s="177"/>
      <c r="DO38" s="178">
        <f t="shared" si="46"/>
        <v>0.56085656080222179</v>
      </c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80"/>
      <c r="EC38" s="181">
        <f t="shared" si="47"/>
        <v>-42.250731299624022</v>
      </c>
      <c r="EE38" s="181"/>
    </row>
    <row r="39" spans="1:135" s="182" customFormat="1" ht="30">
      <c r="A39" s="74">
        <v>47</v>
      </c>
      <c r="B39" s="174">
        <v>83</v>
      </c>
      <c r="C39" s="138">
        <v>45825</v>
      </c>
      <c r="D39" s="139">
        <v>162000387</v>
      </c>
      <c r="E39" s="138">
        <v>45823</v>
      </c>
      <c r="F39" s="138"/>
      <c r="G39" s="138"/>
      <c r="H39" s="649"/>
      <c r="I39" s="141">
        <v>1949.94</v>
      </c>
      <c r="J39" s="142">
        <f>(Y39/X38)*100</f>
        <v>51.285947699684911</v>
      </c>
      <c r="K39" s="143">
        <f>ROUND(((J39*H38)/100),2)</f>
        <v>1949.94</v>
      </c>
      <c r="L39" s="652"/>
      <c r="M39" s="144"/>
      <c r="N39" s="144">
        <v>1949.94</v>
      </c>
      <c r="O39" s="522" t="s">
        <v>180</v>
      </c>
      <c r="P39" s="145" t="s">
        <v>68</v>
      </c>
      <c r="Q39" s="146" t="s">
        <v>63</v>
      </c>
      <c r="R39" s="145"/>
      <c r="S39" s="145" t="s">
        <v>181</v>
      </c>
      <c r="T39" s="145"/>
      <c r="U39" s="147" t="s">
        <v>188</v>
      </c>
      <c r="V39" s="147" t="s">
        <v>189</v>
      </c>
      <c r="W39" s="147">
        <v>4450</v>
      </c>
      <c r="X39" s="655"/>
      <c r="Y39" s="148">
        <v>1974.35</v>
      </c>
      <c r="Z39" s="150"/>
      <c r="AA39" s="149"/>
      <c r="AB39" s="150"/>
      <c r="AC39" s="151"/>
      <c r="AD39" s="151"/>
      <c r="AE39" s="152">
        <f t="shared" si="0"/>
        <v>0</v>
      </c>
      <c r="AF39" s="151"/>
      <c r="AG39" s="152">
        <f t="shared" si="1"/>
        <v>0</v>
      </c>
      <c r="AH39" s="151"/>
      <c r="AI39" s="152">
        <f t="shared" si="2"/>
        <v>0</v>
      </c>
      <c r="AJ39" s="149"/>
      <c r="AK39" s="152">
        <f t="shared" si="70"/>
        <v>0</v>
      </c>
      <c r="AL39" s="149"/>
      <c r="AM39" s="151"/>
      <c r="AN39" s="152">
        <f t="shared" si="3"/>
        <v>0</v>
      </c>
      <c r="AO39" s="151"/>
      <c r="AP39" s="152">
        <f t="shared" si="4"/>
        <v>0</v>
      </c>
      <c r="AQ39" s="174">
        <f t="shared" si="100"/>
        <v>4450</v>
      </c>
      <c r="AR39" s="152">
        <f t="shared" si="48"/>
        <v>8677233</v>
      </c>
      <c r="AS39" s="149"/>
      <c r="AT39" s="149">
        <f t="shared" si="5"/>
        <v>4450</v>
      </c>
      <c r="AU39" s="152">
        <f t="shared" si="71"/>
        <v>0</v>
      </c>
      <c r="AV39" s="149">
        <f t="shared" si="7"/>
        <v>0</v>
      </c>
      <c r="AW39" s="152">
        <f t="shared" si="73"/>
        <v>0</v>
      </c>
      <c r="AX39" s="151">
        <f t="shared" si="9"/>
        <v>0</v>
      </c>
      <c r="AY39" s="152">
        <f t="shared" si="74"/>
        <v>0</v>
      </c>
      <c r="AZ39" s="153">
        <v>3.1</v>
      </c>
      <c r="BA39" s="153">
        <v>9.57</v>
      </c>
      <c r="BB39" s="153"/>
      <c r="BC39" s="154">
        <f t="shared" si="11"/>
        <v>12.373329999999999</v>
      </c>
      <c r="BD39" s="155">
        <f t="shared" si="68"/>
        <v>24127.251100199999</v>
      </c>
      <c r="BE39" s="156">
        <f t="shared" si="84"/>
        <v>1949.94</v>
      </c>
      <c r="BF39" s="157">
        <v>513</v>
      </c>
      <c r="BG39" s="157" t="s">
        <v>249</v>
      </c>
      <c r="BH39" s="156">
        <v>12.37</v>
      </c>
      <c r="BI39" s="158">
        <f t="shared" si="14"/>
        <v>24120.757799999999</v>
      </c>
      <c r="BJ39" s="156">
        <v>6.14</v>
      </c>
      <c r="BK39" s="158">
        <f t="shared" si="15"/>
        <v>11972.631600000001</v>
      </c>
      <c r="BL39" s="156">
        <v>55.4</v>
      </c>
      <c r="BM39" s="159">
        <f t="shared" si="16"/>
        <v>108026.67600000001</v>
      </c>
      <c r="BN39" s="157">
        <v>2396</v>
      </c>
      <c r="BO39" s="159">
        <f t="shared" si="17"/>
        <v>4672056.24</v>
      </c>
      <c r="BP39" s="160"/>
      <c r="BQ39" s="156">
        <v>5.48</v>
      </c>
      <c r="BR39" s="158">
        <f t="shared" si="18"/>
        <v>10685.671200000001</v>
      </c>
      <c r="BS39" s="156">
        <v>55.79</v>
      </c>
      <c r="BT39" s="159">
        <f t="shared" si="19"/>
        <v>108787.1526</v>
      </c>
      <c r="BU39" s="157">
        <v>2413</v>
      </c>
      <c r="BV39" s="161">
        <f t="shared" si="49"/>
        <v>4705205.22</v>
      </c>
      <c r="BW39" s="157" t="s">
        <v>223</v>
      </c>
      <c r="BX39" s="157">
        <f t="shared" si="20"/>
        <v>2237</v>
      </c>
      <c r="BY39" s="161">
        <f t="shared" si="50"/>
        <v>4362015.78</v>
      </c>
      <c r="BZ39" s="157">
        <f t="shared" si="21"/>
        <v>51.72</v>
      </c>
      <c r="CA39" s="161">
        <f t="shared" si="75"/>
        <v>100850.8968</v>
      </c>
      <c r="CB39" s="156">
        <f t="shared" si="23"/>
        <v>6.8899999999999988</v>
      </c>
      <c r="CC39" s="161">
        <f t="shared" si="94"/>
        <v>13435.086599999999</v>
      </c>
      <c r="CD39" s="162">
        <f t="shared" si="62"/>
        <v>1949.94</v>
      </c>
      <c r="CE39" s="163">
        <v>3.1</v>
      </c>
      <c r="CF39" s="164">
        <v>9.57</v>
      </c>
      <c r="CG39" s="165">
        <f t="shared" si="51"/>
        <v>12.373329999999999</v>
      </c>
      <c r="CH39" s="166">
        <f t="shared" si="25"/>
        <v>24127.251100199999</v>
      </c>
      <c r="CI39" s="167">
        <v>55.33</v>
      </c>
      <c r="CJ39" s="166">
        <f t="shared" si="91"/>
        <v>107890.1802</v>
      </c>
      <c r="CK39" s="168">
        <v>4.28</v>
      </c>
      <c r="CL39" s="166">
        <f t="shared" si="26"/>
        <v>8345.7432000000008</v>
      </c>
      <c r="CM39" s="167">
        <v>20</v>
      </c>
      <c r="CN39" s="166">
        <f t="shared" si="27"/>
        <v>38998.800000000003</v>
      </c>
      <c r="CO39" s="169">
        <f t="shared" si="28"/>
        <v>2725.4569000000001</v>
      </c>
      <c r="CP39" s="166">
        <f t="shared" si="29"/>
        <v>5314477.4275860004</v>
      </c>
      <c r="CQ39" s="167">
        <v>2443</v>
      </c>
      <c r="CR39" s="166">
        <f t="shared" si="92"/>
        <v>4763703.42</v>
      </c>
      <c r="CS39" s="170">
        <f t="shared" si="30"/>
        <v>55.607459256163814</v>
      </c>
      <c r="CT39" s="166">
        <f t="shared" si="31"/>
        <v>108431.20910196406</v>
      </c>
      <c r="CU39" s="168">
        <v>3.8</v>
      </c>
      <c r="CV39" s="166">
        <f t="shared" si="77"/>
        <v>7409.7719999999999</v>
      </c>
      <c r="CW39" s="170">
        <f t="shared" si="78"/>
        <v>20.100292519849564</v>
      </c>
      <c r="CX39" s="166">
        <f t="shared" si="79"/>
        <v>39194.364396155463</v>
      </c>
      <c r="CY39" s="171">
        <f t="shared" si="80"/>
        <v>2455.250731299624</v>
      </c>
      <c r="CZ39" s="166">
        <f t="shared" si="81"/>
        <v>4787591.6109903893</v>
      </c>
      <c r="DA39" s="170" t="str">
        <f t="shared" si="83"/>
        <v>G17</v>
      </c>
      <c r="DB39" s="171">
        <f t="shared" si="38"/>
        <v>2236.4391434391978</v>
      </c>
      <c r="DC39" s="166">
        <f t="shared" si="69"/>
        <v>4360922.1433578292</v>
      </c>
      <c r="DD39" s="170">
        <f t="shared" si="54"/>
        <v>50.651730579816132</v>
      </c>
      <c r="DE39" s="221">
        <f t="shared" si="55"/>
        <v>98767.835526806666</v>
      </c>
      <c r="DF39" s="222">
        <f t="shared" si="56"/>
        <v>8.5733299999999986</v>
      </c>
      <c r="DG39" s="221">
        <f t="shared" si="57"/>
        <v>16717.479100199998</v>
      </c>
      <c r="DH39" s="172">
        <f t="shared" si="40"/>
        <v>-7</v>
      </c>
      <c r="DI39" s="173">
        <f t="shared" si="95"/>
        <v>42.250731299624022</v>
      </c>
      <c r="DJ39" s="174">
        <f t="shared" si="96"/>
        <v>-7</v>
      </c>
      <c r="DK39" s="175">
        <f t="shared" si="97"/>
        <v>2037</v>
      </c>
      <c r="DL39" s="176">
        <f t="shared" si="98"/>
        <v>-7</v>
      </c>
      <c r="DM39" s="175" t="e">
        <f t="shared" si="99"/>
        <v>#VALUE!</v>
      </c>
      <c r="DN39" s="177"/>
      <c r="DO39" s="178">
        <f t="shared" si="46"/>
        <v>0.56085656080222179</v>
      </c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80"/>
      <c r="EC39" s="181">
        <f t="shared" si="47"/>
        <v>-42.250731299624022</v>
      </c>
      <c r="EE39" s="181"/>
    </row>
    <row r="40" spans="1:135" s="182" customFormat="1" ht="30">
      <c r="A40" s="74">
        <v>48</v>
      </c>
      <c r="B40" s="74">
        <v>84</v>
      </c>
      <c r="C40" s="138">
        <v>45825</v>
      </c>
      <c r="D40" s="139">
        <v>151000186</v>
      </c>
      <c r="E40" s="138">
        <v>45824</v>
      </c>
      <c r="F40" s="138"/>
      <c r="G40" s="138"/>
      <c r="H40" s="140">
        <f>2004.45+1836.75</f>
        <v>3841.2</v>
      </c>
      <c r="I40" s="141">
        <f>2004.45+1836.75</f>
        <v>3841.2</v>
      </c>
      <c r="J40" s="142"/>
      <c r="K40" s="568"/>
      <c r="L40" s="337">
        <v>58</v>
      </c>
      <c r="M40" s="144"/>
      <c r="N40" s="144">
        <v>3841.2</v>
      </c>
      <c r="O40" s="522" t="s">
        <v>180</v>
      </c>
      <c r="P40" s="145" t="s">
        <v>70</v>
      </c>
      <c r="Q40" s="146" t="s">
        <v>230</v>
      </c>
      <c r="R40" s="145"/>
      <c r="S40" s="145" t="s">
        <v>181</v>
      </c>
      <c r="T40" s="145"/>
      <c r="U40" s="147" t="s">
        <v>188</v>
      </c>
      <c r="V40" s="147" t="s">
        <v>189</v>
      </c>
      <c r="W40" s="147">
        <v>4450</v>
      </c>
      <c r="X40" s="519">
        <v>3880.53</v>
      </c>
      <c r="Y40" s="148">
        <v>3880.53</v>
      </c>
      <c r="Z40" s="150"/>
      <c r="AA40" s="149"/>
      <c r="AB40" s="150"/>
      <c r="AC40" s="151"/>
      <c r="AD40" s="151"/>
      <c r="AE40" s="152">
        <f t="shared" si="0"/>
        <v>0</v>
      </c>
      <c r="AF40" s="151"/>
      <c r="AG40" s="152">
        <f t="shared" si="1"/>
        <v>0</v>
      </c>
      <c r="AH40" s="151"/>
      <c r="AI40" s="152">
        <f t="shared" si="2"/>
        <v>0</v>
      </c>
      <c r="AJ40" s="149"/>
      <c r="AK40" s="152">
        <f t="shared" si="70"/>
        <v>0</v>
      </c>
      <c r="AL40" s="149"/>
      <c r="AM40" s="151"/>
      <c r="AN40" s="152">
        <f t="shared" si="3"/>
        <v>0</v>
      </c>
      <c r="AO40" s="151"/>
      <c r="AP40" s="152">
        <f t="shared" si="4"/>
        <v>0</v>
      </c>
      <c r="AQ40" s="174">
        <f t="shared" si="100"/>
        <v>4450</v>
      </c>
      <c r="AR40" s="152">
        <f t="shared" si="48"/>
        <v>17093340</v>
      </c>
      <c r="AS40" s="149"/>
      <c r="AT40" s="149">
        <f t="shared" si="5"/>
        <v>4450</v>
      </c>
      <c r="AU40" s="152">
        <f t="shared" si="71"/>
        <v>0</v>
      </c>
      <c r="AV40" s="149">
        <f t="shared" si="7"/>
        <v>0</v>
      </c>
      <c r="AW40" s="152">
        <f t="shared" si="73"/>
        <v>0</v>
      </c>
      <c r="AX40" s="151">
        <f t="shared" si="9"/>
        <v>0</v>
      </c>
      <c r="AY40" s="152">
        <f t="shared" si="74"/>
        <v>0</v>
      </c>
      <c r="AZ40" s="153">
        <v>4</v>
      </c>
      <c r="BA40" s="153">
        <v>9.4819999999999993</v>
      </c>
      <c r="BB40" s="153"/>
      <c r="BC40" s="154">
        <f t="shared" si="11"/>
        <v>13.10272</v>
      </c>
      <c r="BD40" s="155">
        <f t="shared" si="68"/>
        <v>50330.168063999998</v>
      </c>
      <c r="BE40" s="156">
        <f>CD40</f>
        <v>3841.2</v>
      </c>
      <c r="BF40" s="157">
        <v>513</v>
      </c>
      <c r="BG40" s="157" t="s">
        <v>249</v>
      </c>
      <c r="BH40" s="156">
        <v>13.1</v>
      </c>
      <c r="BI40" s="158">
        <f t="shared" si="14"/>
        <v>50319.719999999994</v>
      </c>
      <c r="BJ40" s="156">
        <v>7.12</v>
      </c>
      <c r="BK40" s="158">
        <f t="shared" si="15"/>
        <v>27349.343999999997</v>
      </c>
      <c r="BL40" s="156">
        <v>39.94</v>
      </c>
      <c r="BM40" s="159">
        <f t="shared" si="16"/>
        <v>153417.52799999999</v>
      </c>
      <c r="BN40" s="157">
        <v>3674</v>
      </c>
      <c r="BO40" s="159">
        <f t="shared" si="17"/>
        <v>14112568.799999999</v>
      </c>
      <c r="BP40" s="160"/>
      <c r="BQ40" s="156">
        <v>6.68</v>
      </c>
      <c r="BR40" s="158">
        <f t="shared" si="18"/>
        <v>25659.215999999997</v>
      </c>
      <c r="BS40" s="156">
        <v>40.130000000000003</v>
      </c>
      <c r="BT40" s="159">
        <f t="shared" si="19"/>
        <v>154147.356</v>
      </c>
      <c r="BU40" s="157">
        <v>3691</v>
      </c>
      <c r="BV40" s="161">
        <f t="shared" si="49"/>
        <v>14177869.199999999</v>
      </c>
      <c r="BW40" s="157" t="s">
        <v>190</v>
      </c>
      <c r="BX40" s="157">
        <f t="shared" si="20"/>
        <v>3437</v>
      </c>
      <c r="BY40" s="161">
        <f t="shared" si="50"/>
        <v>13202204.399999999</v>
      </c>
      <c r="BZ40" s="157">
        <f t="shared" si="21"/>
        <v>37.369999999999997</v>
      </c>
      <c r="CA40" s="161">
        <f t="shared" si="75"/>
        <v>143545.64399999997</v>
      </c>
      <c r="CB40" s="156">
        <f t="shared" si="23"/>
        <v>6.42</v>
      </c>
      <c r="CC40" s="161">
        <f t="shared" si="94"/>
        <v>24660.503999999997</v>
      </c>
      <c r="CD40" s="162">
        <f t="shared" si="62"/>
        <v>3841.2</v>
      </c>
      <c r="CE40" s="163">
        <v>4</v>
      </c>
      <c r="CF40" s="164">
        <v>9.48</v>
      </c>
      <c r="CG40" s="165">
        <f t="shared" si="51"/>
        <v>13.1008</v>
      </c>
      <c r="CH40" s="166">
        <f t="shared" si="25"/>
        <v>50322.792959999999</v>
      </c>
      <c r="CI40" s="167">
        <v>40.18</v>
      </c>
      <c r="CJ40" s="166">
        <f t="shared" si="91"/>
        <v>154339.416</v>
      </c>
      <c r="CK40" s="168">
        <v>5.52</v>
      </c>
      <c r="CL40" s="166">
        <f t="shared" si="26"/>
        <v>21203.423999999999</v>
      </c>
      <c r="CM40" s="167">
        <v>25.56</v>
      </c>
      <c r="CN40" s="166">
        <f t="shared" si="27"/>
        <v>98181.071999999986</v>
      </c>
      <c r="CO40" s="169">
        <f t="shared" si="28"/>
        <v>3970.7289999999994</v>
      </c>
      <c r="CP40" s="166">
        <f t="shared" si="29"/>
        <v>15252364.234799996</v>
      </c>
      <c r="CQ40" s="167">
        <v>3657</v>
      </c>
      <c r="CR40" s="166">
        <f t="shared" si="92"/>
        <v>14047268.399999999</v>
      </c>
      <c r="CS40" s="170">
        <f t="shared" si="30"/>
        <v>41.07733065198984</v>
      </c>
      <c r="CT40" s="166">
        <f t="shared" si="31"/>
        <v>157786.24250042337</v>
      </c>
      <c r="CU40" s="168">
        <v>3.41</v>
      </c>
      <c r="CV40" s="166">
        <f t="shared" si="77"/>
        <v>13098.492</v>
      </c>
      <c r="CW40" s="170">
        <f t="shared" si="78"/>
        <v>26.130825571549533</v>
      </c>
      <c r="CX40" s="166">
        <f t="shared" si="79"/>
        <v>100373.72718543606</v>
      </c>
      <c r="CY40" s="171">
        <f t="shared" si="80"/>
        <v>3738.6709356477563</v>
      </c>
      <c r="CZ40" s="166">
        <f t="shared" si="81"/>
        <v>14360982.798010161</v>
      </c>
      <c r="DA40" s="170" t="str">
        <f t="shared" si="83"/>
        <v>G12</v>
      </c>
      <c r="DB40" s="171">
        <f t="shared" si="38"/>
        <v>3363.5729720575787</v>
      </c>
      <c r="DC40" s="166">
        <f t="shared" si="69"/>
        <v>12920156.500267571</v>
      </c>
      <c r="DD40" s="170">
        <f t="shared" si="54"/>
        <v>36.956073835732433</v>
      </c>
      <c r="DE40" s="221">
        <f t="shared" si="55"/>
        <v>141955.67081781541</v>
      </c>
      <c r="DF40" s="222">
        <f t="shared" si="56"/>
        <v>9.6907999999999994</v>
      </c>
      <c r="DG40" s="221">
        <f t="shared" si="57"/>
        <v>37224.300959999993</v>
      </c>
      <c r="DH40" s="172">
        <f t="shared" si="40"/>
        <v>-2</v>
      </c>
      <c r="DI40" s="173">
        <f t="shared" si="95"/>
        <v>47.670935647756323</v>
      </c>
      <c r="DJ40" s="174">
        <f t="shared" si="96"/>
        <v>-3</v>
      </c>
      <c r="DK40" s="175">
        <f t="shared" si="97"/>
        <v>759</v>
      </c>
      <c r="DL40" s="176">
        <f t="shared" si="98"/>
        <v>-3</v>
      </c>
      <c r="DM40" s="175" t="e">
        <f t="shared" si="99"/>
        <v>#VALUE!</v>
      </c>
      <c r="DN40" s="177"/>
      <c r="DO40" s="178">
        <f t="shared" si="46"/>
        <v>73.427027942421319</v>
      </c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80"/>
      <c r="EC40" s="181">
        <f t="shared" si="47"/>
        <v>-47.670935647756323</v>
      </c>
      <c r="EE40" s="181"/>
    </row>
    <row r="41" spans="1:135" s="182" customFormat="1" ht="30">
      <c r="A41" s="74">
        <v>52</v>
      </c>
      <c r="B41" s="74">
        <v>89</v>
      </c>
      <c r="C41" s="138">
        <v>45826</v>
      </c>
      <c r="D41" s="139">
        <v>151001342</v>
      </c>
      <c r="E41" s="138">
        <v>45824</v>
      </c>
      <c r="F41" s="138"/>
      <c r="G41" s="138"/>
      <c r="H41" s="140">
        <v>3840.85</v>
      </c>
      <c r="I41" s="141">
        <v>3840.85</v>
      </c>
      <c r="J41" s="142"/>
      <c r="K41" s="568"/>
      <c r="L41" s="337">
        <v>58</v>
      </c>
      <c r="M41" s="144"/>
      <c r="N41" s="144">
        <v>3840.85</v>
      </c>
      <c r="O41" s="522" t="s">
        <v>180</v>
      </c>
      <c r="P41" s="145" t="s">
        <v>71</v>
      </c>
      <c r="Q41" s="146" t="s">
        <v>52</v>
      </c>
      <c r="R41" s="145"/>
      <c r="S41" s="145" t="s">
        <v>181</v>
      </c>
      <c r="T41" s="145"/>
      <c r="U41" s="147" t="s">
        <v>188</v>
      </c>
      <c r="V41" s="147" t="s">
        <v>189</v>
      </c>
      <c r="W41" s="147">
        <v>4450</v>
      </c>
      <c r="X41" s="519">
        <v>3906.48</v>
      </c>
      <c r="Y41" s="148">
        <v>3906.48</v>
      </c>
      <c r="Z41" s="150"/>
      <c r="AA41" s="149"/>
      <c r="AB41" s="150"/>
      <c r="AC41" s="151"/>
      <c r="AD41" s="151"/>
      <c r="AE41" s="152">
        <f t="shared" si="0"/>
        <v>0</v>
      </c>
      <c r="AF41" s="151"/>
      <c r="AG41" s="152" t="e">
        <f>AF41*#REF!</f>
        <v>#REF!</v>
      </c>
      <c r="AH41" s="151"/>
      <c r="AI41" s="152" t="e">
        <f>AH41*#REF!</f>
        <v>#REF!</v>
      </c>
      <c r="AJ41" s="149"/>
      <c r="AK41" s="152" t="e">
        <f>AJ41*#REF!</f>
        <v>#REF!</v>
      </c>
      <c r="AL41" s="149"/>
      <c r="AM41" s="151"/>
      <c r="AN41" s="152" t="e">
        <f>AM41*#REF!</f>
        <v>#REF!</v>
      </c>
      <c r="AO41" s="151"/>
      <c r="AP41" s="152">
        <f t="shared" si="4"/>
        <v>0</v>
      </c>
      <c r="AQ41" s="174">
        <f t="shared" si="100"/>
        <v>4450</v>
      </c>
      <c r="AR41" s="152">
        <f t="shared" si="48"/>
        <v>17091782.5</v>
      </c>
      <c r="AS41" s="149"/>
      <c r="AT41" s="149">
        <f t="shared" si="5"/>
        <v>4450</v>
      </c>
      <c r="AU41" s="152">
        <f t="shared" si="71"/>
        <v>0</v>
      </c>
      <c r="AV41" s="149">
        <f t="shared" si="7"/>
        <v>0</v>
      </c>
      <c r="AW41" s="152" t="e">
        <f>AV41*#REF!</f>
        <v>#REF!</v>
      </c>
      <c r="AX41" s="151">
        <f t="shared" si="9"/>
        <v>0</v>
      </c>
      <c r="AY41" s="152">
        <f t="shared" si="74"/>
        <v>0</v>
      </c>
      <c r="AZ41" s="153">
        <v>4.0999999999999996</v>
      </c>
      <c r="BA41" s="153">
        <v>9.9009999999999998</v>
      </c>
      <c r="BB41" s="153"/>
      <c r="BC41" s="154">
        <f t="shared" si="11"/>
        <v>13.595058999999999</v>
      </c>
      <c r="BD41" s="155">
        <f t="shared" si="68"/>
        <v>52216.582360149994</v>
      </c>
      <c r="BE41" s="156">
        <f t="shared" ref="BE41:BE44" si="101">CD41</f>
        <v>3840.85</v>
      </c>
      <c r="BF41" s="157">
        <v>3127</v>
      </c>
      <c r="BG41" s="157" t="s">
        <v>250</v>
      </c>
      <c r="BH41" s="156">
        <v>13.6</v>
      </c>
      <c r="BI41" s="158">
        <f t="shared" si="14"/>
        <v>52235.56</v>
      </c>
      <c r="BJ41" s="156">
        <v>7.72</v>
      </c>
      <c r="BK41" s="158">
        <f t="shared" si="15"/>
        <v>29651.361999999997</v>
      </c>
      <c r="BL41" s="570">
        <v>53.59</v>
      </c>
      <c r="BM41" s="159">
        <f t="shared" si="16"/>
        <v>205831.15150000001</v>
      </c>
      <c r="BN41" s="570">
        <v>2450</v>
      </c>
      <c r="BO41" s="159">
        <f t="shared" si="17"/>
        <v>9410082.5</v>
      </c>
      <c r="BP41" s="160"/>
      <c r="BQ41" s="570">
        <v>6.8</v>
      </c>
      <c r="BR41" s="158">
        <f t="shared" si="18"/>
        <v>26117.78</v>
      </c>
      <c r="BS41" s="570">
        <v>54.12</v>
      </c>
      <c r="BT41" s="159">
        <f t="shared" si="19"/>
        <v>207866.802</v>
      </c>
      <c r="BU41" s="570">
        <v>2474</v>
      </c>
      <c r="BV41" s="161">
        <f t="shared" si="49"/>
        <v>9502262.9000000004</v>
      </c>
      <c r="BW41" s="570" t="s">
        <v>223</v>
      </c>
      <c r="BX41" s="157">
        <f t="shared" si="20"/>
        <v>2293</v>
      </c>
      <c r="BY41" s="161">
        <f t="shared" si="50"/>
        <v>8807069.0499999989</v>
      </c>
      <c r="BZ41" s="157">
        <f t="shared" si="21"/>
        <v>50.17</v>
      </c>
      <c r="CA41" s="161">
        <f t="shared" si="75"/>
        <v>192695.44450000001</v>
      </c>
      <c r="CB41" s="156">
        <f t="shared" si="23"/>
        <v>6.8</v>
      </c>
      <c r="CC41" s="161">
        <f t="shared" si="94"/>
        <v>26117.78</v>
      </c>
      <c r="CD41" s="162">
        <f t="shared" si="62"/>
        <v>3840.85</v>
      </c>
      <c r="CE41" s="163">
        <v>4.0999999999999996</v>
      </c>
      <c r="CF41" s="164">
        <v>9.91</v>
      </c>
      <c r="CG41" s="165">
        <f t="shared" si="51"/>
        <v>13.60369</v>
      </c>
      <c r="CH41" s="166">
        <f t="shared" si="25"/>
        <v>52249.732736500002</v>
      </c>
      <c r="CI41" s="167">
        <v>53.94</v>
      </c>
      <c r="CJ41" s="166">
        <f t="shared" si="91"/>
        <v>207175.44899999999</v>
      </c>
      <c r="CK41" s="168">
        <v>4.59</v>
      </c>
      <c r="CL41" s="166">
        <f t="shared" si="26"/>
        <v>17629.501499999998</v>
      </c>
      <c r="CM41" s="167">
        <v>20.21</v>
      </c>
      <c r="CN41" s="166">
        <f t="shared" si="27"/>
        <v>77623.578500000003</v>
      </c>
      <c r="CO41" s="169">
        <f t="shared" si="28"/>
        <v>2811.1462000000001</v>
      </c>
      <c r="CP41" s="166">
        <f t="shared" si="29"/>
        <v>10797190.882270001</v>
      </c>
      <c r="CQ41" s="167">
        <v>2543</v>
      </c>
      <c r="CR41" s="166">
        <f t="shared" si="92"/>
        <v>9767281.5499999989</v>
      </c>
      <c r="CS41" s="170">
        <f t="shared" si="30"/>
        <v>53.855197568389059</v>
      </c>
      <c r="CT41" s="166">
        <f t="shared" si="31"/>
        <v>206849.7355805471</v>
      </c>
      <c r="CU41" s="168">
        <v>4.74</v>
      </c>
      <c r="CV41" s="166">
        <f t="shared" si="77"/>
        <v>18205.629000000001</v>
      </c>
      <c r="CW41" s="170">
        <f t="shared" si="78"/>
        <v>20.178226600985223</v>
      </c>
      <c r="CX41" s="166">
        <f t="shared" si="79"/>
        <v>77501.541640394091</v>
      </c>
      <c r="CY41" s="171">
        <f t="shared" si="80"/>
        <v>2539.0019914055133</v>
      </c>
      <c r="CZ41" s="166">
        <f t="shared" si="81"/>
        <v>9751925.7986898664</v>
      </c>
      <c r="DA41" s="170" t="str">
        <f t="shared" si="83"/>
        <v>G16</v>
      </c>
      <c r="DB41" s="171">
        <f t="shared" si="38"/>
        <v>2302.7545994130596</v>
      </c>
      <c r="DC41" s="166">
        <f t="shared" si="69"/>
        <v>8844535.0031556506</v>
      </c>
      <c r="DD41" s="170">
        <f t="shared" si="54"/>
        <v>48.844114468085102</v>
      </c>
      <c r="DE41" s="221">
        <f t="shared" si="55"/>
        <v>187602.91705474467</v>
      </c>
      <c r="DF41" s="222">
        <f t="shared" si="56"/>
        <v>8.8636900000000001</v>
      </c>
      <c r="DG41" s="221">
        <f t="shared" si="57"/>
        <v>34044.103736500001</v>
      </c>
      <c r="DH41" s="172">
        <f t="shared" si="40"/>
        <v>-6</v>
      </c>
      <c r="DI41" s="173">
        <f t="shared" si="95"/>
        <v>65.001991405513309</v>
      </c>
      <c r="DJ41" s="174">
        <f t="shared" si="96"/>
        <v>-7</v>
      </c>
      <c r="DK41" s="175">
        <f t="shared" si="97"/>
        <v>1976</v>
      </c>
      <c r="DL41" s="176">
        <f t="shared" si="98"/>
        <v>-7</v>
      </c>
      <c r="DM41" s="175" t="e">
        <f t="shared" si="99"/>
        <v>#VALUE!</v>
      </c>
      <c r="DN41" s="177"/>
      <c r="DO41" s="178">
        <f t="shared" si="46"/>
        <v>-9.7545994130596227</v>
      </c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80"/>
      <c r="EC41" s="181">
        <f t="shared" si="47"/>
        <v>-65.001991405513309</v>
      </c>
      <c r="EE41" s="181"/>
    </row>
    <row r="42" spans="1:135" s="182" customFormat="1" ht="30">
      <c r="A42" s="74">
        <v>53</v>
      </c>
      <c r="B42" s="74">
        <v>90</v>
      </c>
      <c r="C42" s="138">
        <v>45826</v>
      </c>
      <c r="D42" s="139">
        <v>151001340</v>
      </c>
      <c r="E42" s="138">
        <v>45823</v>
      </c>
      <c r="F42" s="138"/>
      <c r="G42" s="138"/>
      <c r="H42" s="140">
        <v>3832.2</v>
      </c>
      <c r="I42" s="141">
        <v>3832.2</v>
      </c>
      <c r="J42" s="142"/>
      <c r="K42" s="568"/>
      <c r="L42" s="337">
        <v>58</v>
      </c>
      <c r="M42" s="144"/>
      <c r="N42" s="144">
        <v>3832.2</v>
      </c>
      <c r="O42" s="522" t="s">
        <v>180</v>
      </c>
      <c r="P42" s="145" t="s">
        <v>71</v>
      </c>
      <c r="Q42" s="146" t="s">
        <v>222</v>
      </c>
      <c r="R42" s="145"/>
      <c r="S42" s="145" t="s">
        <v>181</v>
      </c>
      <c r="T42" s="145"/>
      <c r="U42" s="147" t="s">
        <v>188</v>
      </c>
      <c r="V42" s="147" t="s">
        <v>189</v>
      </c>
      <c r="W42" s="147">
        <v>4450</v>
      </c>
      <c r="X42" s="519">
        <v>3906.03</v>
      </c>
      <c r="Y42" s="148">
        <v>3906.03</v>
      </c>
      <c r="Z42" s="150" t="s">
        <v>285</v>
      </c>
      <c r="AA42" s="149">
        <v>1688</v>
      </c>
      <c r="AB42" s="150">
        <v>45838</v>
      </c>
      <c r="AC42" s="151">
        <v>3906.03</v>
      </c>
      <c r="AD42" s="151">
        <v>11.28</v>
      </c>
      <c r="AE42" s="152">
        <f t="shared" si="0"/>
        <v>44060.018400000001</v>
      </c>
      <c r="AF42" s="151">
        <v>6.68</v>
      </c>
      <c r="AG42" s="152">
        <f t="shared" ref="AG42:AG62" si="102">AF42*$AC42</f>
        <v>26092.2804</v>
      </c>
      <c r="AH42" s="151">
        <v>42.52</v>
      </c>
      <c r="AI42" s="152">
        <f t="shared" ref="AI42:AI62" si="103">AH42*$AC42</f>
        <v>166084.39560000002</v>
      </c>
      <c r="AJ42" s="149">
        <v>3525</v>
      </c>
      <c r="AK42" s="152">
        <f t="shared" ref="AK42:AK62" si="104">AJ42*$AC42</f>
        <v>13768755.75</v>
      </c>
      <c r="AL42" s="149"/>
      <c r="AM42" s="151">
        <v>8.52</v>
      </c>
      <c r="AN42" s="152">
        <f t="shared" si="3"/>
        <v>33279.375599999999</v>
      </c>
      <c r="AO42" s="151">
        <v>41.68</v>
      </c>
      <c r="AP42" s="152">
        <f t="shared" si="4"/>
        <v>162803.33040000001</v>
      </c>
      <c r="AQ42" s="149">
        <v>3455</v>
      </c>
      <c r="AR42" s="152">
        <f t="shared" si="48"/>
        <v>13240251</v>
      </c>
      <c r="AS42" s="149" t="s">
        <v>190</v>
      </c>
      <c r="AT42" s="149">
        <f t="shared" si="5"/>
        <v>3351</v>
      </c>
      <c r="AU42" s="152">
        <f t="shared" si="71"/>
        <v>13089106.530000001</v>
      </c>
      <c r="AV42" s="149">
        <f t="shared" si="7"/>
        <v>40.42</v>
      </c>
      <c r="AW42" s="152">
        <f t="shared" ref="AW42:AW47" si="105">AV42*$AC42</f>
        <v>157881.73260000002</v>
      </c>
      <c r="AX42" s="151">
        <f t="shared" si="9"/>
        <v>2.76</v>
      </c>
      <c r="AY42" s="152">
        <f t="shared" si="74"/>
        <v>10780.6428</v>
      </c>
      <c r="AZ42" s="153">
        <v>4.9000000000000004</v>
      </c>
      <c r="BA42" s="153">
        <v>8.8490000000000002</v>
      </c>
      <c r="BB42" s="153"/>
      <c r="BC42" s="154">
        <f t="shared" si="11"/>
        <v>13.315398999999999</v>
      </c>
      <c r="BD42" s="155">
        <f t="shared" si="68"/>
        <v>51027.272047799997</v>
      </c>
      <c r="BE42" s="156">
        <f t="shared" si="101"/>
        <v>3832.2</v>
      </c>
      <c r="BF42" s="569">
        <v>3128</v>
      </c>
      <c r="BG42" s="157" t="s">
        <v>250</v>
      </c>
      <c r="BH42" s="570">
        <v>13.32</v>
      </c>
      <c r="BI42" s="158">
        <f t="shared" si="14"/>
        <v>51044.904000000002</v>
      </c>
      <c r="BJ42" s="570">
        <v>7.87</v>
      </c>
      <c r="BK42" s="158">
        <f t="shared" si="15"/>
        <v>30159.414000000001</v>
      </c>
      <c r="BL42" s="570">
        <v>47.69</v>
      </c>
      <c r="BM42" s="159">
        <f t="shared" si="16"/>
        <v>182757.61799999999</v>
      </c>
      <c r="BN42" s="570">
        <v>3052</v>
      </c>
      <c r="BO42" s="159">
        <f t="shared" si="17"/>
        <v>11695874.4</v>
      </c>
      <c r="BP42" s="160"/>
      <c r="BQ42" s="570">
        <v>6.51</v>
      </c>
      <c r="BR42" s="158">
        <f t="shared" si="18"/>
        <v>24947.621999999999</v>
      </c>
      <c r="BS42" s="570">
        <v>48.39</v>
      </c>
      <c r="BT42" s="159">
        <f t="shared" si="19"/>
        <v>185440.158</v>
      </c>
      <c r="BU42" s="570">
        <v>3097</v>
      </c>
      <c r="BV42" s="161">
        <f t="shared" si="49"/>
        <v>11868323.399999999</v>
      </c>
      <c r="BW42" s="570" t="s">
        <v>187</v>
      </c>
      <c r="BX42" s="157">
        <f t="shared" si="20"/>
        <v>2871</v>
      </c>
      <c r="BY42" s="161">
        <f t="shared" si="50"/>
        <v>11002246.199999999</v>
      </c>
      <c r="BZ42" s="157">
        <f t="shared" si="21"/>
        <v>44.87</v>
      </c>
      <c r="CA42" s="161">
        <f t="shared" si="75"/>
        <v>171950.81399999998</v>
      </c>
      <c r="CB42" s="156">
        <f t="shared" si="23"/>
        <v>6.8100000000000005</v>
      </c>
      <c r="CC42" s="161">
        <f t="shared" si="94"/>
        <v>26097.281999999999</v>
      </c>
      <c r="CD42" s="162">
        <f t="shared" si="62"/>
        <v>3832.2</v>
      </c>
      <c r="CE42" s="412">
        <v>4.9000000000000004</v>
      </c>
      <c r="CF42" s="164">
        <v>8.85</v>
      </c>
      <c r="CG42" s="165">
        <f t="shared" si="51"/>
        <v>13.31635</v>
      </c>
      <c r="CH42" s="166">
        <f t="shared" si="25"/>
        <v>51030.916469999996</v>
      </c>
      <c r="CI42" s="167">
        <v>48.22</v>
      </c>
      <c r="CJ42" s="166">
        <f t="shared" si="91"/>
        <v>184788.68399999998</v>
      </c>
      <c r="CK42" s="168">
        <v>5.34</v>
      </c>
      <c r="CL42" s="166">
        <f t="shared" si="26"/>
        <v>20463.947999999997</v>
      </c>
      <c r="CM42" s="167">
        <v>22.22</v>
      </c>
      <c r="CN42" s="166">
        <f t="shared" si="27"/>
        <v>85151.483999999997</v>
      </c>
      <c r="CO42" s="169">
        <f t="shared" si="28"/>
        <v>3240.2853999999998</v>
      </c>
      <c r="CP42" s="166">
        <f t="shared" si="29"/>
        <v>12417421.709879998</v>
      </c>
      <c r="CQ42" s="167">
        <v>3034</v>
      </c>
      <c r="CR42" s="166">
        <f t="shared" si="92"/>
        <v>11626894.799999999</v>
      </c>
      <c r="CS42" s="170">
        <f t="shared" si="30"/>
        <v>48.184341855060218</v>
      </c>
      <c r="CT42" s="166">
        <f t="shared" si="31"/>
        <v>184652.03485696175</v>
      </c>
      <c r="CU42" s="168">
        <v>5.41</v>
      </c>
      <c r="CV42" s="166">
        <f t="shared" si="77"/>
        <v>20732.202000000001</v>
      </c>
      <c r="CW42" s="170">
        <f t="shared" si="78"/>
        <v>22.203568561166282</v>
      </c>
      <c r="CX42" s="166">
        <f t="shared" si="79"/>
        <v>85088.515440101415</v>
      </c>
      <c r="CY42" s="171">
        <f t="shared" si="80"/>
        <v>3031.7563912951618</v>
      </c>
      <c r="CZ42" s="166">
        <f t="shared" si="81"/>
        <v>11618296.842721319</v>
      </c>
      <c r="DA42" s="170" t="str">
        <f t="shared" si="83"/>
        <v>G15</v>
      </c>
      <c r="DB42" s="171">
        <f t="shared" si="38"/>
        <v>2778.3455958166069</v>
      </c>
      <c r="DC42" s="166">
        <f t="shared" si="69"/>
        <v>10647175.992288399</v>
      </c>
      <c r="DD42" s="170">
        <f t="shared" si="54"/>
        <v>44.156830794422142</v>
      </c>
      <c r="DE42" s="221">
        <f t="shared" si="55"/>
        <v>169217.80697038452</v>
      </c>
      <c r="DF42" s="222">
        <f t="shared" si="56"/>
        <v>7.9063499999999998</v>
      </c>
      <c r="DG42" s="221">
        <f t="shared" si="57"/>
        <v>30298.714469999999</v>
      </c>
      <c r="DH42" s="172">
        <f t="shared" si="40"/>
        <v>-5</v>
      </c>
      <c r="DI42" s="173">
        <f t="shared" si="95"/>
        <v>-65.243608704838152</v>
      </c>
      <c r="DJ42" s="174">
        <f t="shared" si="96"/>
        <v>-5</v>
      </c>
      <c r="DK42" s="175">
        <f t="shared" si="97"/>
        <v>358</v>
      </c>
      <c r="DL42" s="176">
        <f t="shared" si="98"/>
        <v>-5</v>
      </c>
      <c r="DM42" s="175">
        <f t="shared" si="99"/>
        <v>-3</v>
      </c>
      <c r="DN42" s="177"/>
      <c r="DO42" s="178">
        <f t="shared" si="46"/>
        <v>92.654404183393126</v>
      </c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80"/>
      <c r="EC42" s="181">
        <f t="shared" si="47"/>
        <v>65.243608704838152</v>
      </c>
      <c r="EE42" s="181"/>
    </row>
    <row r="43" spans="1:135" s="182" customFormat="1" ht="30">
      <c r="A43" s="74">
        <v>54</v>
      </c>
      <c r="B43" s="74">
        <v>91</v>
      </c>
      <c r="C43" s="138">
        <v>45826</v>
      </c>
      <c r="D43" s="139">
        <v>161016422</v>
      </c>
      <c r="E43" s="138">
        <v>45825</v>
      </c>
      <c r="F43" s="138"/>
      <c r="G43" s="138"/>
      <c r="H43" s="140">
        <v>3858.15</v>
      </c>
      <c r="I43" s="141">
        <v>3858.15</v>
      </c>
      <c r="J43" s="142"/>
      <c r="K43" s="568"/>
      <c r="L43" s="337">
        <v>58</v>
      </c>
      <c r="M43" s="144"/>
      <c r="N43" s="144">
        <v>3858.15</v>
      </c>
      <c r="O43" s="522" t="s">
        <v>180</v>
      </c>
      <c r="P43" s="145" t="s">
        <v>71</v>
      </c>
      <c r="Q43" s="146" t="s">
        <v>222</v>
      </c>
      <c r="R43" s="145"/>
      <c r="S43" s="145" t="s">
        <v>181</v>
      </c>
      <c r="T43" s="145"/>
      <c r="U43" s="147" t="s">
        <v>188</v>
      </c>
      <c r="V43" s="147" t="s">
        <v>189</v>
      </c>
      <c r="W43" s="147">
        <v>4450</v>
      </c>
      <c r="X43" s="519">
        <v>3931.72</v>
      </c>
      <c r="Y43" s="148">
        <v>3931.72</v>
      </c>
      <c r="Z43" s="150"/>
      <c r="AA43" s="149"/>
      <c r="AB43" s="150"/>
      <c r="AC43" s="151"/>
      <c r="AD43" s="151"/>
      <c r="AE43" s="152">
        <f t="shared" si="0"/>
        <v>0</v>
      </c>
      <c r="AF43" s="151"/>
      <c r="AG43" s="152">
        <f t="shared" si="102"/>
        <v>0</v>
      </c>
      <c r="AH43" s="151"/>
      <c r="AI43" s="152">
        <f t="shared" si="103"/>
        <v>0</v>
      </c>
      <c r="AJ43" s="149"/>
      <c r="AK43" s="152">
        <f t="shared" si="104"/>
        <v>0</v>
      </c>
      <c r="AL43" s="149"/>
      <c r="AM43" s="151"/>
      <c r="AN43" s="152">
        <f t="shared" si="3"/>
        <v>0</v>
      </c>
      <c r="AO43" s="151"/>
      <c r="AP43" s="152">
        <f t="shared" si="4"/>
        <v>0</v>
      </c>
      <c r="AQ43" s="174">
        <f t="shared" ref="AQ43:AQ62" si="106">W43</f>
        <v>4450</v>
      </c>
      <c r="AR43" s="152">
        <f t="shared" si="48"/>
        <v>17168767.5</v>
      </c>
      <c r="AS43" s="149"/>
      <c r="AT43" s="149">
        <f t="shared" si="5"/>
        <v>4450</v>
      </c>
      <c r="AU43" s="152">
        <f t="shared" si="71"/>
        <v>0</v>
      </c>
      <c r="AV43" s="149">
        <f t="shared" si="7"/>
        <v>0</v>
      </c>
      <c r="AW43" s="152">
        <f t="shared" si="105"/>
        <v>0</v>
      </c>
      <c r="AX43" s="151">
        <f t="shared" si="9"/>
        <v>0</v>
      </c>
      <c r="AY43" s="152">
        <f t="shared" si="74"/>
        <v>0</v>
      </c>
      <c r="AZ43" s="153">
        <v>4.3</v>
      </c>
      <c r="BA43" s="153">
        <v>7.149</v>
      </c>
      <c r="BB43" s="153"/>
      <c r="BC43" s="154">
        <f t="shared" si="11"/>
        <v>11.141593</v>
      </c>
      <c r="BD43" s="155">
        <f t="shared" si="68"/>
        <v>42985.937032950002</v>
      </c>
      <c r="BE43" s="156">
        <f t="shared" si="101"/>
        <v>3858.15</v>
      </c>
      <c r="BF43" s="569">
        <v>3129</v>
      </c>
      <c r="BG43" s="157" t="s">
        <v>250</v>
      </c>
      <c r="BH43" s="570">
        <v>11.14</v>
      </c>
      <c r="BI43" s="158">
        <f t="shared" si="14"/>
        <v>42979.791000000005</v>
      </c>
      <c r="BJ43" s="570">
        <v>7.8</v>
      </c>
      <c r="BK43" s="158">
        <f t="shared" si="15"/>
        <v>30093.57</v>
      </c>
      <c r="BL43" s="570">
        <v>44.32</v>
      </c>
      <c r="BM43" s="159">
        <f t="shared" si="16"/>
        <v>170993.20800000001</v>
      </c>
      <c r="BN43" s="570">
        <v>3461</v>
      </c>
      <c r="BO43" s="159">
        <f t="shared" si="17"/>
        <v>13353057.15</v>
      </c>
      <c r="BP43" s="160"/>
      <c r="BQ43" s="570">
        <v>6.57</v>
      </c>
      <c r="BR43" s="158">
        <f t="shared" si="18"/>
        <v>25348.0455</v>
      </c>
      <c r="BS43" s="570">
        <v>44.91</v>
      </c>
      <c r="BT43" s="159">
        <f t="shared" si="19"/>
        <v>173269.5165</v>
      </c>
      <c r="BU43" s="570">
        <v>3507</v>
      </c>
      <c r="BV43" s="161">
        <f t="shared" si="49"/>
        <v>13530532.050000001</v>
      </c>
      <c r="BW43" s="570" t="s">
        <v>190</v>
      </c>
      <c r="BX43" s="157">
        <f t="shared" si="20"/>
        <v>3335</v>
      </c>
      <c r="BY43" s="161">
        <f t="shared" si="50"/>
        <v>12866930.25</v>
      </c>
      <c r="BZ43" s="157">
        <f t="shared" si="21"/>
        <v>42.71</v>
      </c>
      <c r="CA43" s="161">
        <f t="shared" si="75"/>
        <v>164781.5865</v>
      </c>
      <c r="CB43" s="156">
        <f t="shared" si="23"/>
        <v>4.57</v>
      </c>
      <c r="CC43" s="161">
        <f t="shared" si="94"/>
        <v>17631.745500000001</v>
      </c>
      <c r="CD43" s="162">
        <f t="shared" si="62"/>
        <v>3858.15</v>
      </c>
      <c r="CE43" s="412">
        <v>4.3</v>
      </c>
      <c r="CF43" s="164">
        <v>7.15</v>
      </c>
      <c r="CG43" s="165">
        <f t="shared" si="51"/>
        <v>11.14255</v>
      </c>
      <c r="CH43" s="166">
        <f>CG43*$CD43</f>
        <v>42989.629282499998</v>
      </c>
      <c r="CI43" s="167">
        <v>48.48</v>
      </c>
      <c r="CJ43" s="166">
        <f t="shared" si="91"/>
        <v>187043.11199999999</v>
      </c>
      <c r="CK43" s="168">
        <v>5.3</v>
      </c>
      <c r="CL43" s="166">
        <f t="shared" si="26"/>
        <v>20448.195</v>
      </c>
      <c r="CM43" s="167">
        <v>22.47</v>
      </c>
      <c r="CN43" s="166">
        <f t="shared" si="27"/>
        <v>86692.630499999999</v>
      </c>
      <c r="CO43" s="169">
        <f t="shared" si="28"/>
        <v>3221.6391999999996</v>
      </c>
      <c r="CP43" s="166">
        <f t="shared" si="29"/>
        <v>12429567.279479999</v>
      </c>
      <c r="CQ43" s="167">
        <v>3557</v>
      </c>
      <c r="CR43" s="166">
        <f t="shared" si="92"/>
        <v>13723439.550000001</v>
      </c>
      <c r="CS43" s="170">
        <f t="shared" si="30"/>
        <v>48.664295670538543</v>
      </c>
      <c r="CT43" s="166">
        <f t="shared" si="31"/>
        <v>187754.15234128828</v>
      </c>
      <c r="CU43" s="168">
        <v>4.9400000000000004</v>
      </c>
      <c r="CV43" s="166">
        <f t="shared" si="77"/>
        <v>19059.261000000002</v>
      </c>
      <c r="CW43" s="170">
        <f t="shared" si="78"/>
        <v>22.555419218585005</v>
      </c>
      <c r="CX43" s="166">
        <f t="shared" si="79"/>
        <v>87022.190658183739</v>
      </c>
      <c r="CY43" s="171">
        <f t="shared" si="80"/>
        <v>3570.5218585005282</v>
      </c>
      <c r="CZ43" s="166">
        <f t="shared" si="81"/>
        <v>13775608.908373814</v>
      </c>
      <c r="DA43" s="170" t="str">
        <f t="shared" si="83"/>
        <v>G13</v>
      </c>
      <c r="DB43" s="171">
        <f t="shared" si="38"/>
        <v>3337.5496267159451</v>
      </c>
      <c r="DC43" s="166">
        <f t="shared" si="69"/>
        <v>12876767.092314124</v>
      </c>
      <c r="DD43" s="170">
        <f t="shared" si="54"/>
        <v>45.48900925026399</v>
      </c>
      <c r="DE43" s="221">
        <f t="shared" si="55"/>
        <v>175503.42103890603</v>
      </c>
      <c r="DF43" s="222">
        <f t="shared" si="56"/>
        <v>6.2025499999999996</v>
      </c>
      <c r="DG43" s="221">
        <f t="shared" si="57"/>
        <v>23930.3682825</v>
      </c>
      <c r="DH43" s="172">
        <f t="shared" si="40"/>
        <v>-3</v>
      </c>
      <c r="DI43" s="173">
        <f t="shared" si="95"/>
        <v>63.521858500528197</v>
      </c>
      <c r="DJ43" s="174">
        <f t="shared" si="96"/>
        <v>-3</v>
      </c>
      <c r="DK43" s="175">
        <f t="shared" si="97"/>
        <v>943</v>
      </c>
      <c r="DL43" s="176">
        <f t="shared" si="98"/>
        <v>-3</v>
      </c>
      <c r="DM43" s="175" t="e">
        <f t="shared" si="99"/>
        <v>#VALUE!</v>
      </c>
      <c r="DN43" s="177"/>
      <c r="DO43" s="178">
        <f t="shared" si="46"/>
        <v>-2.5496267159451236</v>
      </c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80"/>
      <c r="EC43" s="181">
        <f t="shared" si="47"/>
        <v>-63.521858500528197</v>
      </c>
      <c r="EE43" s="181"/>
    </row>
    <row r="44" spans="1:135" s="182" customFormat="1" ht="30">
      <c r="A44" s="74">
        <v>57</v>
      </c>
      <c r="B44" s="74">
        <v>97</v>
      </c>
      <c r="C44" s="138">
        <v>45827</v>
      </c>
      <c r="D44" s="139">
        <v>151001347</v>
      </c>
      <c r="E44" s="138">
        <v>45826</v>
      </c>
      <c r="F44" s="138"/>
      <c r="G44" s="138"/>
      <c r="H44" s="140">
        <v>3941.35</v>
      </c>
      <c r="I44" s="141">
        <v>3941.35</v>
      </c>
      <c r="J44" s="142"/>
      <c r="K44" s="568"/>
      <c r="L44" s="337">
        <v>59</v>
      </c>
      <c r="M44" s="144"/>
      <c r="N44" s="140">
        <v>3941.35</v>
      </c>
      <c r="O44" s="522" t="s">
        <v>180</v>
      </c>
      <c r="P44" s="145" t="s">
        <v>71</v>
      </c>
      <c r="Q44" s="146" t="s">
        <v>52</v>
      </c>
      <c r="R44" s="145"/>
      <c r="S44" s="145" t="s">
        <v>181</v>
      </c>
      <c r="T44" s="145"/>
      <c r="U44" s="147" t="s">
        <v>188</v>
      </c>
      <c r="V44" s="147" t="s">
        <v>189</v>
      </c>
      <c r="W44" s="147">
        <v>4450</v>
      </c>
      <c r="X44" s="519">
        <v>4157.95</v>
      </c>
      <c r="Y44" s="148">
        <v>4157.95</v>
      </c>
      <c r="Z44" s="150"/>
      <c r="AA44" s="149"/>
      <c r="AB44" s="150"/>
      <c r="AC44" s="151"/>
      <c r="AD44" s="151"/>
      <c r="AE44" s="152">
        <f t="shared" si="0"/>
        <v>0</v>
      </c>
      <c r="AF44" s="151"/>
      <c r="AG44" s="152">
        <f t="shared" si="102"/>
        <v>0</v>
      </c>
      <c r="AH44" s="151"/>
      <c r="AI44" s="152">
        <f t="shared" si="103"/>
        <v>0</v>
      </c>
      <c r="AJ44" s="149"/>
      <c r="AK44" s="152">
        <f t="shared" si="104"/>
        <v>0</v>
      </c>
      <c r="AL44" s="149"/>
      <c r="AM44" s="151"/>
      <c r="AN44" s="152">
        <f t="shared" si="3"/>
        <v>0</v>
      </c>
      <c r="AO44" s="151"/>
      <c r="AP44" s="152">
        <f t="shared" si="4"/>
        <v>0</v>
      </c>
      <c r="AQ44" s="174">
        <f t="shared" si="106"/>
        <v>4450</v>
      </c>
      <c r="AR44" s="152">
        <f t="shared" si="48"/>
        <v>17539007.5</v>
      </c>
      <c r="AS44" s="149"/>
      <c r="AT44" s="149">
        <f t="shared" si="5"/>
        <v>4450</v>
      </c>
      <c r="AU44" s="152">
        <f t="shared" si="71"/>
        <v>0</v>
      </c>
      <c r="AV44" s="149">
        <f t="shared" si="7"/>
        <v>0</v>
      </c>
      <c r="AW44" s="152">
        <f t="shared" si="105"/>
        <v>0</v>
      </c>
      <c r="AX44" s="151">
        <f t="shared" si="9"/>
        <v>0</v>
      </c>
      <c r="AY44" s="152">
        <f t="shared" si="74"/>
        <v>0</v>
      </c>
      <c r="AZ44" s="153">
        <v>5.3</v>
      </c>
      <c r="BA44" s="153">
        <v>9.3800000000000008</v>
      </c>
      <c r="BB44" s="153"/>
      <c r="BC44" s="154">
        <f t="shared" si="11"/>
        <v>14.182860000000002</v>
      </c>
      <c r="BD44" s="155">
        <f t="shared" si="68"/>
        <v>55899.615261000006</v>
      </c>
      <c r="BE44" s="156">
        <f t="shared" si="101"/>
        <v>3941.35</v>
      </c>
      <c r="BF44" s="569">
        <v>3135</v>
      </c>
      <c r="BG44" s="157" t="s">
        <v>250</v>
      </c>
      <c r="BH44" s="570">
        <v>14.18</v>
      </c>
      <c r="BI44" s="158">
        <f t="shared" si="14"/>
        <v>55888.343000000001</v>
      </c>
      <c r="BJ44" s="570">
        <v>8.2799999999999994</v>
      </c>
      <c r="BK44" s="158">
        <f t="shared" si="15"/>
        <v>32634.377999999997</v>
      </c>
      <c r="BL44" s="570">
        <v>46.06</v>
      </c>
      <c r="BM44" s="159">
        <f t="shared" si="16"/>
        <v>181538.58100000001</v>
      </c>
      <c r="BN44" s="570">
        <v>3050</v>
      </c>
      <c r="BO44" s="159">
        <f t="shared" si="17"/>
        <v>12021117.5</v>
      </c>
      <c r="BP44" s="160"/>
      <c r="BQ44" s="570">
        <v>6.69</v>
      </c>
      <c r="BR44" s="158">
        <f t="shared" si="18"/>
        <v>26367.6315</v>
      </c>
      <c r="BS44" s="570">
        <v>46.86</v>
      </c>
      <c r="BT44" s="159">
        <f t="shared" si="19"/>
        <v>184691.66099999999</v>
      </c>
      <c r="BU44" s="570">
        <v>3103</v>
      </c>
      <c r="BV44" s="161">
        <f t="shared" si="49"/>
        <v>12230009.049999999</v>
      </c>
      <c r="BW44" s="570" t="s">
        <v>193</v>
      </c>
      <c r="BX44" s="157">
        <f t="shared" si="20"/>
        <v>2854</v>
      </c>
      <c r="BY44" s="161">
        <f t="shared" si="50"/>
        <v>11248612.9</v>
      </c>
      <c r="BZ44" s="157">
        <f t="shared" si="21"/>
        <v>43.1</v>
      </c>
      <c r="CA44" s="161">
        <f t="shared" si="75"/>
        <v>169872.185</v>
      </c>
      <c r="CB44" s="156">
        <f t="shared" si="23"/>
        <v>7.4899999999999993</v>
      </c>
      <c r="CC44" s="161">
        <f t="shared" si="94"/>
        <v>29520.711499999998</v>
      </c>
      <c r="CD44" s="162">
        <f t="shared" si="62"/>
        <v>3941.35</v>
      </c>
      <c r="CE44" s="412">
        <v>5.3</v>
      </c>
      <c r="CF44" s="164">
        <v>9.3800000000000008</v>
      </c>
      <c r="CG44" s="165">
        <f t="shared" si="51"/>
        <v>14.182860000000002</v>
      </c>
      <c r="CH44" s="166">
        <f t="shared" ref="CH44:CH62" si="107">CG44*$CD44</f>
        <v>55899.615261000006</v>
      </c>
      <c r="CI44" s="167">
        <v>45.88</v>
      </c>
      <c r="CJ44" s="166">
        <f t="shared" si="91"/>
        <v>180829.13800000001</v>
      </c>
      <c r="CK44" s="168">
        <v>6.06</v>
      </c>
      <c r="CL44" s="166">
        <f t="shared" si="26"/>
        <v>23884.580999999998</v>
      </c>
      <c r="CM44" s="167">
        <v>22.05</v>
      </c>
      <c r="CN44" s="166">
        <f t="shared" si="27"/>
        <v>86906.767500000002</v>
      </c>
      <c r="CO44" s="169">
        <f t="shared" si="28"/>
        <v>3355.699599999999</v>
      </c>
      <c r="CP44" s="166">
        <f t="shared" si="29"/>
        <v>13225986.618459996</v>
      </c>
      <c r="CQ44" s="167">
        <v>3190</v>
      </c>
      <c r="CR44" s="166">
        <f t="shared" si="92"/>
        <v>12572906.5</v>
      </c>
      <c r="CS44" s="170">
        <f t="shared" si="30"/>
        <v>45.513702363210562</v>
      </c>
      <c r="CT44" s="166">
        <f t="shared" si="31"/>
        <v>179385.43080923994</v>
      </c>
      <c r="CU44" s="168">
        <v>6.81</v>
      </c>
      <c r="CV44" s="166">
        <f t="shared" si="77"/>
        <v>26840.593499999999</v>
      </c>
      <c r="CW44" s="170">
        <f t="shared" si="78"/>
        <v>21.873956780923994</v>
      </c>
      <c r="CX44" s="166">
        <f t="shared" si="79"/>
        <v>86212.919558494774</v>
      </c>
      <c r="CY44" s="171">
        <f t="shared" si="80"/>
        <v>3164.5316159250583</v>
      </c>
      <c r="CZ44" s="166">
        <f t="shared" si="81"/>
        <v>12472526.684426228</v>
      </c>
      <c r="DA44" s="170" t="str">
        <f t="shared" si="83"/>
        <v>G14</v>
      </c>
      <c r="DB44" s="171">
        <f t="shared" si="38"/>
        <v>2914.1651756440278</v>
      </c>
      <c r="DC44" s="166">
        <f t="shared" si="69"/>
        <v>11485744.91502459</v>
      </c>
      <c r="DD44" s="170">
        <f t="shared" si="54"/>
        <v>41.912820770704705</v>
      </c>
      <c r="DE44" s="221">
        <f t="shared" si="55"/>
        <v>165193.09614461698</v>
      </c>
      <c r="DF44" s="222">
        <f t="shared" si="56"/>
        <v>7.372860000000002</v>
      </c>
      <c r="DG44" s="221">
        <f t="shared" si="57"/>
        <v>29059.021761000007</v>
      </c>
      <c r="DH44" s="172">
        <f t="shared" si="40"/>
        <v>-4</v>
      </c>
      <c r="DI44" s="173">
        <f t="shared" si="95"/>
        <v>61.531615925058304</v>
      </c>
      <c r="DJ44" s="174">
        <f t="shared" si="96"/>
        <v>-4</v>
      </c>
      <c r="DK44" s="175">
        <f t="shared" si="97"/>
        <v>1347</v>
      </c>
      <c r="DL44" s="176">
        <f t="shared" si="98"/>
        <v>-4</v>
      </c>
      <c r="DM44" s="175" t="e">
        <f t="shared" si="99"/>
        <v>#VALUE!</v>
      </c>
      <c r="DN44" s="177"/>
      <c r="DO44" s="178">
        <f t="shared" si="46"/>
        <v>-60.16517564402784</v>
      </c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80"/>
      <c r="EC44" s="181">
        <f t="shared" si="47"/>
        <v>-61.531615925058304</v>
      </c>
      <c r="EE44" s="181"/>
    </row>
    <row r="45" spans="1:135" s="182" customFormat="1" ht="45">
      <c r="A45" s="74">
        <v>58</v>
      </c>
      <c r="B45" s="74">
        <v>100</v>
      </c>
      <c r="C45" s="138">
        <v>45828</v>
      </c>
      <c r="D45" s="139">
        <v>161005925</v>
      </c>
      <c r="E45" s="138">
        <v>45827</v>
      </c>
      <c r="F45" s="138"/>
      <c r="G45" s="138"/>
      <c r="H45" s="140">
        <v>3847.45</v>
      </c>
      <c r="I45" s="141">
        <v>3847.45</v>
      </c>
      <c r="J45" s="142"/>
      <c r="K45" s="568"/>
      <c r="L45" s="337">
        <v>58</v>
      </c>
      <c r="M45" s="144"/>
      <c r="N45" s="140">
        <v>3847.45</v>
      </c>
      <c r="O45" s="522" t="s">
        <v>180</v>
      </c>
      <c r="P45" s="145" t="s">
        <v>69</v>
      </c>
      <c r="Q45" s="146" t="s">
        <v>50</v>
      </c>
      <c r="R45" s="145"/>
      <c r="S45" s="145" t="s">
        <v>181</v>
      </c>
      <c r="T45" s="145"/>
      <c r="U45" s="147" t="s">
        <v>182</v>
      </c>
      <c r="V45" s="147" t="s">
        <v>183</v>
      </c>
      <c r="W45" s="147">
        <v>4150</v>
      </c>
      <c r="X45" s="519">
        <v>4102.6000000000004</v>
      </c>
      <c r="Y45" s="148">
        <v>4102.6000000000004</v>
      </c>
      <c r="Z45" s="150"/>
      <c r="AA45" s="149"/>
      <c r="AB45" s="150"/>
      <c r="AC45" s="151"/>
      <c r="AD45" s="151"/>
      <c r="AE45" s="152">
        <f t="shared" si="0"/>
        <v>0</v>
      </c>
      <c r="AF45" s="151"/>
      <c r="AG45" s="152">
        <f t="shared" si="102"/>
        <v>0</v>
      </c>
      <c r="AH45" s="151"/>
      <c r="AI45" s="152">
        <f t="shared" si="103"/>
        <v>0</v>
      </c>
      <c r="AJ45" s="149"/>
      <c r="AK45" s="152">
        <f t="shared" si="104"/>
        <v>0</v>
      </c>
      <c r="AL45" s="149"/>
      <c r="AM45" s="151"/>
      <c r="AN45" s="152">
        <f t="shared" si="3"/>
        <v>0</v>
      </c>
      <c r="AO45" s="151"/>
      <c r="AP45" s="152">
        <f t="shared" si="4"/>
        <v>0</v>
      </c>
      <c r="AQ45" s="174">
        <f t="shared" si="106"/>
        <v>4150</v>
      </c>
      <c r="AR45" s="152">
        <f t="shared" si="48"/>
        <v>15966917.5</v>
      </c>
      <c r="AS45" s="149"/>
      <c r="AT45" s="149">
        <f t="shared" si="5"/>
        <v>4150</v>
      </c>
      <c r="AU45" s="152">
        <f t="shared" si="71"/>
        <v>0</v>
      </c>
      <c r="AV45" s="149">
        <f t="shared" si="7"/>
        <v>0</v>
      </c>
      <c r="AW45" s="152">
        <f t="shared" si="105"/>
        <v>0</v>
      </c>
      <c r="AX45" s="151">
        <f t="shared" si="9"/>
        <v>0</v>
      </c>
      <c r="AY45" s="152">
        <f t="shared" si="74"/>
        <v>0</v>
      </c>
      <c r="AZ45" s="153">
        <v>5.4</v>
      </c>
      <c r="BA45" s="153">
        <v>7.03</v>
      </c>
      <c r="BB45" s="153"/>
      <c r="BC45" s="154">
        <f t="shared" si="11"/>
        <v>12.050380000000001</v>
      </c>
      <c r="BD45" s="155">
        <f t="shared" si="68"/>
        <v>46363.234531000002</v>
      </c>
      <c r="BE45" s="156"/>
      <c r="BF45" s="157"/>
      <c r="BG45" s="157"/>
      <c r="BH45" s="156"/>
      <c r="BI45" s="158">
        <f t="shared" si="14"/>
        <v>0</v>
      </c>
      <c r="BJ45" s="156"/>
      <c r="BK45" s="158">
        <f t="shared" si="15"/>
        <v>0</v>
      </c>
      <c r="BL45" s="156"/>
      <c r="BM45" s="159">
        <f t="shared" si="16"/>
        <v>0</v>
      </c>
      <c r="BN45" s="157"/>
      <c r="BO45" s="159">
        <f t="shared" si="17"/>
        <v>0</v>
      </c>
      <c r="BP45" s="160"/>
      <c r="BQ45" s="156"/>
      <c r="BR45" s="158">
        <f t="shared" si="18"/>
        <v>0</v>
      </c>
      <c r="BS45" s="156"/>
      <c r="BT45" s="159">
        <f t="shared" si="19"/>
        <v>0</v>
      </c>
      <c r="BU45" s="472">
        <f>CY45</f>
        <v>2722.0728185812932</v>
      </c>
      <c r="BV45" s="161">
        <f t="shared" si="49"/>
        <v>10473039.065850595</v>
      </c>
      <c r="BW45" s="518"/>
      <c r="BX45" s="472">
        <f>DB45</f>
        <v>2522.1794143126176</v>
      </c>
      <c r="BY45" s="161">
        <f t="shared" si="50"/>
        <v>9703959.1875970811</v>
      </c>
      <c r="BZ45" s="157">
        <f t="shared" si="21"/>
        <v>0</v>
      </c>
      <c r="CA45" s="161">
        <f t="shared" si="75"/>
        <v>0</v>
      </c>
      <c r="CB45" s="156">
        <f t="shared" si="23"/>
        <v>0</v>
      </c>
      <c r="CC45" s="161">
        <f t="shared" si="94"/>
        <v>0</v>
      </c>
      <c r="CD45" s="162">
        <f t="shared" si="62"/>
        <v>3847.45</v>
      </c>
      <c r="CE45" s="163">
        <v>5.4</v>
      </c>
      <c r="CF45" s="164">
        <v>7.03</v>
      </c>
      <c r="CG45" s="165">
        <f t="shared" si="51"/>
        <v>12.050380000000001</v>
      </c>
      <c r="CH45" s="166">
        <f t="shared" si="107"/>
        <v>46363.234531000002</v>
      </c>
      <c r="CI45" s="167">
        <v>51.33</v>
      </c>
      <c r="CJ45" s="166">
        <f t="shared" si="91"/>
        <v>197489.60849999997</v>
      </c>
      <c r="CK45" s="168">
        <v>4.42</v>
      </c>
      <c r="CL45" s="166">
        <f t="shared" si="26"/>
        <v>17005.728999999999</v>
      </c>
      <c r="CM45" s="167">
        <v>23.1</v>
      </c>
      <c r="CN45" s="166">
        <f t="shared" si="27"/>
        <v>88876.095000000001</v>
      </c>
      <c r="CO45" s="169">
        <f t="shared" si="28"/>
        <v>3081.5185000000001</v>
      </c>
      <c r="CP45" s="166">
        <f t="shared" si="29"/>
        <v>11855988.352824999</v>
      </c>
      <c r="CQ45" s="167">
        <v>2741</v>
      </c>
      <c r="CR45" s="166">
        <f t="shared" si="92"/>
        <v>10545860.449999999</v>
      </c>
      <c r="CS45" s="170">
        <f t="shared" si="30"/>
        <v>50.975555555555559</v>
      </c>
      <c r="CT45" s="166">
        <f t="shared" si="31"/>
        <v>196125.90122222222</v>
      </c>
      <c r="CU45" s="168">
        <v>5.08</v>
      </c>
      <c r="CV45" s="166">
        <f t="shared" si="77"/>
        <v>19545.045999999998</v>
      </c>
      <c r="CW45" s="170">
        <f t="shared" si="78"/>
        <v>22.940489642184559</v>
      </c>
      <c r="CX45" s="166">
        <f t="shared" si="79"/>
        <v>88262.386873822979</v>
      </c>
      <c r="CY45" s="171">
        <f t="shared" si="80"/>
        <v>2722.0728185812932</v>
      </c>
      <c r="CZ45" s="166">
        <f t="shared" si="81"/>
        <v>10473039.065850595</v>
      </c>
      <c r="DA45" s="170" t="str">
        <f t="shared" si="83"/>
        <v>G16</v>
      </c>
      <c r="DB45" s="171">
        <f t="shared" si="38"/>
        <v>2522.1794143126176</v>
      </c>
      <c r="DC45" s="166">
        <f t="shared" si="69"/>
        <v>9703959.1875970811</v>
      </c>
      <c r="DD45" s="170">
        <f t="shared" si="54"/>
        <v>47.232203333333331</v>
      </c>
      <c r="DE45" s="221">
        <f t="shared" si="55"/>
        <v>181723.5407148333</v>
      </c>
      <c r="DF45" s="222">
        <f t="shared" si="56"/>
        <v>6.9703800000000005</v>
      </c>
      <c r="DG45" s="221">
        <f t="shared" si="57"/>
        <v>26818.188531</v>
      </c>
      <c r="DH45" s="172">
        <f t="shared" si="40"/>
        <v>-5</v>
      </c>
      <c r="DI45" s="173">
        <f t="shared" si="95"/>
        <v>0</v>
      </c>
      <c r="DJ45" s="174" t="e">
        <f t="shared" si="96"/>
        <v>#VALUE!</v>
      </c>
      <c r="DK45" s="175">
        <f t="shared" si="97"/>
        <v>1427.9271814187068</v>
      </c>
      <c r="DL45" s="176" t="e">
        <f t="shared" si="98"/>
        <v>#VALUE!</v>
      </c>
      <c r="DM45" s="175" t="e">
        <f t="shared" si="99"/>
        <v>#VALUE!</v>
      </c>
      <c r="DN45" s="177"/>
      <c r="DO45" s="178">
        <f t="shared" si="46"/>
        <v>0</v>
      </c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80"/>
      <c r="EC45" s="181">
        <f t="shared" si="47"/>
        <v>0</v>
      </c>
      <c r="EE45" s="181"/>
    </row>
    <row r="46" spans="1:135" s="182" customFormat="1" ht="30">
      <c r="A46" s="74">
        <v>61</v>
      </c>
      <c r="B46" s="74">
        <v>104</v>
      </c>
      <c r="C46" s="138">
        <v>45829</v>
      </c>
      <c r="D46" s="139">
        <v>162000394</v>
      </c>
      <c r="E46" s="138">
        <v>45827</v>
      </c>
      <c r="F46" s="138"/>
      <c r="G46" s="138"/>
      <c r="H46" s="656">
        <v>3700.15</v>
      </c>
      <c r="I46" s="141">
        <v>829.86</v>
      </c>
      <c r="J46" s="142">
        <f>(Y46/X46)*100</f>
        <v>22.427769212126215</v>
      </c>
      <c r="K46" s="143">
        <f>ROUND(((J46*H46)/100),2)</f>
        <v>829.86</v>
      </c>
      <c r="L46" s="337">
        <v>59</v>
      </c>
      <c r="M46" s="144"/>
      <c r="N46" s="144">
        <v>829.86</v>
      </c>
      <c r="O46" s="522" t="s">
        <v>180</v>
      </c>
      <c r="P46" s="145" t="s">
        <v>68</v>
      </c>
      <c r="Q46" s="146" t="s">
        <v>62</v>
      </c>
      <c r="R46" s="145"/>
      <c r="S46" s="145" t="s">
        <v>181</v>
      </c>
      <c r="T46" s="145"/>
      <c r="U46" s="147" t="s">
        <v>182</v>
      </c>
      <c r="V46" s="147" t="s">
        <v>183</v>
      </c>
      <c r="W46" s="147">
        <v>4150</v>
      </c>
      <c r="X46" s="653">
        <v>3878.54</v>
      </c>
      <c r="Y46" s="148">
        <v>869.87</v>
      </c>
      <c r="Z46" s="150"/>
      <c r="AA46" s="149"/>
      <c r="AB46" s="150"/>
      <c r="AC46" s="151"/>
      <c r="AD46" s="151"/>
      <c r="AE46" s="152">
        <f t="shared" si="0"/>
        <v>0</v>
      </c>
      <c r="AF46" s="151"/>
      <c r="AG46" s="152">
        <f t="shared" si="102"/>
        <v>0</v>
      </c>
      <c r="AH46" s="151"/>
      <c r="AI46" s="152">
        <f t="shared" si="103"/>
        <v>0</v>
      </c>
      <c r="AJ46" s="149"/>
      <c r="AK46" s="152">
        <f t="shared" si="104"/>
        <v>0</v>
      </c>
      <c r="AL46" s="149"/>
      <c r="AM46" s="151"/>
      <c r="AN46" s="152">
        <f t="shared" si="3"/>
        <v>0</v>
      </c>
      <c r="AO46" s="151"/>
      <c r="AP46" s="152">
        <f t="shared" si="4"/>
        <v>0</v>
      </c>
      <c r="AQ46" s="174">
        <f t="shared" si="106"/>
        <v>4150</v>
      </c>
      <c r="AR46" s="152">
        <f t="shared" si="48"/>
        <v>3443919</v>
      </c>
      <c r="AS46" s="149"/>
      <c r="AT46" s="149">
        <f t="shared" si="5"/>
        <v>4150</v>
      </c>
      <c r="AU46" s="152">
        <f t="shared" si="71"/>
        <v>0</v>
      </c>
      <c r="AV46" s="149">
        <f t="shared" si="7"/>
        <v>0</v>
      </c>
      <c r="AW46" s="152">
        <f t="shared" si="105"/>
        <v>0</v>
      </c>
      <c r="AX46" s="151">
        <f t="shared" si="9"/>
        <v>0</v>
      </c>
      <c r="AY46" s="152">
        <f t="shared" si="74"/>
        <v>0</v>
      </c>
      <c r="AZ46" s="153">
        <v>6.8</v>
      </c>
      <c r="BA46" s="153">
        <v>5.76</v>
      </c>
      <c r="BB46" s="153"/>
      <c r="BC46" s="154">
        <f t="shared" si="11"/>
        <v>12.16832</v>
      </c>
      <c r="BD46" s="155">
        <f t="shared" si="68"/>
        <v>10098.002035199999</v>
      </c>
      <c r="BE46" s="156"/>
      <c r="BF46" s="157"/>
      <c r="BG46" s="157"/>
      <c r="BH46" s="156"/>
      <c r="BI46" s="158">
        <f t="shared" si="14"/>
        <v>0</v>
      </c>
      <c r="BJ46" s="156"/>
      <c r="BK46" s="158">
        <f t="shared" si="15"/>
        <v>0</v>
      </c>
      <c r="BL46" s="156"/>
      <c r="BM46" s="159">
        <f t="shared" si="16"/>
        <v>0</v>
      </c>
      <c r="BN46" s="157"/>
      <c r="BO46" s="159">
        <f t="shared" si="17"/>
        <v>0</v>
      </c>
      <c r="BP46" s="160"/>
      <c r="BQ46" s="156"/>
      <c r="BR46" s="158">
        <f t="shared" si="18"/>
        <v>0</v>
      </c>
      <c r="BS46" s="156"/>
      <c r="BT46" s="159">
        <f t="shared" si="19"/>
        <v>0</v>
      </c>
      <c r="BU46" s="472">
        <f t="shared" ref="BU46:BU62" si="108">CY46</f>
        <v>3543.8980789754532</v>
      </c>
      <c r="BV46" s="161">
        <f t="shared" si="49"/>
        <v>2940939.2598185698</v>
      </c>
      <c r="BW46" s="157"/>
      <c r="BX46" s="472">
        <f t="shared" ref="BX46:BX62" si="109">DB46</f>
        <v>3186.0270800426892</v>
      </c>
      <c r="BY46" s="161">
        <f t="shared" si="50"/>
        <v>2643956.4326442261</v>
      </c>
      <c r="BZ46" s="157">
        <f t="shared" si="21"/>
        <v>0</v>
      </c>
      <c r="CA46" s="161">
        <f t="shared" si="75"/>
        <v>0</v>
      </c>
      <c r="CB46" s="156">
        <f t="shared" si="23"/>
        <v>0</v>
      </c>
      <c r="CC46" s="161">
        <f t="shared" si="94"/>
        <v>0</v>
      </c>
      <c r="CD46" s="162">
        <f t="shared" si="62"/>
        <v>829.86</v>
      </c>
      <c r="CE46" s="163">
        <v>6.8</v>
      </c>
      <c r="CF46" s="164">
        <v>10.050000000000001</v>
      </c>
      <c r="CG46" s="165">
        <f t="shared" si="51"/>
        <v>16.166599999999999</v>
      </c>
      <c r="CH46" s="166">
        <f t="shared" si="107"/>
        <v>13416.014675999999</v>
      </c>
      <c r="CI46" s="167">
        <v>38.619999999999997</v>
      </c>
      <c r="CJ46" s="166">
        <f t="shared" si="91"/>
        <v>32049.193199999998</v>
      </c>
      <c r="CK46" s="168">
        <v>6.3</v>
      </c>
      <c r="CL46" s="166">
        <f t="shared" si="26"/>
        <v>5228.1180000000004</v>
      </c>
      <c r="CM46" s="167">
        <v>27.24</v>
      </c>
      <c r="CN46" s="166">
        <f t="shared" si="27"/>
        <v>22605.386399999999</v>
      </c>
      <c r="CO46" s="169">
        <f t="shared" si="28"/>
        <v>4004.0037999999995</v>
      </c>
      <c r="CP46" s="166">
        <f t="shared" si="29"/>
        <v>3322762.5934679997</v>
      </c>
      <c r="CQ46" s="167">
        <v>3561</v>
      </c>
      <c r="CR46" s="166">
        <f t="shared" si="92"/>
        <v>2955131.46</v>
      </c>
      <c r="CS46" s="170">
        <f t="shared" si="30"/>
        <v>38.434525080042683</v>
      </c>
      <c r="CT46" s="166">
        <f t="shared" si="31"/>
        <v>31895.27498292422</v>
      </c>
      <c r="CU46" s="168">
        <v>6.75</v>
      </c>
      <c r="CV46" s="166">
        <f t="shared" si="77"/>
        <v>5601.5550000000003</v>
      </c>
      <c r="CW46" s="170">
        <f t="shared" si="78"/>
        <v>27.109178228388473</v>
      </c>
      <c r="CX46" s="166">
        <f t="shared" si="79"/>
        <v>22496.82264461046</v>
      </c>
      <c r="CY46" s="171">
        <f t="shared" si="80"/>
        <v>3543.8980789754532</v>
      </c>
      <c r="CZ46" s="166">
        <f t="shared" si="81"/>
        <v>2940939.2598185698</v>
      </c>
      <c r="DA46" s="170" t="str">
        <f t="shared" si="83"/>
        <v>G13</v>
      </c>
      <c r="DB46" s="171">
        <f t="shared" si="38"/>
        <v>3186.0270800426892</v>
      </c>
      <c r="DC46" s="166">
        <f t="shared" si="69"/>
        <v>2643956.4326442261</v>
      </c>
      <c r="DD46" s="170">
        <f t="shared" si="54"/>
        <v>34.553318121664887</v>
      </c>
      <c r="DE46" s="221">
        <f t="shared" si="55"/>
        <v>28674.416576444823</v>
      </c>
      <c r="DF46" s="222">
        <f t="shared" si="56"/>
        <v>9.416599999999999</v>
      </c>
      <c r="DG46" s="221">
        <f t="shared" si="57"/>
        <v>7814.4596759999995</v>
      </c>
      <c r="DH46" s="172">
        <f t="shared" si="40"/>
        <v>-2</v>
      </c>
      <c r="DI46" s="173">
        <f t="shared" si="95"/>
        <v>0</v>
      </c>
      <c r="DJ46" s="174" t="e">
        <f t="shared" si="96"/>
        <v>#VALUE!</v>
      </c>
      <c r="DK46" s="175">
        <f t="shared" si="97"/>
        <v>606.10192102454675</v>
      </c>
      <c r="DL46" s="176" t="e">
        <f t="shared" si="98"/>
        <v>#VALUE!</v>
      </c>
      <c r="DM46" s="175" t="e">
        <f t="shared" si="99"/>
        <v>#VALUE!</v>
      </c>
      <c r="DN46" s="177"/>
      <c r="DO46" s="178">
        <f t="shared" si="46"/>
        <v>0</v>
      </c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80"/>
      <c r="EC46" s="181">
        <f t="shared" si="47"/>
        <v>0</v>
      </c>
      <c r="EE46" s="181"/>
    </row>
    <row r="47" spans="1:135" s="182" customFormat="1" ht="30">
      <c r="A47" s="74">
        <v>62</v>
      </c>
      <c r="B47" s="74">
        <v>104</v>
      </c>
      <c r="C47" s="138">
        <v>45829</v>
      </c>
      <c r="D47" s="139">
        <v>162000394</v>
      </c>
      <c r="E47" s="138">
        <v>45827</v>
      </c>
      <c r="F47" s="138"/>
      <c r="G47" s="138"/>
      <c r="H47" s="657"/>
      <c r="I47" s="141">
        <v>2870.29</v>
      </c>
      <c r="J47" s="142">
        <f>(Y47/X46)*100</f>
        <v>77.572230787873792</v>
      </c>
      <c r="K47" s="143">
        <f>ROUND(((J47*H46)/100),2)</f>
        <v>2870.29</v>
      </c>
      <c r="L47" s="337"/>
      <c r="M47" s="144"/>
      <c r="N47" s="144">
        <v>2870.29</v>
      </c>
      <c r="O47" s="522" t="s">
        <v>180</v>
      </c>
      <c r="P47" s="145" t="s">
        <v>68</v>
      </c>
      <c r="Q47" s="146" t="s">
        <v>63</v>
      </c>
      <c r="R47" s="145"/>
      <c r="S47" s="145" t="s">
        <v>181</v>
      </c>
      <c r="T47" s="145"/>
      <c r="U47" s="147" t="s">
        <v>188</v>
      </c>
      <c r="V47" s="147" t="s">
        <v>189</v>
      </c>
      <c r="W47" s="147">
        <v>4450</v>
      </c>
      <c r="X47" s="655"/>
      <c r="Y47" s="148">
        <v>3008.67</v>
      </c>
      <c r="Z47" s="150"/>
      <c r="AA47" s="149"/>
      <c r="AB47" s="150"/>
      <c r="AC47" s="151"/>
      <c r="AD47" s="151"/>
      <c r="AE47" s="152">
        <f t="shared" si="0"/>
        <v>0</v>
      </c>
      <c r="AF47" s="151"/>
      <c r="AG47" s="152">
        <f t="shared" si="102"/>
        <v>0</v>
      </c>
      <c r="AH47" s="151"/>
      <c r="AI47" s="152">
        <f t="shared" si="103"/>
        <v>0</v>
      </c>
      <c r="AJ47" s="149"/>
      <c r="AK47" s="152">
        <f t="shared" si="104"/>
        <v>0</v>
      </c>
      <c r="AL47" s="149"/>
      <c r="AM47" s="151"/>
      <c r="AN47" s="152">
        <f t="shared" si="3"/>
        <v>0</v>
      </c>
      <c r="AO47" s="151"/>
      <c r="AP47" s="152">
        <f t="shared" si="4"/>
        <v>0</v>
      </c>
      <c r="AQ47" s="174">
        <f t="shared" si="106"/>
        <v>4450</v>
      </c>
      <c r="AR47" s="152">
        <f t="shared" si="48"/>
        <v>12772790.5</v>
      </c>
      <c r="AS47" s="149"/>
      <c r="AT47" s="149">
        <f t="shared" si="5"/>
        <v>4450</v>
      </c>
      <c r="AU47" s="152">
        <f t="shared" si="71"/>
        <v>0</v>
      </c>
      <c r="AV47" s="149">
        <f t="shared" si="7"/>
        <v>0</v>
      </c>
      <c r="AW47" s="152">
        <f t="shared" si="105"/>
        <v>0</v>
      </c>
      <c r="AX47" s="151">
        <f t="shared" si="9"/>
        <v>0</v>
      </c>
      <c r="AY47" s="152">
        <f t="shared" si="74"/>
        <v>0</v>
      </c>
      <c r="AZ47" s="153">
        <v>6.8</v>
      </c>
      <c r="BA47" s="153">
        <v>5.76</v>
      </c>
      <c r="BB47" s="153"/>
      <c r="BC47" s="154">
        <f t="shared" si="11"/>
        <v>12.16832</v>
      </c>
      <c r="BD47" s="155">
        <f t="shared" si="68"/>
        <v>34926.607212800001</v>
      </c>
      <c r="BE47" s="156"/>
      <c r="BF47" s="157"/>
      <c r="BG47" s="157"/>
      <c r="BH47" s="156"/>
      <c r="BI47" s="158">
        <f t="shared" si="14"/>
        <v>0</v>
      </c>
      <c r="BJ47" s="156"/>
      <c r="BK47" s="158">
        <f t="shared" si="15"/>
        <v>0</v>
      </c>
      <c r="BL47" s="156"/>
      <c r="BM47" s="159">
        <f t="shared" si="16"/>
        <v>0</v>
      </c>
      <c r="BN47" s="157"/>
      <c r="BO47" s="159">
        <f t="shared" si="17"/>
        <v>0</v>
      </c>
      <c r="BP47" s="160"/>
      <c r="BQ47" s="156"/>
      <c r="BR47" s="158">
        <f t="shared" si="18"/>
        <v>0</v>
      </c>
      <c r="BS47" s="156"/>
      <c r="BT47" s="159">
        <f t="shared" si="19"/>
        <v>0</v>
      </c>
      <c r="BU47" s="472">
        <f t="shared" si="108"/>
        <v>3543.8980789754532</v>
      </c>
      <c r="BV47" s="161">
        <f t="shared" si="49"/>
        <v>10172015.217102453</v>
      </c>
      <c r="BW47" s="157"/>
      <c r="BX47" s="472">
        <f t="shared" si="109"/>
        <v>3186.0270800426892</v>
      </c>
      <c r="BY47" s="161">
        <f t="shared" si="50"/>
        <v>9144821.66757573</v>
      </c>
      <c r="BZ47" s="157">
        <f t="shared" si="21"/>
        <v>0</v>
      </c>
      <c r="CA47" s="161">
        <f t="shared" si="75"/>
        <v>0</v>
      </c>
      <c r="CB47" s="156">
        <f t="shared" si="23"/>
        <v>0</v>
      </c>
      <c r="CC47" s="161">
        <f t="shared" si="94"/>
        <v>0</v>
      </c>
      <c r="CD47" s="162">
        <f t="shared" si="62"/>
        <v>2870.29</v>
      </c>
      <c r="CE47" s="163">
        <v>6.8</v>
      </c>
      <c r="CF47" s="164">
        <v>10.050000000000001</v>
      </c>
      <c r="CG47" s="165">
        <f t="shared" si="51"/>
        <v>16.166599999999999</v>
      </c>
      <c r="CH47" s="166">
        <f t="shared" si="107"/>
        <v>46402.830313999999</v>
      </c>
      <c r="CI47" s="167">
        <v>38.619999999999997</v>
      </c>
      <c r="CJ47" s="166">
        <f t="shared" si="91"/>
        <v>110850.5998</v>
      </c>
      <c r="CK47" s="168">
        <v>6.3</v>
      </c>
      <c r="CL47" s="166">
        <f t="shared" si="26"/>
        <v>18082.826999999997</v>
      </c>
      <c r="CM47" s="167">
        <v>27.24</v>
      </c>
      <c r="CN47" s="166">
        <f t="shared" si="27"/>
        <v>78186.699599999993</v>
      </c>
      <c r="CO47" s="169">
        <f t="shared" si="28"/>
        <v>4004.0037999999995</v>
      </c>
      <c r="CP47" s="166">
        <f t="shared" si="29"/>
        <v>11492652.067101998</v>
      </c>
      <c r="CQ47" s="167">
        <v>3561</v>
      </c>
      <c r="CR47" s="166">
        <f t="shared" si="92"/>
        <v>10221102.689999999</v>
      </c>
      <c r="CS47" s="170">
        <f t="shared" si="30"/>
        <v>38.434525080042683</v>
      </c>
      <c r="CT47" s="166">
        <f t="shared" si="31"/>
        <v>110318.23299199571</v>
      </c>
      <c r="CU47" s="168">
        <v>6.75</v>
      </c>
      <c r="CV47" s="166">
        <f t="shared" si="77"/>
        <v>19374.4575</v>
      </c>
      <c r="CW47" s="170">
        <f t="shared" si="78"/>
        <v>27.109178228388473</v>
      </c>
      <c r="CX47" s="166">
        <f t="shared" si="79"/>
        <v>77811.203177161151</v>
      </c>
      <c r="CY47" s="171">
        <f t="shared" si="80"/>
        <v>3543.8980789754532</v>
      </c>
      <c r="CZ47" s="166">
        <f t="shared" si="81"/>
        <v>10172015.217102453</v>
      </c>
      <c r="DA47" s="170" t="str">
        <f t="shared" si="83"/>
        <v>G13</v>
      </c>
      <c r="DB47" s="171">
        <f t="shared" si="38"/>
        <v>3186.0270800426892</v>
      </c>
      <c r="DC47" s="166">
        <f t="shared" si="69"/>
        <v>9144821.66757573</v>
      </c>
      <c r="DD47" s="170">
        <f t="shared" si="54"/>
        <v>34.553318121664887</v>
      </c>
      <c r="DE47" s="221">
        <f t="shared" si="55"/>
        <v>99178.043471433513</v>
      </c>
      <c r="DF47" s="222">
        <f t="shared" si="56"/>
        <v>9.416599999999999</v>
      </c>
      <c r="DG47" s="221">
        <f t="shared" si="57"/>
        <v>27028.372813999998</v>
      </c>
      <c r="DH47" s="172">
        <f t="shared" si="40"/>
        <v>-3</v>
      </c>
      <c r="DI47" s="173">
        <f t="shared" si="95"/>
        <v>0</v>
      </c>
      <c r="DJ47" s="174" t="e">
        <f t="shared" si="96"/>
        <v>#VALUE!</v>
      </c>
      <c r="DK47" s="175">
        <f t="shared" si="97"/>
        <v>906.10192102454675</v>
      </c>
      <c r="DL47" s="176" t="e">
        <f t="shared" si="98"/>
        <v>#VALUE!</v>
      </c>
      <c r="DM47" s="175" t="e">
        <f t="shared" si="99"/>
        <v>#VALUE!</v>
      </c>
      <c r="DN47" s="177"/>
      <c r="DO47" s="178">
        <f t="shared" si="46"/>
        <v>0</v>
      </c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80"/>
      <c r="EC47" s="181">
        <f t="shared" si="47"/>
        <v>0</v>
      </c>
      <c r="EE47" s="181"/>
    </row>
    <row r="48" spans="1:135" s="182" customFormat="1" ht="30">
      <c r="A48" s="74">
        <v>65</v>
      </c>
      <c r="B48" s="74">
        <v>108</v>
      </c>
      <c r="C48" s="138">
        <v>45829</v>
      </c>
      <c r="D48" s="139">
        <v>162000396</v>
      </c>
      <c r="E48" s="138">
        <v>45828</v>
      </c>
      <c r="F48" s="138"/>
      <c r="G48" s="138"/>
      <c r="H48" s="656">
        <v>3415.9</v>
      </c>
      <c r="I48" s="141">
        <v>1724.43</v>
      </c>
      <c r="J48" s="142">
        <f>(Y48/X48)*100</f>
        <v>50.482333654614507</v>
      </c>
      <c r="K48" s="143">
        <f>ROUND(((J48*H48)/100),2)</f>
        <v>1724.43</v>
      </c>
      <c r="L48" s="337">
        <v>58</v>
      </c>
      <c r="M48" s="144"/>
      <c r="N48" s="144">
        <v>1724.43</v>
      </c>
      <c r="O48" s="522" t="s">
        <v>180</v>
      </c>
      <c r="P48" s="145" t="s">
        <v>68</v>
      </c>
      <c r="Q48" s="146" t="s">
        <v>62</v>
      </c>
      <c r="R48" s="145"/>
      <c r="S48" s="145" t="s">
        <v>181</v>
      </c>
      <c r="T48" s="145"/>
      <c r="U48" s="147" t="s">
        <v>182</v>
      </c>
      <c r="V48" s="147" t="s">
        <v>183</v>
      </c>
      <c r="W48" s="147">
        <v>4150</v>
      </c>
      <c r="X48" s="653">
        <v>3641.67</v>
      </c>
      <c r="Y48" s="148">
        <v>1838.4</v>
      </c>
      <c r="Z48" s="150"/>
      <c r="AA48" s="149"/>
      <c r="AB48" s="150"/>
      <c r="AC48" s="151"/>
      <c r="AD48" s="151"/>
      <c r="AE48" s="152">
        <f t="shared" si="0"/>
        <v>0</v>
      </c>
      <c r="AF48" s="151"/>
      <c r="AG48" s="152">
        <f t="shared" si="102"/>
        <v>0</v>
      </c>
      <c r="AH48" s="151"/>
      <c r="AI48" s="152">
        <f t="shared" si="103"/>
        <v>0</v>
      </c>
      <c r="AJ48" s="149"/>
      <c r="AK48" s="152">
        <f t="shared" si="104"/>
        <v>0</v>
      </c>
      <c r="AL48" s="149"/>
      <c r="AM48" s="151"/>
      <c r="AN48" s="152">
        <f t="shared" si="3"/>
        <v>0</v>
      </c>
      <c r="AO48" s="151"/>
      <c r="AP48" s="152">
        <f t="shared" si="4"/>
        <v>0</v>
      </c>
      <c r="AQ48" s="174">
        <f t="shared" si="106"/>
        <v>4150</v>
      </c>
      <c r="AR48" s="152">
        <f t="shared" si="48"/>
        <v>7156384.5</v>
      </c>
      <c r="AS48" s="149"/>
      <c r="AT48" s="149">
        <f t="shared" si="5"/>
        <v>4150</v>
      </c>
      <c r="AU48" s="152">
        <f t="shared" si="71"/>
        <v>0</v>
      </c>
      <c r="AV48" s="149">
        <f t="shared" si="7"/>
        <v>0</v>
      </c>
      <c r="AW48" s="152">
        <f t="shared" si="73"/>
        <v>0</v>
      </c>
      <c r="AX48" s="151">
        <f t="shared" si="9"/>
        <v>0</v>
      </c>
      <c r="AY48" s="152">
        <f t="shared" si="74"/>
        <v>0</v>
      </c>
      <c r="AZ48" s="153">
        <v>2.4</v>
      </c>
      <c r="BA48" s="153">
        <v>9.98</v>
      </c>
      <c r="BB48" s="153"/>
      <c r="BC48" s="154">
        <f t="shared" si="11"/>
        <v>12.14048</v>
      </c>
      <c r="BD48" s="155">
        <f t="shared" si="68"/>
        <v>20935.407926399999</v>
      </c>
      <c r="BE48" s="156"/>
      <c r="BF48" s="157"/>
      <c r="BG48" s="157"/>
      <c r="BH48" s="156"/>
      <c r="BI48" s="158">
        <f t="shared" si="14"/>
        <v>0</v>
      </c>
      <c r="BJ48" s="156"/>
      <c r="BK48" s="158">
        <f t="shared" si="15"/>
        <v>0</v>
      </c>
      <c r="BL48" s="156"/>
      <c r="BM48" s="159">
        <f t="shared" si="16"/>
        <v>0</v>
      </c>
      <c r="BN48" s="157"/>
      <c r="BO48" s="159">
        <f t="shared" si="17"/>
        <v>0</v>
      </c>
      <c r="BP48" s="160"/>
      <c r="BQ48" s="156"/>
      <c r="BR48" s="158">
        <f t="shared" si="18"/>
        <v>0</v>
      </c>
      <c r="BS48" s="156"/>
      <c r="BT48" s="159">
        <f t="shared" si="19"/>
        <v>0</v>
      </c>
      <c r="BU48" s="472">
        <f t="shared" si="108"/>
        <v>2438</v>
      </c>
      <c r="BV48" s="161">
        <f t="shared" si="49"/>
        <v>4204160.34</v>
      </c>
      <c r="BW48" s="157"/>
      <c r="BX48" s="472">
        <f t="shared" si="109"/>
        <v>2931.4434041110408</v>
      </c>
      <c r="BY48" s="161">
        <f t="shared" si="50"/>
        <v>5055068.9493512018</v>
      </c>
      <c r="BZ48" s="157">
        <f t="shared" si="21"/>
        <v>0</v>
      </c>
      <c r="CA48" s="161">
        <f t="shared" si="75"/>
        <v>0</v>
      </c>
      <c r="CB48" s="156">
        <f t="shared" si="23"/>
        <v>0</v>
      </c>
      <c r="CC48" s="161">
        <f t="shared" si="94"/>
        <v>0</v>
      </c>
      <c r="CD48" s="162">
        <f t="shared" si="62"/>
        <v>1724.43</v>
      </c>
      <c r="CE48" s="163">
        <v>2.4</v>
      </c>
      <c r="CF48" s="164">
        <v>9.98</v>
      </c>
      <c r="CG48" s="165">
        <f t="shared" si="51"/>
        <v>12.14048</v>
      </c>
      <c r="CH48" s="166">
        <f t="shared" si="107"/>
        <v>20935.407926399999</v>
      </c>
      <c r="CI48" s="167">
        <v>57.07</v>
      </c>
      <c r="CJ48" s="166">
        <f t="shared" si="91"/>
        <v>98413.220100000006</v>
      </c>
      <c r="CK48" s="168">
        <v>5.62</v>
      </c>
      <c r="CL48" s="166">
        <f t="shared" si="26"/>
        <v>9691.2965999999997</v>
      </c>
      <c r="CM48" s="167">
        <v>20.88</v>
      </c>
      <c r="CN48" s="166">
        <f t="shared" si="27"/>
        <v>36006.098400000003</v>
      </c>
      <c r="CO48" s="169">
        <f t="shared" si="28"/>
        <v>2366.6550999999999</v>
      </c>
      <c r="CP48" s="166">
        <f t="shared" si="29"/>
        <v>4081131.054093</v>
      </c>
      <c r="CQ48" s="167">
        <v>3149</v>
      </c>
      <c r="CR48" s="166">
        <f t="shared" si="92"/>
        <v>5430230.0700000003</v>
      </c>
      <c r="CS48" s="170">
        <f t="shared" si="30"/>
        <v>56.767658402203857</v>
      </c>
      <c r="CT48" s="166">
        <f t="shared" si="31"/>
        <v>97891.853178512407</v>
      </c>
      <c r="CU48" s="168">
        <v>6.12</v>
      </c>
      <c r="CV48" s="166">
        <f t="shared" si="77"/>
        <v>10553.5116</v>
      </c>
      <c r="CW48" s="170">
        <f t="shared" si="78"/>
        <v>20.769383343928798</v>
      </c>
      <c r="CX48" s="166">
        <f t="shared" si="79"/>
        <v>35815.34771977114</v>
      </c>
      <c r="CY48" s="171">
        <v>2438</v>
      </c>
      <c r="CZ48" s="166">
        <f t="shared" si="81"/>
        <v>4204160.34</v>
      </c>
      <c r="DA48" s="170" t="str">
        <f t="shared" si="83"/>
        <v>G17</v>
      </c>
      <c r="DB48" s="171">
        <f t="shared" si="38"/>
        <v>2931.4434041110408</v>
      </c>
      <c r="DC48" s="166">
        <f t="shared" si="69"/>
        <v>5055068.9493512018</v>
      </c>
      <c r="DD48" s="170">
        <f t="shared" si="54"/>
        <v>53.127175316804411</v>
      </c>
      <c r="DE48" s="221">
        <f t="shared" si="55"/>
        <v>91614.094931557032</v>
      </c>
      <c r="DF48" s="222">
        <f t="shared" si="56"/>
        <v>6.0204800000000001</v>
      </c>
      <c r="DG48" s="221">
        <f t="shared" si="57"/>
        <v>10381.896326400001</v>
      </c>
      <c r="DH48" s="172">
        <f t="shared" si="40"/>
        <v>-6</v>
      </c>
      <c r="DI48" s="173">
        <f t="shared" si="95"/>
        <v>0</v>
      </c>
      <c r="DJ48" s="174" t="e">
        <f t="shared" si="96"/>
        <v>#VALUE!</v>
      </c>
      <c r="DK48" s="175">
        <f t="shared" si="97"/>
        <v>1712</v>
      </c>
      <c r="DL48" s="176" t="e">
        <f t="shared" si="98"/>
        <v>#VALUE!</v>
      </c>
      <c r="DM48" s="175" t="e">
        <f t="shared" si="99"/>
        <v>#VALUE!</v>
      </c>
      <c r="DN48" s="177"/>
      <c r="DO48" s="178">
        <f t="shared" si="46"/>
        <v>0</v>
      </c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80"/>
      <c r="EC48" s="181">
        <f t="shared" si="47"/>
        <v>0</v>
      </c>
      <c r="EE48" s="181"/>
    </row>
    <row r="49" spans="1:138" s="182" customFormat="1" ht="30.75" thickBot="1">
      <c r="A49" s="74">
        <v>66</v>
      </c>
      <c r="B49" s="74">
        <v>108</v>
      </c>
      <c r="C49" s="138">
        <v>45829</v>
      </c>
      <c r="D49" s="139">
        <v>162000396</v>
      </c>
      <c r="E49" s="138">
        <v>45828</v>
      </c>
      <c r="F49" s="138"/>
      <c r="G49" s="138"/>
      <c r="H49" s="657"/>
      <c r="I49" s="141">
        <v>1691.47</v>
      </c>
      <c r="J49" s="142">
        <f>(Y49/X48)*100</f>
        <v>49.5176663453855</v>
      </c>
      <c r="K49" s="143">
        <f>ROUND(((J49*H48)/100),2)</f>
        <v>1691.47</v>
      </c>
      <c r="L49" s="337">
        <v>58</v>
      </c>
      <c r="M49" s="144"/>
      <c r="N49" s="144">
        <v>1691.47</v>
      </c>
      <c r="O49" s="522" t="s">
        <v>180</v>
      </c>
      <c r="P49" s="145" t="s">
        <v>68</v>
      </c>
      <c r="Q49" s="146" t="s">
        <v>63</v>
      </c>
      <c r="R49" s="145"/>
      <c r="S49" s="145" t="s">
        <v>181</v>
      </c>
      <c r="T49" s="145"/>
      <c r="U49" s="147" t="s">
        <v>188</v>
      </c>
      <c r="V49" s="147" t="s">
        <v>189</v>
      </c>
      <c r="W49" s="147">
        <v>4450</v>
      </c>
      <c r="X49" s="655"/>
      <c r="Y49" s="148">
        <v>1803.27</v>
      </c>
      <c r="Z49" s="150"/>
      <c r="AA49" s="149"/>
      <c r="AB49" s="150"/>
      <c r="AC49" s="151"/>
      <c r="AD49" s="151"/>
      <c r="AE49" s="152">
        <f t="shared" si="0"/>
        <v>0</v>
      </c>
      <c r="AF49" s="151"/>
      <c r="AG49" s="152">
        <f t="shared" si="102"/>
        <v>0</v>
      </c>
      <c r="AH49" s="151"/>
      <c r="AI49" s="152">
        <f t="shared" si="103"/>
        <v>0</v>
      </c>
      <c r="AJ49" s="149"/>
      <c r="AK49" s="152">
        <f t="shared" si="104"/>
        <v>0</v>
      </c>
      <c r="AL49" s="149"/>
      <c r="AM49" s="151"/>
      <c r="AN49" s="152">
        <f t="shared" si="3"/>
        <v>0</v>
      </c>
      <c r="AO49" s="151"/>
      <c r="AP49" s="152">
        <f t="shared" si="4"/>
        <v>0</v>
      </c>
      <c r="AQ49" s="174">
        <f t="shared" si="106"/>
        <v>4450</v>
      </c>
      <c r="AR49" s="152">
        <f t="shared" si="48"/>
        <v>7527041.5</v>
      </c>
      <c r="AS49" s="149"/>
      <c r="AT49" s="149">
        <f t="shared" si="5"/>
        <v>4450</v>
      </c>
      <c r="AU49" s="152">
        <f t="shared" si="71"/>
        <v>0</v>
      </c>
      <c r="AV49" s="149">
        <f t="shared" si="7"/>
        <v>0</v>
      </c>
      <c r="AW49" s="152">
        <f t="shared" si="73"/>
        <v>0</v>
      </c>
      <c r="AX49" s="151">
        <f t="shared" si="9"/>
        <v>0</v>
      </c>
      <c r="AY49" s="152">
        <f t="shared" si="74"/>
        <v>0</v>
      </c>
      <c r="AZ49" s="153">
        <v>2.4</v>
      </c>
      <c r="BA49" s="153">
        <v>9.98</v>
      </c>
      <c r="BB49" s="153"/>
      <c r="BC49" s="154">
        <f t="shared" si="11"/>
        <v>12.14048</v>
      </c>
      <c r="BD49" s="155">
        <f t="shared" si="68"/>
        <v>20535.257705600001</v>
      </c>
      <c r="BE49" s="156"/>
      <c r="BF49" s="157"/>
      <c r="BG49" s="157"/>
      <c r="BH49" s="156"/>
      <c r="BI49" s="158">
        <f t="shared" si="14"/>
        <v>0</v>
      </c>
      <c r="BJ49" s="156"/>
      <c r="BK49" s="158">
        <f t="shared" si="15"/>
        <v>0</v>
      </c>
      <c r="BL49" s="156"/>
      <c r="BM49" s="159">
        <f t="shared" si="16"/>
        <v>0</v>
      </c>
      <c r="BN49" s="157"/>
      <c r="BO49" s="159">
        <f t="shared" si="17"/>
        <v>0</v>
      </c>
      <c r="BP49" s="160"/>
      <c r="BQ49" s="156"/>
      <c r="BR49" s="158">
        <f t="shared" si="18"/>
        <v>0</v>
      </c>
      <c r="BS49" s="156"/>
      <c r="BT49" s="159">
        <f t="shared" si="19"/>
        <v>0</v>
      </c>
      <c r="BU49" s="472">
        <f t="shared" si="108"/>
        <v>2438</v>
      </c>
      <c r="BV49" s="161">
        <f t="shared" si="49"/>
        <v>4123803.86</v>
      </c>
      <c r="BW49" s="157"/>
      <c r="BX49" s="472">
        <f t="shared" si="109"/>
        <v>2931.4434041110408</v>
      </c>
      <c r="BY49" s="161">
        <f t="shared" si="50"/>
        <v>4958448.5747517021</v>
      </c>
      <c r="BZ49" s="157">
        <f t="shared" si="21"/>
        <v>0</v>
      </c>
      <c r="CA49" s="161">
        <f t="shared" si="75"/>
        <v>0</v>
      </c>
      <c r="CB49" s="156">
        <f t="shared" si="23"/>
        <v>0</v>
      </c>
      <c r="CC49" s="161">
        <f t="shared" si="94"/>
        <v>0</v>
      </c>
      <c r="CD49" s="162">
        <f t="shared" si="62"/>
        <v>1691.47</v>
      </c>
      <c r="CE49" s="163">
        <v>2.4</v>
      </c>
      <c r="CF49" s="164">
        <v>9.98</v>
      </c>
      <c r="CG49" s="165">
        <f t="shared" si="51"/>
        <v>12.14048</v>
      </c>
      <c r="CH49" s="166">
        <f t="shared" si="107"/>
        <v>20535.257705600001</v>
      </c>
      <c r="CI49" s="167">
        <v>57.07</v>
      </c>
      <c r="CJ49" s="166">
        <f t="shared" si="91"/>
        <v>96532.192900000009</v>
      </c>
      <c r="CK49" s="168">
        <v>5.62</v>
      </c>
      <c r="CL49" s="166">
        <f t="shared" si="26"/>
        <v>9506.0614000000005</v>
      </c>
      <c r="CM49" s="167">
        <v>20.88</v>
      </c>
      <c r="CN49" s="166">
        <f t="shared" si="27"/>
        <v>35317.893599999996</v>
      </c>
      <c r="CO49" s="169">
        <f t="shared" si="28"/>
        <v>2366.6550999999999</v>
      </c>
      <c r="CP49" s="166">
        <f t="shared" si="29"/>
        <v>4003126.1019970002</v>
      </c>
      <c r="CQ49" s="167">
        <v>3149</v>
      </c>
      <c r="CR49" s="166">
        <f t="shared" si="92"/>
        <v>5326439.03</v>
      </c>
      <c r="CS49" s="170">
        <f t="shared" si="30"/>
        <v>56.767658402203857</v>
      </c>
      <c r="CT49" s="166">
        <f t="shared" si="31"/>
        <v>96020.791157575761</v>
      </c>
      <c r="CU49" s="168">
        <v>6.12</v>
      </c>
      <c r="CV49" s="166">
        <f t="shared" si="77"/>
        <v>10351.796400000001</v>
      </c>
      <c r="CW49" s="170">
        <f t="shared" si="78"/>
        <v>20.769383343928798</v>
      </c>
      <c r="CX49" s="166">
        <f t="shared" si="79"/>
        <v>35130.788844755247</v>
      </c>
      <c r="CY49" s="171">
        <v>2438</v>
      </c>
      <c r="CZ49" s="166">
        <f t="shared" si="81"/>
        <v>4123803.86</v>
      </c>
      <c r="DA49" s="170" t="str">
        <f t="shared" si="83"/>
        <v>G17</v>
      </c>
      <c r="DB49" s="171">
        <f t="shared" si="38"/>
        <v>2931.4434041110408</v>
      </c>
      <c r="DC49" s="166">
        <f t="shared" si="69"/>
        <v>4958448.5747517021</v>
      </c>
      <c r="DD49" s="170">
        <f t="shared" si="54"/>
        <v>53.127175316804411</v>
      </c>
      <c r="DE49" s="221">
        <f t="shared" si="55"/>
        <v>89863.023233115164</v>
      </c>
      <c r="DF49" s="222">
        <f t="shared" si="56"/>
        <v>6.0204800000000001</v>
      </c>
      <c r="DG49" s="221">
        <f t="shared" si="57"/>
        <v>10183.4613056</v>
      </c>
      <c r="DH49" s="172">
        <f t="shared" si="40"/>
        <v>-7</v>
      </c>
      <c r="DI49" s="173">
        <f t="shared" si="95"/>
        <v>0</v>
      </c>
      <c r="DJ49" s="174" t="e">
        <f t="shared" si="96"/>
        <v>#VALUE!</v>
      </c>
      <c r="DK49" s="175">
        <f t="shared" si="97"/>
        <v>2012</v>
      </c>
      <c r="DL49" s="176" t="e">
        <f t="shared" si="98"/>
        <v>#VALUE!</v>
      </c>
      <c r="DM49" s="175" t="e">
        <f t="shared" si="99"/>
        <v>#VALUE!</v>
      </c>
      <c r="DN49" s="177"/>
      <c r="DO49" s="178">
        <f t="shared" si="46"/>
        <v>0</v>
      </c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80"/>
      <c r="EC49" s="181">
        <f t="shared" si="47"/>
        <v>0</v>
      </c>
      <c r="EE49" s="181"/>
    </row>
    <row r="50" spans="1:138" s="182" customFormat="1" ht="30">
      <c r="A50" s="74">
        <v>70</v>
      </c>
      <c r="B50" s="74">
        <v>113</v>
      </c>
      <c r="C50" s="138">
        <v>45830</v>
      </c>
      <c r="D50" s="139">
        <v>151000057</v>
      </c>
      <c r="E50" s="138">
        <v>45830</v>
      </c>
      <c r="F50" s="138"/>
      <c r="G50" s="138"/>
      <c r="H50" s="140">
        <v>3714.5</v>
      </c>
      <c r="I50" s="616">
        <v>3614.5</v>
      </c>
      <c r="J50" s="142"/>
      <c r="K50" s="568"/>
      <c r="L50" s="337">
        <v>58</v>
      </c>
      <c r="M50" s="144"/>
      <c r="N50" s="144">
        <v>3714.5</v>
      </c>
      <c r="O50" s="522" t="s">
        <v>180</v>
      </c>
      <c r="P50" s="145" t="s">
        <v>71</v>
      </c>
      <c r="Q50" s="146" t="s">
        <v>222</v>
      </c>
      <c r="R50" s="145"/>
      <c r="S50" s="145" t="s">
        <v>181</v>
      </c>
      <c r="T50" s="145"/>
      <c r="U50" s="147" t="s">
        <v>188</v>
      </c>
      <c r="V50" s="147" t="s">
        <v>189</v>
      </c>
      <c r="W50" s="147">
        <v>4450</v>
      </c>
      <c r="X50" s="519">
        <v>3972.72</v>
      </c>
      <c r="Y50" s="148">
        <v>3972.72</v>
      </c>
      <c r="Z50" s="150"/>
      <c r="AA50" s="149"/>
      <c r="AB50" s="150"/>
      <c r="AC50" s="151"/>
      <c r="AD50" s="151"/>
      <c r="AE50" s="152">
        <f t="shared" si="0"/>
        <v>0</v>
      </c>
      <c r="AF50" s="151"/>
      <c r="AG50" s="152">
        <f t="shared" si="102"/>
        <v>0</v>
      </c>
      <c r="AH50" s="151"/>
      <c r="AI50" s="152">
        <f t="shared" si="103"/>
        <v>0</v>
      </c>
      <c r="AJ50" s="149"/>
      <c r="AK50" s="152">
        <f t="shared" si="104"/>
        <v>0</v>
      </c>
      <c r="AL50" s="149"/>
      <c r="AM50" s="151"/>
      <c r="AN50" s="152">
        <f t="shared" si="3"/>
        <v>0</v>
      </c>
      <c r="AO50" s="151"/>
      <c r="AP50" s="152">
        <f t="shared" si="4"/>
        <v>0</v>
      </c>
      <c r="AQ50" s="174">
        <f t="shared" si="106"/>
        <v>4450</v>
      </c>
      <c r="AR50" s="152">
        <f t="shared" si="48"/>
        <v>16084525</v>
      </c>
      <c r="AS50" s="149"/>
      <c r="AT50" s="149">
        <f t="shared" si="5"/>
        <v>4450</v>
      </c>
      <c r="AU50" s="152">
        <f t="shared" si="71"/>
        <v>0</v>
      </c>
      <c r="AV50" s="149">
        <f t="shared" si="7"/>
        <v>0</v>
      </c>
      <c r="AW50" s="152">
        <f t="shared" si="73"/>
        <v>0</v>
      </c>
      <c r="AX50" s="151">
        <f t="shared" si="9"/>
        <v>0</v>
      </c>
      <c r="AY50" s="152">
        <f t="shared" si="74"/>
        <v>0</v>
      </c>
      <c r="AZ50" s="153"/>
      <c r="BA50" s="153"/>
      <c r="BB50" s="153"/>
      <c r="BC50" s="154">
        <f t="shared" si="11"/>
        <v>0</v>
      </c>
      <c r="BD50" s="155">
        <f t="shared" si="68"/>
        <v>0</v>
      </c>
      <c r="BE50" s="156"/>
      <c r="BF50" s="157"/>
      <c r="BG50" s="157"/>
      <c r="BH50" s="156"/>
      <c r="BI50" s="158">
        <f t="shared" si="14"/>
        <v>0</v>
      </c>
      <c r="BJ50" s="156"/>
      <c r="BK50" s="158">
        <f t="shared" si="15"/>
        <v>0</v>
      </c>
      <c r="BL50" s="156"/>
      <c r="BM50" s="159">
        <f t="shared" si="16"/>
        <v>0</v>
      </c>
      <c r="BN50" s="157"/>
      <c r="BO50" s="159">
        <f t="shared" si="17"/>
        <v>0</v>
      </c>
      <c r="BP50" s="160"/>
      <c r="BQ50" s="156"/>
      <c r="BR50" s="158">
        <f t="shared" si="18"/>
        <v>0</v>
      </c>
      <c r="BS50" s="156"/>
      <c r="BT50" s="159">
        <f t="shared" si="19"/>
        <v>0</v>
      </c>
      <c r="BU50" s="472">
        <f t="shared" si="108"/>
        <v>3561.4730338255322</v>
      </c>
      <c r="BV50" s="161">
        <f t="shared" si="49"/>
        <v>12872944.280762386</v>
      </c>
      <c r="BW50" s="157"/>
      <c r="BX50" s="472">
        <f t="shared" si="109"/>
        <v>3306.8415274897898</v>
      </c>
      <c r="BY50" s="161">
        <f t="shared" si="50"/>
        <v>11952578.701111846</v>
      </c>
      <c r="BZ50" s="157">
        <f t="shared" si="21"/>
        <v>0</v>
      </c>
      <c r="CA50" s="161">
        <f t="shared" si="75"/>
        <v>0</v>
      </c>
      <c r="CB50" s="156">
        <f t="shared" si="23"/>
        <v>0</v>
      </c>
      <c r="CC50" s="161">
        <f t="shared" si="94"/>
        <v>0</v>
      </c>
      <c r="CD50" s="162">
        <f t="shared" si="62"/>
        <v>3714.5</v>
      </c>
      <c r="CE50" s="163">
        <v>3.1</v>
      </c>
      <c r="CF50" s="164">
        <v>7.37</v>
      </c>
      <c r="CG50" s="165">
        <f t="shared" si="51"/>
        <v>10.241529999999999</v>
      </c>
      <c r="CH50" s="166">
        <f t="shared" si="107"/>
        <v>38042.163184999998</v>
      </c>
      <c r="CI50" s="167">
        <v>45.62</v>
      </c>
      <c r="CJ50" s="166">
        <f t="shared" si="91"/>
        <v>169455.49</v>
      </c>
      <c r="CK50" s="168">
        <v>4.51</v>
      </c>
      <c r="CL50" s="166">
        <f t="shared" si="26"/>
        <v>16752.395</v>
      </c>
      <c r="CM50" s="167">
        <v>26.84</v>
      </c>
      <c r="CN50" s="166">
        <f t="shared" si="27"/>
        <v>99697.18</v>
      </c>
      <c r="CO50" s="169">
        <f t="shared" si="28"/>
        <v>3605.7861999999996</v>
      </c>
      <c r="CP50" s="166">
        <f t="shared" si="29"/>
        <v>13393692.839899998</v>
      </c>
      <c r="CQ50" s="167">
        <v>3518</v>
      </c>
      <c r="CR50" s="166">
        <f t="shared" si="92"/>
        <v>13067611</v>
      </c>
      <c r="CS50" s="170">
        <f t="shared" si="30"/>
        <v>46.183740705833074</v>
      </c>
      <c r="CT50" s="166">
        <f t="shared" si="31"/>
        <v>171549.50485181695</v>
      </c>
      <c r="CU50" s="168">
        <v>3.33</v>
      </c>
      <c r="CV50" s="166">
        <f t="shared" si="77"/>
        <v>12369.285</v>
      </c>
      <c r="CW50" s="170">
        <f t="shared" si="78"/>
        <v>27.171670331971939</v>
      </c>
      <c r="CX50" s="166">
        <f t="shared" si="79"/>
        <v>100929.16944810977</v>
      </c>
      <c r="CY50" s="171">
        <f t="shared" si="80"/>
        <v>3561.4730338255322</v>
      </c>
      <c r="CZ50" s="166">
        <f t="shared" si="81"/>
        <v>13229091.584144939</v>
      </c>
      <c r="DA50" s="170" t="str">
        <f t="shared" si="83"/>
        <v>G13</v>
      </c>
      <c r="DB50" s="171">
        <f t="shared" si="38"/>
        <v>3306.8415274897898</v>
      </c>
      <c r="DC50" s="166">
        <f t="shared" si="69"/>
        <v>12283262.853860823</v>
      </c>
      <c r="DD50" s="170">
        <f t="shared" si="54"/>
        <v>42.881782400251332</v>
      </c>
      <c r="DE50" s="221">
        <f t="shared" si="55"/>
        <v>159284.38072573359</v>
      </c>
      <c r="DF50" s="222">
        <f t="shared" si="56"/>
        <v>6.9115299999999991</v>
      </c>
      <c r="DG50" s="221">
        <f t="shared" si="57"/>
        <v>25672.878184999998</v>
      </c>
      <c r="DH50" s="172">
        <f t="shared" si="40"/>
        <v>-3</v>
      </c>
      <c r="DI50" s="173">
        <f t="shared" si="95"/>
        <v>0</v>
      </c>
      <c r="DJ50" s="174" t="e">
        <f t="shared" si="96"/>
        <v>#VALUE!</v>
      </c>
      <c r="DK50" s="175">
        <f t="shared" si="97"/>
        <v>888.52696617446782</v>
      </c>
      <c r="DL50" s="176" t="e">
        <f t="shared" si="98"/>
        <v>#VALUE!</v>
      </c>
      <c r="DM50" s="175" t="e">
        <f t="shared" si="99"/>
        <v>#VALUE!</v>
      </c>
      <c r="DN50" s="177"/>
      <c r="DO50" s="178">
        <f t="shared" si="46"/>
        <v>0</v>
      </c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80"/>
      <c r="EC50" s="181">
        <f t="shared" si="47"/>
        <v>0</v>
      </c>
      <c r="EE50" s="181"/>
    </row>
    <row r="51" spans="1:138" s="182" customFormat="1" ht="30">
      <c r="A51" s="74">
        <v>71</v>
      </c>
      <c r="B51" s="74">
        <v>114</v>
      </c>
      <c r="C51" s="138">
        <v>45830</v>
      </c>
      <c r="D51" s="139">
        <v>151001352</v>
      </c>
      <c r="E51" s="138">
        <v>45829</v>
      </c>
      <c r="F51" s="138"/>
      <c r="G51" s="138"/>
      <c r="H51" s="140">
        <v>3702.15</v>
      </c>
      <c r="I51" s="141">
        <v>3702.15</v>
      </c>
      <c r="J51" s="142"/>
      <c r="K51" s="568"/>
      <c r="L51" s="337">
        <v>58</v>
      </c>
      <c r="M51" s="144"/>
      <c r="N51" s="144">
        <v>3702.15</v>
      </c>
      <c r="O51" s="522" t="s">
        <v>180</v>
      </c>
      <c r="P51" s="145" t="s">
        <v>71</v>
      </c>
      <c r="Q51" s="146" t="s">
        <v>222</v>
      </c>
      <c r="R51" s="145"/>
      <c r="S51" s="145" t="s">
        <v>181</v>
      </c>
      <c r="T51" s="145"/>
      <c r="U51" s="147" t="s">
        <v>188</v>
      </c>
      <c r="V51" s="147" t="s">
        <v>189</v>
      </c>
      <c r="W51" s="147">
        <v>4450</v>
      </c>
      <c r="X51" s="519">
        <v>3921.76</v>
      </c>
      <c r="Y51" s="148">
        <v>3921.76</v>
      </c>
      <c r="Z51" s="150"/>
      <c r="AA51" s="149"/>
      <c r="AB51" s="150"/>
      <c r="AC51" s="151"/>
      <c r="AD51" s="151"/>
      <c r="AE51" s="152">
        <f t="shared" si="0"/>
        <v>0</v>
      </c>
      <c r="AF51" s="151"/>
      <c r="AG51" s="152">
        <f t="shared" si="102"/>
        <v>0</v>
      </c>
      <c r="AH51" s="151"/>
      <c r="AI51" s="152">
        <f t="shared" si="103"/>
        <v>0</v>
      </c>
      <c r="AJ51" s="149"/>
      <c r="AK51" s="152">
        <f t="shared" si="104"/>
        <v>0</v>
      </c>
      <c r="AL51" s="149"/>
      <c r="AM51" s="151"/>
      <c r="AN51" s="152">
        <f t="shared" si="3"/>
        <v>0</v>
      </c>
      <c r="AO51" s="151"/>
      <c r="AP51" s="152">
        <f t="shared" si="4"/>
        <v>0</v>
      </c>
      <c r="AQ51" s="174">
        <f t="shared" si="106"/>
        <v>4450</v>
      </c>
      <c r="AR51" s="152">
        <f t="shared" si="48"/>
        <v>16474567.5</v>
      </c>
      <c r="AS51" s="149"/>
      <c r="AT51" s="149">
        <f t="shared" si="5"/>
        <v>4450</v>
      </c>
      <c r="AU51" s="152">
        <f t="shared" si="71"/>
        <v>0</v>
      </c>
      <c r="AV51" s="149">
        <f t="shared" si="7"/>
        <v>0</v>
      </c>
      <c r="AW51" s="152">
        <f t="shared" si="73"/>
        <v>0</v>
      </c>
      <c r="AX51" s="151">
        <f t="shared" si="9"/>
        <v>0</v>
      </c>
      <c r="AY51" s="152">
        <f t="shared" si="74"/>
        <v>0</v>
      </c>
      <c r="AZ51" s="153"/>
      <c r="BA51" s="153"/>
      <c r="BB51" s="153"/>
      <c r="BC51" s="154">
        <f t="shared" si="11"/>
        <v>0</v>
      </c>
      <c r="BD51" s="155">
        <f t="shared" si="68"/>
        <v>0</v>
      </c>
      <c r="BE51" s="156"/>
      <c r="BF51" s="157"/>
      <c r="BG51" s="157"/>
      <c r="BH51" s="156"/>
      <c r="BI51" s="158">
        <f t="shared" si="14"/>
        <v>0</v>
      </c>
      <c r="BJ51" s="156"/>
      <c r="BK51" s="158">
        <f t="shared" si="15"/>
        <v>0</v>
      </c>
      <c r="BL51" s="156"/>
      <c r="BM51" s="159">
        <f t="shared" si="16"/>
        <v>0</v>
      </c>
      <c r="BN51" s="157"/>
      <c r="BO51" s="159">
        <f t="shared" si="17"/>
        <v>0</v>
      </c>
      <c r="BP51" s="160"/>
      <c r="BQ51" s="156"/>
      <c r="BR51" s="158">
        <f t="shared" si="18"/>
        <v>0</v>
      </c>
      <c r="BS51" s="156"/>
      <c r="BT51" s="159">
        <f t="shared" si="19"/>
        <v>0</v>
      </c>
      <c r="BU51" s="472">
        <f t="shared" si="108"/>
        <v>3810.8705456866287</v>
      </c>
      <c r="BV51" s="161">
        <f t="shared" si="49"/>
        <v>14108414.390713753</v>
      </c>
      <c r="BW51" s="157"/>
      <c r="BX51" s="472">
        <f t="shared" si="109"/>
        <v>3459.8978159770236</v>
      </c>
      <c r="BY51" s="161">
        <f t="shared" si="50"/>
        <v>12809060.699419338</v>
      </c>
      <c r="BZ51" s="157">
        <f t="shared" si="21"/>
        <v>0</v>
      </c>
      <c r="CA51" s="161">
        <f t="shared" si="75"/>
        <v>0</v>
      </c>
      <c r="CB51" s="156">
        <f t="shared" si="23"/>
        <v>0</v>
      </c>
      <c r="CC51" s="161">
        <f t="shared" si="94"/>
        <v>0</v>
      </c>
      <c r="CD51" s="162">
        <f t="shared" si="62"/>
        <v>3702.15</v>
      </c>
      <c r="CE51" s="163">
        <v>3.3</v>
      </c>
      <c r="CF51" s="164">
        <v>9.36</v>
      </c>
      <c r="CG51" s="165">
        <f t="shared" si="51"/>
        <v>12.351119999999998</v>
      </c>
      <c r="CH51" s="166">
        <f t="shared" si="107"/>
        <v>45725.698907999991</v>
      </c>
      <c r="CI51" s="167">
        <v>39.11</v>
      </c>
      <c r="CJ51" s="166">
        <f>CI51*$CD51</f>
        <v>144791.0865</v>
      </c>
      <c r="CK51" s="168">
        <v>5.99</v>
      </c>
      <c r="CL51" s="166">
        <f t="shared" si="26"/>
        <v>22175.878500000003</v>
      </c>
      <c r="CM51" s="167">
        <v>29.77</v>
      </c>
      <c r="CN51" s="166">
        <f t="shared" si="27"/>
        <v>110213.0055</v>
      </c>
      <c r="CO51" s="169">
        <f t="shared" si="28"/>
        <v>4003.0134999999991</v>
      </c>
      <c r="CP51" s="166">
        <f t="shared" si="29"/>
        <v>14819756.429024996</v>
      </c>
      <c r="CQ51" s="167">
        <v>3711</v>
      </c>
      <c r="CR51" s="166">
        <f>CQ51*$CD51</f>
        <v>13738678.65</v>
      </c>
      <c r="CS51" s="170">
        <f t="shared" si="30"/>
        <v>40.162529518136367</v>
      </c>
      <c r="CT51" s="166">
        <f t="shared" si="31"/>
        <v>148687.70865556857</v>
      </c>
      <c r="CU51" s="168">
        <v>3.46</v>
      </c>
      <c r="CV51" s="166">
        <f t="shared" si="77"/>
        <v>12809.439</v>
      </c>
      <c r="CW51" s="170">
        <f t="shared" si="78"/>
        <v>30.571171152005103</v>
      </c>
      <c r="CX51" s="166">
        <f t="shared" si="79"/>
        <v>113179.06128039569</v>
      </c>
      <c r="CY51" s="171">
        <f t="shared" si="80"/>
        <v>3810.8705456866287</v>
      </c>
      <c r="CZ51" s="166">
        <f t="shared" si="81"/>
        <v>14108414.390713753</v>
      </c>
      <c r="DA51" s="170" t="str">
        <f t="shared" si="83"/>
        <v>G12</v>
      </c>
      <c r="DB51" s="171">
        <f t="shared" si="38"/>
        <v>3459.8978159770236</v>
      </c>
      <c r="DC51" s="166">
        <f t="shared" si="69"/>
        <v>12809060.699419338</v>
      </c>
      <c r="DD51" s="170">
        <f t="shared" si="54"/>
        <v>36.463649577704501</v>
      </c>
      <c r="DE51" s="221">
        <f t="shared" si="55"/>
        <v>134993.90028409872</v>
      </c>
      <c r="DF51" s="222">
        <f t="shared" si="56"/>
        <v>8.8911199999999972</v>
      </c>
      <c r="DG51" s="221">
        <f t="shared" si="57"/>
        <v>32916.259907999993</v>
      </c>
      <c r="DH51" s="172">
        <f t="shared" si="40"/>
        <v>-2</v>
      </c>
      <c r="DI51" s="173">
        <f t="shared" si="95"/>
        <v>0</v>
      </c>
      <c r="DJ51" s="174" t="e">
        <f t="shared" si="96"/>
        <v>#VALUE!</v>
      </c>
      <c r="DK51" s="175">
        <f t="shared" si="97"/>
        <v>639.1294543133713</v>
      </c>
      <c r="DL51" s="176" t="e">
        <f t="shared" si="98"/>
        <v>#VALUE!</v>
      </c>
      <c r="DM51" s="175" t="e">
        <f t="shared" si="99"/>
        <v>#VALUE!</v>
      </c>
      <c r="DN51" s="177"/>
      <c r="DO51" s="178">
        <f t="shared" si="46"/>
        <v>0</v>
      </c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80"/>
      <c r="EC51" s="181">
        <f t="shared" si="47"/>
        <v>0</v>
      </c>
      <c r="EE51" s="181"/>
    </row>
    <row r="52" spans="1:138" s="182" customFormat="1" ht="45">
      <c r="A52" s="74">
        <v>75</v>
      </c>
      <c r="B52" s="74">
        <v>118</v>
      </c>
      <c r="C52" s="138">
        <v>45831</v>
      </c>
      <c r="D52" s="139">
        <v>151000156</v>
      </c>
      <c r="E52" s="138">
        <v>45831</v>
      </c>
      <c r="F52" s="138"/>
      <c r="G52" s="138"/>
      <c r="H52" s="647">
        <v>3546.1</v>
      </c>
      <c r="I52" s="141">
        <v>857.59</v>
      </c>
      <c r="J52" s="142">
        <f>(Y52/X52)*100</f>
        <v>24.18409705669675</v>
      </c>
      <c r="K52" s="143">
        <f>ROUND(((J52*H52)/100),2)</f>
        <v>857.59</v>
      </c>
      <c r="L52" s="650">
        <v>59</v>
      </c>
      <c r="M52" s="144"/>
      <c r="N52" s="144">
        <v>857.59</v>
      </c>
      <c r="O52" s="522" t="s">
        <v>180</v>
      </c>
      <c r="P52" s="145" t="s">
        <v>72</v>
      </c>
      <c r="Q52" s="146" t="s">
        <v>224</v>
      </c>
      <c r="R52" s="145"/>
      <c r="S52" s="145" t="s">
        <v>181</v>
      </c>
      <c r="T52" s="145"/>
      <c r="U52" s="147" t="s">
        <v>182</v>
      </c>
      <c r="V52" s="147" t="s">
        <v>183</v>
      </c>
      <c r="W52" s="147">
        <v>4150</v>
      </c>
      <c r="X52" s="653">
        <v>3733.9</v>
      </c>
      <c r="Y52" s="148">
        <v>903.01</v>
      </c>
      <c r="Z52" s="150"/>
      <c r="AA52" s="149"/>
      <c r="AB52" s="150"/>
      <c r="AC52" s="151"/>
      <c r="AD52" s="151"/>
      <c r="AE52" s="152">
        <f t="shared" si="0"/>
        <v>0</v>
      </c>
      <c r="AF52" s="151"/>
      <c r="AG52" s="152">
        <f t="shared" si="102"/>
        <v>0</v>
      </c>
      <c r="AH52" s="151"/>
      <c r="AI52" s="152">
        <f t="shared" si="103"/>
        <v>0</v>
      </c>
      <c r="AJ52" s="149"/>
      <c r="AK52" s="152">
        <f t="shared" si="104"/>
        <v>0</v>
      </c>
      <c r="AL52" s="149"/>
      <c r="AM52" s="151"/>
      <c r="AN52" s="152">
        <f t="shared" si="3"/>
        <v>0</v>
      </c>
      <c r="AO52" s="151"/>
      <c r="AP52" s="152">
        <f t="shared" si="4"/>
        <v>0</v>
      </c>
      <c r="AQ52" s="174">
        <f t="shared" si="106"/>
        <v>4150</v>
      </c>
      <c r="AR52" s="152">
        <f t="shared" si="48"/>
        <v>3558998.5</v>
      </c>
      <c r="AS52" s="149"/>
      <c r="AT52" s="149">
        <f t="shared" si="5"/>
        <v>4150</v>
      </c>
      <c r="AU52" s="152">
        <f t="shared" si="71"/>
        <v>0</v>
      </c>
      <c r="AV52" s="149">
        <f t="shared" si="7"/>
        <v>0</v>
      </c>
      <c r="AW52" s="152">
        <f t="shared" si="73"/>
        <v>0</v>
      </c>
      <c r="AX52" s="151">
        <f t="shared" si="9"/>
        <v>0</v>
      </c>
      <c r="AY52" s="152">
        <f t="shared" si="74"/>
        <v>0</v>
      </c>
      <c r="AZ52" s="153"/>
      <c r="BA52" s="153"/>
      <c r="BB52" s="153"/>
      <c r="BC52" s="154">
        <f t="shared" si="11"/>
        <v>0</v>
      </c>
      <c r="BD52" s="155">
        <f t="shared" si="68"/>
        <v>0</v>
      </c>
      <c r="BE52" s="156"/>
      <c r="BF52" s="157"/>
      <c r="BG52" s="157"/>
      <c r="BH52" s="156"/>
      <c r="BI52" s="158">
        <f t="shared" si="14"/>
        <v>0</v>
      </c>
      <c r="BJ52" s="156"/>
      <c r="BK52" s="158">
        <f t="shared" si="15"/>
        <v>0</v>
      </c>
      <c r="BL52" s="156"/>
      <c r="BM52" s="159">
        <f t="shared" si="16"/>
        <v>0</v>
      </c>
      <c r="BN52" s="157"/>
      <c r="BO52" s="159">
        <f t="shared" si="17"/>
        <v>0</v>
      </c>
      <c r="BP52" s="160"/>
      <c r="BQ52" s="156"/>
      <c r="BR52" s="158">
        <f t="shared" si="18"/>
        <v>0</v>
      </c>
      <c r="BS52" s="156"/>
      <c r="BT52" s="159">
        <f t="shared" si="19"/>
        <v>0</v>
      </c>
      <c r="BU52" s="472">
        <f t="shared" si="108"/>
        <v>3764</v>
      </c>
      <c r="BV52" s="161">
        <f t="shared" si="49"/>
        <v>3227968.7600000002</v>
      </c>
      <c r="BW52" s="157"/>
      <c r="BX52" s="472">
        <f t="shared" si="109"/>
        <v>3171.2522223385326</v>
      </c>
      <c r="BY52" s="161">
        <f t="shared" si="50"/>
        <v>2719634.1933553023</v>
      </c>
      <c r="BZ52" s="157">
        <f t="shared" si="21"/>
        <v>0</v>
      </c>
      <c r="CA52" s="161">
        <f t="shared" si="75"/>
        <v>0</v>
      </c>
      <c r="CB52" s="156">
        <f t="shared" si="23"/>
        <v>0</v>
      </c>
      <c r="CC52" s="161">
        <f t="shared" si="94"/>
        <v>0</v>
      </c>
      <c r="CD52" s="162">
        <f t="shared" si="62"/>
        <v>857.59</v>
      </c>
      <c r="CE52" s="163">
        <v>3.6</v>
      </c>
      <c r="CF52" s="164">
        <v>11.2</v>
      </c>
      <c r="CG52" s="165">
        <f t="shared" si="51"/>
        <v>14.396799999999999</v>
      </c>
      <c r="CH52" s="166">
        <f t="shared" si="107"/>
        <v>12346.551712</v>
      </c>
      <c r="CI52" s="167">
        <v>42.47</v>
      </c>
      <c r="CJ52" s="166">
        <f t="shared" ref="CJ52:CJ56" si="110">CI52*$CD52</f>
        <v>36421.847300000001</v>
      </c>
      <c r="CK52" s="168">
        <v>4.47</v>
      </c>
      <c r="CL52" s="166">
        <f t="shared" si="26"/>
        <v>3833.4272999999998</v>
      </c>
      <c r="CM52" s="167">
        <v>25.19</v>
      </c>
      <c r="CN52" s="166">
        <f t="shared" si="27"/>
        <v>21602.6921</v>
      </c>
      <c r="CO52" s="169">
        <f t="shared" si="28"/>
        <v>3908.0550999999996</v>
      </c>
      <c r="CP52" s="166">
        <f t="shared" si="29"/>
        <v>3351508.9732089997</v>
      </c>
      <c r="CQ52" s="167">
        <v>3539</v>
      </c>
      <c r="CR52" s="166">
        <f t="shared" ref="CR52:CR56" si="111">CQ52*$CD52</f>
        <v>3035011.0100000002</v>
      </c>
      <c r="CS52" s="170">
        <f t="shared" si="30"/>
        <v>42.767863498377473</v>
      </c>
      <c r="CT52" s="166">
        <f t="shared" si="31"/>
        <v>36677.292057573541</v>
      </c>
      <c r="CU52" s="168">
        <v>3.8</v>
      </c>
      <c r="CV52" s="166">
        <f t="shared" si="77"/>
        <v>3258.8420000000001</v>
      </c>
      <c r="CW52" s="170">
        <f t="shared" si="78"/>
        <v>25.366670155971946</v>
      </c>
      <c r="CX52" s="166">
        <f t="shared" si="79"/>
        <v>21754.202659059982</v>
      </c>
      <c r="CY52" s="171">
        <v>3764</v>
      </c>
      <c r="CZ52" s="166">
        <f t="shared" si="81"/>
        <v>3227968.7600000002</v>
      </c>
      <c r="DA52" s="170" t="str">
        <f t="shared" si="83"/>
        <v>G12</v>
      </c>
      <c r="DB52" s="171">
        <f t="shared" si="38"/>
        <v>3171.2522223385326</v>
      </c>
      <c r="DC52" s="166">
        <f t="shared" si="69"/>
        <v>2719634.1933553023</v>
      </c>
      <c r="DD52" s="170">
        <f t="shared" si="54"/>
        <v>38.056818842248511</v>
      </c>
      <c r="DE52" s="221">
        <f t="shared" si="55"/>
        <v>32637.147270923902</v>
      </c>
      <c r="DF52" s="222">
        <f t="shared" si="56"/>
        <v>10.596799999999998</v>
      </c>
      <c r="DG52" s="221">
        <f t="shared" si="57"/>
        <v>9087.709711999998</v>
      </c>
      <c r="DH52" s="172">
        <f t="shared" si="40"/>
        <v>-1</v>
      </c>
      <c r="DI52" s="173">
        <f t="shared" si="95"/>
        <v>0</v>
      </c>
      <c r="DJ52" s="174" t="e">
        <f t="shared" si="96"/>
        <v>#VALUE!</v>
      </c>
      <c r="DK52" s="175">
        <f t="shared" si="97"/>
        <v>386</v>
      </c>
      <c r="DL52" s="176" t="e">
        <f t="shared" si="98"/>
        <v>#VALUE!</v>
      </c>
      <c r="DM52" s="175" t="e">
        <f t="shared" si="99"/>
        <v>#VALUE!</v>
      </c>
      <c r="DN52" s="177"/>
      <c r="DO52" s="178">
        <f t="shared" si="46"/>
        <v>0</v>
      </c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80"/>
      <c r="EC52" s="181">
        <f t="shared" si="47"/>
        <v>0</v>
      </c>
      <c r="EE52" s="181"/>
    </row>
    <row r="53" spans="1:138" s="182" customFormat="1" ht="30">
      <c r="A53" s="74">
        <v>76</v>
      </c>
      <c r="B53" s="74">
        <v>118</v>
      </c>
      <c r="C53" s="138">
        <v>45831</v>
      </c>
      <c r="D53" s="139">
        <v>151000156</v>
      </c>
      <c r="E53" s="138">
        <v>45831</v>
      </c>
      <c r="F53" s="138"/>
      <c r="G53" s="138"/>
      <c r="H53" s="648"/>
      <c r="I53" s="141">
        <v>271.35000000000002</v>
      </c>
      <c r="J53" s="142">
        <f>(Y53/X52)*100</f>
        <v>7.6520528134122507</v>
      </c>
      <c r="K53" s="143">
        <f>ROUND(((J53*H52)/100),2)</f>
        <v>271.35000000000002</v>
      </c>
      <c r="L53" s="651"/>
      <c r="M53" s="144"/>
      <c r="N53" s="144">
        <v>271.35000000000002</v>
      </c>
      <c r="O53" s="522" t="s">
        <v>180</v>
      </c>
      <c r="P53" s="145" t="s">
        <v>72</v>
      </c>
      <c r="Q53" s="146" t="s">
        <v>51</v>
      </c>
      <c r="R53" s="145"/>
      <c r="S53" s="145" t="s">
        <v>181</v>
      </c>
      <c r="T53" s="145"/>
      <c r="U53" s="147" t="s">
        <v>191</v>
      </c>
      <c r="V53" s="147" t="s">
        <v>192</v>
      </c>
      <c r="W53" s="147">
        <v>5350</v>
      </c>
      <c r="X53" s="654"/>
      <c r="Y53" s="148">
        <v>285.72000000000003</v>
      </c>
      <c r="Z53" s="150"/>
      <c r="AA53" s="149"/>
      <c r="AB53" s="150"/>
      <c r="AC53" s="151"/>
      <c r="AD53" s="151"/>
      <c r="AE53" s="152">
        <f t="shared" si="0"/>
        <v>0</v>
      </c>
      <c r="AF53" s="151"/>
      <c r="AG53" s="152">
        <f t="shared" si="102"/>
        <v>0</v>
      </c>
      <c r="AH53" s="151"/>
      <c r="AI53" s="152">
        <f t="shared" si="103"/>
        <v>0</v>
      </c>
      <c r="AJ53" s="149"/>
      <c r="AK53" s="152">
        <f t="shared" si="104"/>
        <v>0</v>
      </c>
      <c r="AL53" s="149"/>
      <c r="AM53" s="151"/>
      <c r="AN53" s="152">
        <f t="shared" si="3"/>
        <v>0</v>
      </c>
      <c r="AO53" s="151"/>
      <c r="AP53" s="152">
        <f t="shared" si="4"/>
        <v>0</v>
      </c>
      <c r="AQ53" s="174">
        <f t="shared" si="106"/>
        <v>5350</v>
      </c>
      <c r="AR53" s="152">
        <f t="shared" si="48"/>
        <v>1451722.5000000002</v>
      </c>
      <c r="AS53" s="149"/>
      <c r="AT53" s="149">
        <f t="shared" si="5"/>
        <v>5350</v>
      </c>
      <c r="AU53" s="152">
        <f t="shared" si="71"/>
        <v>0</v>
      </c>
      <c r="AV53" s="149">
        <f t="shared" si="7"/>
        <v>0</v>
      </c>
      <c r="AW53" s="152">
        <f t="shared" si="73"/>
        <v>0</v>
      </c>
      <c r="AX53" s="151">
        <f t="shared" si="9"/>
        <v>0</v>
      </c>
      <c r="AY53" s="152">
        <f t="shared" si="74"/>
        <v>0</v>
      </c>
      <c r="AZ53" s="153"/>
      <c r="BA53" s="153"/>
      <c r="BB53" s="153"/>
      <c r="BC53" s="154">
        <f t="shared" si="11"/>
        <v>0</v>
      </c>
      <c r="BD53" s="155">
        <f t="shared" si="68"/>
        <v>0</v>
      </c>
      <c r="BE53" s="156"/>
      <c r="BF53" s="157"/>
      <c r="BG53" s="157"/>
      <c r="BH53" s="156"/>
      <c r="BI53" s="158">
        <f t="shared" si="14"/>
        <v>0</v>
      </c>
      <c r="BJ53" s="156"/>
      <c r="BK53" s="158">
        <f t="shared" si="15"/>
        <v>0</v>
      </c>
      <c r="BL53" s="156"/>
      <c r="BM53" s="159">
        <f t="shared" si="16"/>
        <v>0</v>
      </c>
      <c r="BN53" s="157"/>
      <c r="BO53" s="159">
        <f t="shared" si="17"/>
        <v>0</v>
      </c>
      <c r="BP53" s="160"/>
      <c r="BQ53" s="156"/>
      <c r="BR53" s="158">
        <f t="shared" si="18"/>
        <v>0</v>
      </c>
      <c r="BS53" s="156"/>
      <c r="BT53" s="159">
        <f t="shared" si="19"/>
        <v>0</v>
      </c>
      <c r="BU53" s="472">
        <f t="shared" si="108"/>
        <v>3764</v>
      </c>
      <c r="BV53" s="161">
        <f t="shared" si="49"/>
        <v>1021361.4000000001</v>
      </c>
      <c r="BW53" s="157"/>
      <c r="BX53" s="472">
        <f t="shared" si="109"/>
        <v>3171.2522223385326</v>
      </c>
      <c r="BY53" s="161">
        <f t="shared" si="50"/>
        <v>860519.2905315609</v>
      </c>
      <c r="BZ53" s="157">
        <f t="shared" si="21"/>
        <v>0</v>
      </c>
      <c r="CA53" s="161">
        <f t="shared" si="75"/>
        <v>0</v>
      </c>
      <c r="CB53" s="156">
        <f t="shared" si="23"/>
        <v>0</v>
      </c>
      <c r="CC53" s="161">
        <f t="shared" si="94"/>
        <v>0</v>
      </c>
      <c r="CD53" s="162">
        <f t="shared" si="62"/>
        <v>271.35000000000002</v>
      </c>
      <c r="CE53" s="163">
        <v>3.6</v>
      </c>
      <c r="CF53" s="164">
        <v>11.2</v>
      </c>
      <c r="CG53" s="165">
        <f t="shared" si="51"/>
        <v>14.396799999999999</v>
      </c>
      <c r="CH53" s="166">
        <f t="shared" si="107"/>
        <v>3906.57168</v>
      </c>
      <c r="CI53" s="167">
        <v>42.47</v>
      </c>
      <c r="CJ53" s="166">
        <f t="shared" si="110"/>
        <v>11524.2345</v>
      </c>
      <c r="CK53" s="168">
        <v>4.47</v>
      </c>
      <c r="CL53" s="166">
        <f t="shared" si="26"/>
        <v>1212.9345000000001</v>
      </c>
      <c r="CM53" s="167">
        <v>25.19</v>
      </c>
      <c r="CN53" s="166">
        <f t="shared" si="27"/>
        <v>6835.3065000000006</v>
      </c>
      <c r="CO53" s="169">
        <f t="shared" si="28"/>
        <v>3908.0550999999996</v>
      </c>
      <c r="CP53" s="166">
        <f t="shared" si="29"/>
        <v>1060450.7513850001</v>
      </c>
      <c r="CQ53" s="167">
        <v>3539</v>
      </c>
      <c r="CR53" s="166">
        <f t="shared" si="111"/>
        <v>960307.65</v>
      </c>
      <c r="CS53" s="170">
        <f t="shared" si="30"/>
        <v>42.767863498377473</v>
      </c>
      <c r="CT53" s="166">
        <f t="shared" si="31"/>
        <v>11605.059760284728</v>
      </c>
      <c r="CU53" s="168">
        <v>3.8</v>
      </c>
      <c r="CV53" s="166">
        <f t="shared" si="77"/>
        <v>1031.1300000000001</v>
      </c>
      <c r="CW53" s="170">
        <f t="shared" si="78"/>
        <v>25.366670155971946</v>
      </c>
      <c r="CX53" s="166">
        <f t="shared" si="79"/>
        <v>6883.2459468229881</v>
      </c>
      <c r="CY53" s="171">
        <v>3764</v>
      </c>
      <c r="CZ53" s="166">
        <f t="shared" si="81"/>
        <v>1021361.4000000001</v>
      </c>
      <c r="DA53" s="170" t="str">
        <f t="shared" si="83"/>
        <v>G12</v>
      </c>
      <c r="DB53" s="171">
        <f t="shared" si="38"/>
        <v>3171.2522223385326</v>
      </c>
      <c r="DC53" s="166">
        <f t="shared" si="69"/>
        <v>860519.2905315609</v>
      </c>
      <c r="DD53" s="170">
        <f t="shared" si="54"/>
        <v>38.056818842248511</v>
      </c>
      <c r="DE53" s="221">
        <f t="shared" si="55"/>
        <v>10326.717792844134</v>
      </c>
      <c r="DF53" s="222">
        <f t="shared" si="56"/>
        <v>10.596799999999998</v>
      </c>
      <c r="DG53" s="221">
        <f t="shared" si="57"/>
        <v>2875.4416799999999</v>
      </c>
      <c r="DH53" s="172">
        <f t="shared" si="40"/>
        <v>-5</v>
      </c>
      <c r="DI53" s="173">
        <f t="shared" si="95"/>
        <v>0</v>
      </c>
      <c r="DJ53" s="174" t="e">
        <f t="shared" si="96"/>
        <v>#VALUE!</v>
      </c>
      <c r="DK53" s="175">
        <f t="shared" si="97"/>
        <v>1586</v>
      </c>
      <c r="DL53" s="176" t="e">
        <f t="shared" si="98"/>
        <v>#VALUE!</v>
      </c>
      <c r="DM53" s="175" t="e">
        <f t="shared" si="99"/>
        <v>#VALUE!</v>
      </c>
      <c r="DN53" s="177"/>
      <c r="DO53" s="178">
        <f t="shared" si="46"/>
        <v>0</v>
      </c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80"/>
      <c r="EC53" s="181">
        <f t="shared" si="47"/>
        <v>0</v>
      </c>
      <c r="EE53" s="181"/>
    </row>
    <row r="54" spans="1:138" s="182" customFormat="1" ht="30">
      <c r="A54" s="74">
        <v>77</v>
      </c>
      <c r="B54" s="74">
        <v>118</v>
      </c>
      <c r="C54" s="138">
        <v>45831</v>
      </c>
      <c r="D54" s="139">
        <v>151000156</v>
      </c>
      <c r="E54" s="138">
        <v>45831</v>
      </c>
      <c r="F54" s="138"/>
      <c r="G54" s="138"/>
      <c r="H54" s="649"/>
      <c r="I54" s="141">
        <v>2417.16</v>
      </c>
      <c r="J54" s="142">
        <f>(Y54/X52)*100</f>
        <v>68.163850129891003</v>
      </c>
      <c r="K54" s="143">
        <f>ROUND(((J54*H52)/100),2)</f>
        <v>2417.16</v>
      </c>
      <c r="L54" s="652"/>
      <c r="M54" s="144"/>
      <c r="N54" s="144">
        <v>2417.16</v>
      </c>
      <c r="O54" s="522" t="s">
        <v>180</v>
      </c>
      <c r="P54" s="145" t="s">
        <v>72</v>
      </c>
      <c r="Q54" s="146" t="s">
        <v>231</v>
      </c>
      <c r="R54" s="145"/>
      <c r="S54" s="145" t="s">
        <v>181</v>
      </c>
      <c r="T54" s="145"/>
      <c r="U54" s="147" t="s">
        <v>182</v>
      </c>
      <c r="V54" s="147" t="s">
        <v>183</v>
      </c>
      <c r="W54" s="147">
        <v>4150</v>
      </c>
      <c r="X54" s="655"/>
      <c r="Y54" s="148">
        <v>2545.17</v>
      </c>
      <c r="Z54" s="150"/>
      <c r="AA54" s="149"/>
      <c r="AB54" s="150"/>
      <c r="AC54" s="151"/>
      <c r="AD54" s="151"/>
      <c r="AE54" s="152">
        <f t="shared" si="0"/>
        <v>0</v>
      </c>
      <c r="AF54" s="151"/>
      <c r="AG54" s="152">
        <f t="shared" si="102"/>
        <v>0</v>
      </c>
      <c r="AH54" s="151"/>
      <c r="AI54" s="152">
        <f t="shared" si="103"/>
        <v>0</v>
      </c>
      <c r="AJ54" s="149"/>
      <c r="AK54" s="152">
        <f t="shared" si="104"/>
        <v>0</v>
      </c>
      <c r="AL54" s="149"/>
      <c r="AM54" s="151"/>
      <c r="AN54" s="152">
        <f t="shared" si="3"/>
        <v>0</v>
      </c>
      <c r="AO54" s="151"/>
      <c r="AP54" s="152">
        <f t="shared" si="4"/>
        <v>0</v>
      </c>
      <c r="AQ54" s="174">
        <f t="shared" si="106"/>
        <v>4150</v>
      </c>
      <c r="AR54" s="152">
        <f t="shared" si="48"/>
        <v>10031214</v>
      </c>
      <c r="AS54" s="149"/>
      <c r="AT54" s="149">
        <f t="shared" si="5"/>
        <v>4150</v>
      </c>
      <c r="AU54" s="152">
        <f t="shared" si="71"/>
        <v>0</v>
      </c>
      <c r="AV54" s="149">
        <f t="shared" si="7"/>
        <v>0</v>
      </c>
      <c r="AW54" s="152">
        <f t="shared" si="73"/>
        <v>0</v>
      </c>
      <c r="AX54" s="151">
        <f t="shared" si="9"/>
        <v>0</v>
      </c>
      <c r="AY54" s="152">
        <f t="shared" si="74"/>
        <v>0</v>
      </c>
      <c r="AZ54" s="153"/>
      <c r="BA54" s="153"/>
      <c r="BB54" s="153"/>
      <c r="BC54" s="154">
        <f t="shared" si="11"/>
        <v>0</v>
      </c>
      <c r="BD54" s="155">
        <f t="shared" si="68"/>
        <v>0</v>
      </c>
      <c r="BE54" s="156"/>
      <c r="BF54" s="157"/>
      <c r="BG54" s="157"/>
      <c r="BH54" s="156"/>
      <c r="BI54" s="158">
        <f t="shared" si="14"/>
        <v>0</v>
      </c>
      <c r="BJ54" s="156"/>
      <c r="BK54" s="158">
        <f t="shared" si="15"/>
        <v>0</v>
      </c>
      <c r="BL54" s="156"/>
      <c r="BM54" s="159">
        <f t="shared" si="16"/>
        <v>0</v>
      </c>
      <c r="BN54" s="157"/>
      <c r="BO54" s="159">
        <f t="shared" si="17"/>
        <v>0</v>
      </c>
      <c r="BP54" s="160"/>
      <c r="BQ54" s="156"/>
      <c r="BR54" s="158">
        <f t="shared" si="18"/>
        <v>0</v>
      </c>
      <c r="BS54" s="156"/>
      <c r="BT54" s="159">
        <f t="shared" si="19"/>
        <v>0</v>
      </c>
      <c r="BU54" s="472">
        <f t="shared" si="108"/>
        <v>3563.8207892808541</v>
      </c>
      <c r="BV54" s="161">
        <f t="shared" si="49"/>
        <v>8614325.059018109</v>
      </c>
      <c r="BW54" s="157"/>
      <c r="BX54" s="472">
        <f t="shared" si="109"/>
        <v>3171.2522223385326</v>
      </c>
      <c r="BY54" s="161">
        <f t="shared" si="50"/>
        <v>7665424.021747807</v>
      </c>
      <c r="BZ54" s="157">
        <f t="shared" si="21"/>
        <v>0</v>
      </c>
      <c r="CA54" s="161">
        <f t="shared" si="75"/>
        <v>0</v>
      </c>
      <c r="CB54" s="156">
        <f t="shared" si="23"/>
        <v>0</v>
      </c>
      <c r="CC54" s="161">
        <f t="shared" si="94"/>
        <v>0</v>
      </c>
      <c r="CD54" s="162">
        <f t="shared" si="62"/>
        <v>2417.16</v>
      </c>
      <c r="CE54" s="163">
        <v>3.6</v>
      </c>
      <c r="CF54" s="164">
        <v>11.2</v>
      </c>
      <c r="CG54" s="165">
        <f t="shared" si="51"/>
        <v>14.396799999999999</v>
      </c>
      <c r="CH54" s="166">
        <f t="shared" si="107"/>
        <v>34799.369087999992</v>
      </c>
      <c r="CI54" s="167">
        <v>42.47</v>
      </c>
      <c r="CJ54" s="166">
        <f t="shared" si="110"/>
        <v>102656.78519999998</v>
      </c>
      <c r="CK54" s="168">
        <v>4.47</v>
      </c>
      <c r="CL54" s="166">
        <f t="shared" si="26"/>
        <v>10804.705199999999</v>
      </c>
      <c r="CM54" s="167">
        <v>25.19</v>
      </c>
      <c r="CN54" s="166">
        <f t="shared" si="27"/>
        <v>60888.260399999999</v>
      </c>
      <c r="CO54" s="169">
        <f t="shared" si="28"/>
        <v>3908.0550999999996</v>
      </c>
      <c r="CP54" s="166">
        <f t="shared" si="29"/>
        <v>9446394.4655159991</v>
      </c>
      <c r="CQ54" s="167">
        <v>3539</v>
      </c>
      <c r="CR54" s="166">
        <f t="shared" si="111"/>
        <v>8554329.2400000002</v>
      </c>
      <c r="CS54" s="170">
        <f t="shared" si="30"/>
        <v>42.767863498377473</v>
      </c>
      <c r="CT54" s="166">
        <f t="shared" si="31"/>
        <v>103376.76893373809</v>
      </c>
      <c r="CU54" s="168">
        <v>3.8</v>
      </c>
      <c r="CV54" s="166">
        <f t="shared" si="77"/>
        <v>9185.2079999999987</v>
      </c>
      <c r="CW54" s="170">
        <f t="shared" si="78"/>
        <v>25.366670155971946</v>
      </c>
      <c r="CX54" s="166">
        <f t="shared" si="79"/>
        <v>61315.300434209144</v>
      </c>
      <c r="CY54" s="171">
        <f t="shared" si="80"/>
        <v>3563.8207892808541</v>
      </c>
      <c r="CZ54" s="166">
        <f t="shared" si="81"/>
        <v>8614325.059018109</v>
      </c>
      <c r="DA54" s="170" t="str">
        <f t="shared" si="83"/>
        <v>G13</v>
      </c>
      <c r="DB54" s="171">
        <f t="shared" si="38"/>
        <v>3171.2522223385326</v>
      </c>
      <c r="DC54" s="166">
        <f t="shared" si="69"/>
        <v>7665424.021747807</v>
      </c>
      <c r="DD54" s="170">
        <f t="shared" si="54"/>
        <v>38.056818842248511</v>
      </c>
      <c r="DE54" s="221">
        <f t="shared" si="55"/>
        <v>91989.420232729404</v>
      </c>
      <c r="DF54" s="222">
        <f t="shared" si="56"/>
        <v>10.596799999999998</v>
      </c>
      <c r="DG54" s="221">
        <f t="shared" si="57"/>
        <v>25614.161087999993</v>
      </c>
      <c r="DH54" s="172">
        <f t="shared" si="40"/>
        <v>-2</v>
      </c>
      <c r="DI54" s="173">
        <f t="shared" si="95"/>
        <v>0</v>
      </c>
      <c r="DJ54" s="174" t="e">
        <f t="shared" si="96"/>
        <v>#VALUE!</v>
      </c>
      <c r="DK54" s="175">
        <f t="shared" si="97"/>
        <v>586.17921071914589</v>
      </c>
      <c r="DL54" s="176" t="e">
        <f t="shared" si="98"/>
        <v>#VALUE!</v>
      </c>
      <c r="DM54" s="175" t="e">
        <f t="shared" si="99"/>
        <v>#VALUE!</v>
      </c>
      <c r="DN54" s="177"/>
      <c r="DO54" s="178">
        <f t="shared" si="46"/>
        <v>0</v>
      </c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80"/>
      <c r="EC54" s="181">
        <f t="shared" si="47"/>
        <v>0</v>
      </c>
      <c r="EE54" s="181"/>
    </row>
    <row r="55" spans="1:138" s="182" customFormat="1" ht="30">
      <c r="A55" s="74">
        <v>78</v>
      </c>
      <c r="B55" s="74">
        <v>120</v>
      </c>
      <c r="C55" s="138">
        <v>45832</v>
      </c>
      <c r="D55" s="139">
        <v>151001353</v>
      </c>
      <c r="E55" s="138">
        <v>45830</v>
      </c>
      <c r="F55" s="138"/>
      <c r="G55" s="138"/>
      <c r="H55" s="140">
        <v>3945.45</v>
      </c>
      <c r="I55" s="141">
        <v>3945.45</v>
      </c>
      <c r="J55" s="142"/>
      <c r="K55" s="568"/>
      <c r="L55" s="337">
        <v>59</v>
      </c>
      <c r="M55" s="144"/>
      <c r="N55" s="144">
        <v>3945.45</v>
      </c>
      <c r="O55" s="522" t="s">
        <v>180</v>
      </c>
      <c r="P55" s="145" t="s">
        <v>71</v>
      </c>
      <c r="Q55" s="146" t="s">
        <v>52</v>
      </c>
      <c r="R55" s="145"/>
      <c r="S55" s="145" t="s">
        <v>181</v>
      </c>
      <c r="T55" s="145"/>
      <c r="U55" s="147" t="s">
        <v>188</v>
      </c>
      <c r="V55" s="147" t="s">
        <v>189</v>
      </c>
      <c r="W55" s="147">
        <v>4450</v>
      </c>
      <c r="X55" s="519">
        <v>4057.05</v>
      </c>
      <c r="Y55" s="148">
        <v>4057.05</v>
      </c>
      <c r="Z55" s="150"/>
      <c r="AA55" s="149"/>
      <c r="AB55" s="150"/>
      <c r="AC55" s="151"/>
      <c r="AD55" s="151"/>
      <c r="AE55" s="152">
        <f t="shared" si="0"/>
        <v>0</v>
      </c>
      <c r="AF55" s="151"/>
      <c r="AG55" s="152">
        <f t="shared" si="102"/>
        <v>0</v>
      </c>
      <c r="AH55" s="151"/>
      <c r="AI55" s="152">
        <f t="shared" si="103"/>
        <v>0</v>
      </c>
      <c r="AJ55" s="149"/>
      <c r="AK55" s="152">
        <f t="shared" si="104"/>
        <v>0</v>
      </c>
      <c r="AL55" s="149"/>
      <c r="AM55" s="151"/>
      <c r="AN55" s="152">
        <f t="shared" si="3"/>
        <v>0</v>
      </c>
      <c r="AO55" s="151"/>
      <c r="AP55" s="152">
        <f t="shared" si="4"/>
        <v>0</v>
      </c>
      <c r="AQ55" s="174">
        <f t="shared" si="106"/>
        <v>4450</v>
      </c>
      <c r="AR55" s="152">
        <f t="shared" si="48"/>
        <v>17557252.5</v>
      </c>
      <c r="AS55" s="149"/>
      <c r="AT55" s="149">
        <f t="shared" si="5"/>
        <v>4450</v>
      </c>
      <c r="AU55" s="152">
        <f t="shared" si="71"/>
        <v>0</v>
      </c>
      <c r="AV55" s="149">
        <f t="shared" si="7"/>
        <v>0</v>
      </c>
      <c r="AW55" s="152">
        <f t="shared" si="73"/>
        <v>0</v>
      </c>
      <c r="AX55" s="151">
        <f t="shared" si="9"/>
        <v>0</v>
      </c>
      <c r="AY55" s="152">
        <f t="shared" si="74"/>
        <v>0</v>
      </c>
      <c r="AZ55" s="153"/>
      <c r="BA55" s="153"/>
      <c r="BB55" s="153"/>
      <c r="BC55" s="154">
        <f t="shared" si="11"/>
        <v>0</v>
      </c>
      <c r="BD55" s="155">
        <f t="shared" si="68"/>
        <v>0</v>
      </c>
      <c r="BE55" s="156"/>
      <c r="BF55" s="157"/>
      <c r="BG55" s="157"/>
      <c r="BH55" s="156"/>
      <c r="BI55" s="158">
        <f t="shared" si="14"/>
        <v>0</v>
      </c>
      <c r="BJ55" s="156"/>
      <c r="BK55" s="158">
        <f t="shared" si="15"/>
        <v>0</v>
      </c>
      <c r="BL55" s="156"/>
      <c r="BM55" s="159">
        <f t="shared" si="16"/>
        <v>0</v>
      </c>
      <c r="BN55" s="157"/>
      <c r="BO55" s="159">
        <f t="shared" si="17"/>
        <v>0</v>
      </c>
      <c r="BP55" s="160"/>
      <c r="BQ55" s="156"/>
      <c r="BR55" s="158">
        <f t="shared" si="18"/>
        <v>0</v>
      </c>
      <c r="BS55" s="156"/>
      <c r="BT55" s="159">
        <f t="shared" si="19"/>
        <v>0</v>
      </c>
      <c r="BU55" s="472">
        <f t="shared" si="108"/>
        <v>3782.3904721395147</v>
      </c>
      <c r="BV55" s="161">
        <f t="shared" si="49"/>
        <v>14923232.488302847</v>
      </c>
      <c r="BW55" s="157"/>
      <c r="BX55" s="472">
        <f t="shared" si="109"/>
        <v>3457.3511867290517</v>
      </c>
      <c r="BY55" s="161">
        <f t="shared" si="50"/>
        <v>13640806.239680136</v>
      </c>
      <c r="BZ55" s="157">
        <f t="shared" si="21"/>
        <v>0</v>
      </c>
      <c r="CA55" s="161">
        <f t="shared" si="75"/>
        <v>0</v>
      </c>
      <c r="CB55" s="156">
        <f t="shared" si="23"/>
        <v>0</v>
      </c>
      <c r="CC55" s="161">
        <f t="shared" si="94"/>
        <v>0</v>
      </c>
      <c r="CD55" s="162">
        <f t="shared" si="62"/>
        <v>3945.45</v>
      </c>
      <c r="CE55" s="163">
        <v>4.5999999999999996</v>
      </c>
      <c r="CF55" s="164">
        <v>9.36</v>
      </c>
      <c r="CG55" s="165">
        <f t="shared" si="51"/>
        <v>13.529439999999999</v>
      </c>
      <c r="CH55" s="166">
        <f t="shared" si="107"/>
        <v>53379.729047999994</v>
      </c>
      <c r="CI55" s="167">
        <v>43</v>
      </c>
      <c r="CJ55" s="166">
        <f t="shared" si="110"/>
        <v>169654.35</v>
      </c>
      <c r="CK55" s="168">
        <v>5.96</v>
      </c>
      <c r="CL55" s="166">
        <f t="shared" si="26"/>
        <v>23514.881999999998</v>
      </c>
      <c r="CM55" s="167">
        <v>24.31</v>
      </c>
      <c r="CN55" s="166">
        <f t="shared" si="27"/>
        <v>95913.88949999999</v>
      </c>
      <c r="CO55" s="169">
        <f t="shared" si="28"/>
        <v>3641.2923999999994</v>
      </c>
      <c r="CP55" s="166">
        <f t="shared" si="29"/>
        <v>14366537.099579997</v>
      </c>
      <c r="CQ55" s="167">
        <v>3760</v>
      </c>
      <c r="CR55" s="166">
        <f t="shared" si="111"/>
        <v>14834892</v>
      </c>
      <c r="CS55" s="170">
        <f t="shared" si="30"/>
        <v>43.256061250531687</v>
      </c>
      <c r="CT55" s="166">
        <f t="shared" si="31"/>
        <v>170664.62686091024</v>
      </c>
      <c r="CU55" s="168">
        <v>5.4</v>
      </c>
      <c r="CV55" s="166">
        <f t="shared" si="77"/>
        <v>21305.43</v>
      </c>
      <c r="CW55" s="170">
        <f t="shared" si="78"/>
        <v>24.454763930242446</v>
      </c>
      <c r="CX55" s="166">
        <f t="shared" si="79"/>
        <v>96485.048348575059</v>
      </c>
      <c r="CY55" s="171">
        <f t="shared" si="80"/>
        <v>3782.3904721395147</v>
      </c>
      <c r="CZ55" s="166">
        <f t="shared" si="81"/>
        <v>14923232.488302847</v>
      </c>
      <c r="DA55" s="170" t="str">
        <f t="shared" si="83"/>
        <v>G12</v>
      </c>
      <c r="DB55" s="171">
        <f t="shared" si="38"/>
        <v>3457.3511867290517</v>
      </c>
      <c r="DC55" s="166">
        <f t="shared" si="69"/>
        <v>13640806.239680136</v>
      </c>
      <c r="DD55" s="170">
        <f t="shared" si="54"/>
        <v>39.538856656741814</v>
      </c>
      <c r="DE55" s="221">
        <f t="shared" si="55"/>
        <v>155998.58199634199</v>
      </c>
      <c r="DF55" s="222">
        <f t="shared" si="56"/>
        <v>8.1294399999999989</v>
      </c>
      <c r="DG55" s="221">
        <f t="shared" si="57"/>
        <v>32074.299047999993</v>
      </c>
      <c r="DH55" s="172">
        <f t="shared" si="40"/>
        <v>-2</v>
      </c>
      <c r="DI55" s="173">
        <f t="shared" si="95"/>
        <v>0</v>
      </c>
      <c r="DJ55" s="174" t="e">
        <f t="shared" si="96"/>
        <v>#VALUE!</v>
      </c>
      <c r="DK55" s="175">
        <f t="shared" si="97"/>
        <v>667.60952786048529</v>
      </c>
      <c r="DL55" s="176" t="e">
        <f t="shared" si="98"/>
        <v>#VALUE!</v>
      </c>
      <c r="DM55" s="175" t="e">
        <f t="shared" si="99"/>
        <v>#VALUE!</v>
      </c>
      <c r="DN55" s="177"/>
      <c r="DO55" s="178">
        <f t="shared" si="46"/>
        <v>0</v>
      </c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80"/>
      <c r="EC55" s="181">
        <f t="shared" si="47"/>
        <v>0</v>
      </c>
      <c r="EE55" s="181"/>
    </row>
    <row r="56" spans="1:138" s="182" customFormat="1" ht="30">
      <c r="A56" s="74">
        <v>80</v>
      </c>
      <c r="B56" s="74">
        <v>124</v>
      </c>
      <c r="C56" s="138">
        <v>45833</v>
      </c>
      <c r="D56" s="139">
        <v>151000187</v>
      </c>
      <c r="E56" s="138">
        <v>45832</v>
      </c>
      <c r="F56" s="138"/>
      <c r="G56" s="138"/>
      <c r="H56" s="140">
        <v>3989.55</v>
      </c>
      <c r="I56" s="141">
        <v>3989.55</v>
      </c>
      <c r="J56" s="142"/>
      <c r="K56" s="568"/>
      <c r="L56" s="337">
        <v>59</v>
      </c>
      <c r="M56" s="144"/>
      <c r="N56" s="144">
        <v>3989.55</v>
      </c>
      <c r="O56" s="522" t="s">
        <v>180</v>
      </c>
      <c r="P56" s="145" t="s">
        <v>70</v>
      </c>
      <c r="Q56" s="146" t="s">
        <v>64</v>
      </c>
      <c r="R56" s="145"/>
      <c r="S56" s="145" t="s">
        <v>181</v>
      </c>
      <c r="T56" s="145"/>
      <c r="U56" s="147" t="s">
        <v>188</v>
      </c>
      <c r="V56" s="147" t="s">
        <v>189</v>
      </c>
      <c r="W56" s="147">
        <v>4450</v>
      </c>
      <c r="X56" s="519">
        <v>4130</v>
      </c>
      <c r="Y56" s="148">
        <v>4130</v>
      </c>
      <c r="Z56" s="150"/>
      <c r="AA56" s="149"/>
      <c r="AB56" s="150"/>
      <c r="AC56" s="151"/>
      <c r="AD56" s="151"/>
      <c r="AE56" s="152">
        <f t="shared" si="0"/>
        <v>0</v>
      </c>
      <c r="AF56" s="151"/>
      <c r="AG56" s="152">
        <f t="shared" si="102"/>
        <v>0</v>
      </c>
      <c r="AH56" s="151"/>
      <c r="AI56" s="152">
        <f t="shared" si="103"/>
        <v>0</v>
      </c>
      <c r="AJ56" s="149"/>
      <c r="AK56" s="152">
        <f t="shared" si="104"/>
        <v>0</v>
      </c>
      <c r="AL56" s="149"/>
      <c r="AM56" s="151"/>
      <c r="AN56" s="152">
        <f t="shared" si="3"/>
        <v>0</v>
      </c>
      <c r="AO56" s="151"/>
      <c r="AP56" s="152">
        <f t="shared" si="4"/>
        <v>0</v>
      </c>
      <c r="AQ56" s="174">
        <f t="shared" si="106"/>
        <v>4450</v>
      </c>
      <c r="AR56" s="152">
        <f t="shared" si="48"/>
        <v>17753497.5</v>
      </c>
      <c r="AS56" s="149"/>
      <c r="AT56" s="149">
        <f t="shared" si="5"/>
        <v>4450</v>
      </c>
      <c r="AU56" s="152">
        <f t="shared" si="71"/>
        <v>0</v>
      </c>
      <c r="AV56" s="149">
        <f t="shared" si="7"/>
        <v>0</v>
      </c>
      <c r="AW56" s="152">
        <f t="shared" si="73"/>
        <v>0</v>
      </c>
      <c r="AX56" s="151">
        <f t="shared" si="9"/>
        <v>0</v>
      </c>
      <c r="AY56" s="152">
        <f t="shared" si="74"/>
        <v>0</v>
      </c>
      <c r="AZ56" s="153"/>
      <c r="BA56" s="153"/>
      <c r="BB56" s="153"/>
      <c r="BC56" s="154">
        <f t="shared" si="11"/>
        <v>0</v>
      </c>
      <c r="BD56" s="155">
        <f t="shared" si="68"/>
        <v>0</v>
      </c>
      <c r="BE56" s="156"/>
      <c r="BF56" s="157"/>
      <c r="BG56" s="157"/>
      <c r="BH56" s="156"/>
      <c r="BI56" s="158">
        <f t="shared" si="14"/>
        <v>0</v>
      </c>
      <c r="BJ56" s="156"/>
      <c r="BK56" s="158">
        <f t="shared" si="15"/>
        <v>0</v>
      </c>
      <c r="BL56" s="156"/>
      <c r="BM56" s="159">
        <f t="shared" si="16"/>
        <v>0</v>
      </c>
      <c r="BN56" s="157"/>
      <c r="BO56" s="159">
        <f t="shared" si="17"/>
        <v>0</v>
      </c>
      <c r="BP56" s="160"/>
      <c r="BQ56" s="156"/>
      <c r="BR56" s="158">
        <f t="shared" si="18"/>
        <v>0</v>
      </c>
      <c r="BS56" s="156"/>
      <c r="BT56" s="159">
        <f t="shared" si="19"/>
        <v>0</v>
      </c>
      <c r="BU56" s="472">
        <f t="shared" si="108"/>
        <v>4305.4850280051705</v>
      </c>
      <c r="BV56" s="161">
        <f t="shared" si="49"/>
        <v>17176947.793478031</v>
      </c>
      <c r="BW56" s="157"/>
      <c r="BX56" s="472">
        <f t="shared" si="109"/>
        <v>3991.1319063981041</v>
      </c>
      <c r="BY56" s="161">
        <f t="shared" si="50"/>
        <v>15922820.297170557</v>
      </c>
      <c r="BZ56" s="157">
        <f t="shared" si="21"/>
        <v>0</v>
      </c>
      <c r="CA56" s="161">
        <f t="shared" si="75"/>
        <v>0</v>
      </c>
      <c r="CB56" s="156">
        <f t="shared" si="23"/>
        <v>0</v>
      </c>
      <c r="CC56" s="161">
        <f t="shared" si="94"/>
        <v>0</v>
      </c>
      <c r="CD56" s="162">
        <f t="shared" si="62"/>
        <v>3989.55</v>
      </c>
      <c r="CE56" s="163">
        <v>4.3</v>
      </c>
      <c r="CF56" s="164">
        <v>9.81</v>
      </c>
      <c r="CG56" s="165">
        <f t="shared" si="51"/>
        <v>13.68817</v>
      </c>
      <c r="CH56" s="166">
        <f t="shared" si="107"/>
        <v>54609.638623500003</v>
      </c>
      <c r="CI56" s="167">
        <v>43.65</v>
      </c>
      <c r="CJ56" s="166">
        <f t="shared" si="110"/>
        <v>174143.85750000001</v>
      </c>
      <c r="CK56" s="168">
        <v>7.16</v>
      </c>
      <c r="CL56" s="166">
        <f t="shared" si="26"/>
        <v>28565.178000000004</v>
      </c>
      <c r="CM56" s="167">
        <v>25.36</v>
      </c>
      <c r="CN56" s="166">
        <f t="shared" si="27"/>
        <v>101174.988</v>
      </c>
      <c r="CO56" s="169">
        <f t="shared" si="28"/>
        <v>3405.4488999999994</v>
      </c>
      <c r="CP56" s="166">
        <f t="shared" si="29"/>
        <v>13586208.658994999</v>
      </c>
      <c r="CQ56" s="167">
        <v>4293</v>
      </c>
      <c r="CR56" s="166">
        <f t="shared" si="111"/>
        <v>17127138.150000002</v>
      </c>
      <c r="CS56" s="170">
        <f t="shared" si="30"/>
        <v>43.776944205084014</v>
      </c>
      <c r="CT56" s="166">
        <f t="shared" si="31"/>
        <v>174650.30775339293</v>
      </c>
      <c r="CU56" s="168">
        <v>6.89</v>
      </c>
      <c r="CV56" s="166">
        <f t="shared" si="77"/>
        <v>27487.999500000002</v>
      </c>
      <c r="CW56" s="170">
        <f t="shared" si="78"/>
        <v>25.433752692804827</v>
      </c>
      <c r="CX56" s="166">
        <f t="shared" si="79"/>
        <v>101469.2280555795</v>
      </c>
      <c r="CY56" s="171">
        <f t="shared" si="80"/>
        <v>4305.4850280051705</v>
      </c>
      <c r="CZ56" s="166">
        <f t="shared" si="81"/>
        <v>17176947.793478031</v>
      </c>
      <c r="DA56" s="170" t="str">
        <f t="shared" si="83"/>
        <v>G10</v>
      </c>
      <c r="DB56" s="171">
        <f t="shared" si="38"/>
        <v>3991.1319063981041</v>
      </c>
      <c r="DC56" s="166">
        <f t="shared" si="69"/>
        <v>15922820.297170557</v>
      </c>
      <c r="DD56" s="170">
        <f t="shared" si="54"/>
        <v>40.580691291469194</v>
      </c>
      <c r="DE56" s="221">
        <f t="shared" si="55"/>
        <v>161898.69694188092</v>
      </c>
      <c r="DF56" s="222">
        <f t="shared" si="56"/>
        <v>6.7981699999999998</v>
      </c>
      <c r="DG56" s="221">
        <f t="shared" si="57"/>
        <v>27121.639123500001</v>
      </c>
      <c r="DH56" s="172">
        <f t="shared" si="40"/>
        <v>0</v>
      </c>
      <c r="DI56" s="173">
        <f t="shared" si="95"/>
        <v>0</v>
      </c>
      <c r="DJ56" s="174" t="e">
        <f t="shared" si="96"/>
        <v>#VALUE!</v>
      </c>
      <c r="DK56" s="175">
        <f t="shared" si="97"/>
        <v>144.51497199482947</v>
      </c>
      <c r="DL56" s="176" t="e">
        <f t="shared" si="98"/>
        <v>#VALUE!</v>
      </c>
      <c r="DM56" s="175" t="e">
        <f t="shared" si="99"/>
        <v>#VALUE!</v>
      </c>
      <c r="DN56" s="177"/>
      <c r="DO56" s="178">
        <f t="shared" si="46"/>
        <v>0</v>
      </c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80"/>
      <c r="EC56" s="181">
        <f t="shared" si="47"/>
        <v>0</v>
      </c>
      <c r="EE56" s="181"/>
    </row>
    <row r="57" spans="1:138" s="182" customFormat="1" ht="30">
      <c r="A57" s="74">
        <v>84</v>
      </c>
      <c r="B57" s="74">
        <v>129</v>
      </c>
      <c r="C57" s="138">
        <v>45834</v>
      </c>
      <c r="D57" s="139">
        <v>161000001</v>
      </c>
      <c r="E57" s="138">
        <v>45833</v>
      </c>
      <c r="F57" s="138"/>
      <c r="G57" s="138"/>
      <c r="H57" s="140">
        <v>3640.15</v>
      </c>
      <c r="I57" s="141">
        <v>3640.15</v>
      </c>
      <c r="J57" s="142"/>
      <c r="K57" s="568"/>
      <c r="L57" s="337">
        <v>56</v>
      </c>
      <c r="M57" s="144"/>
      <c r="N57" s="144">
        <v>3640.15</v>
      </c>
      <c r="O57" s="522" t="s">
        <v>180</v>
      </c>
      <c r="P57" s="145" t="s">
        <v>272</v>
      </c>
      <c r="Q57" s="146" t="s">
        <v>277</v>
      </c>
      <c r="R57" s="145"/>
      <c r="S57" s="145" t="s">
        <v>181</v>
      </c>
      <c r="T57" s="145"/>
      <c r="U57" s="147" t="s">
        <v>182</v>
      </c>
      <c r="V57" s="147" t="s">
        <v>183</v>
      </c>
      <c r="W57" s="147">
        <v>4150</v>
      </c>
      <c r="X57" s="519">
        <v>3761.31</v>
      </c>
      <c r="Y57" s="148">
        <v>3761.31</v>
      </c>
      <c r="Z57" s="150"/>
      <c r="AA57" s="149"/>
      <c r="AB57" s="150"/>
      <c r="AC57" s="151"/>
      <c r="AD57" s="151"/>
      <c r="AE57" s="152">
        <f t="shared" si="0"/>
        <v>0</v>
      </c>
      <c r="AF57" s="151"/>
      <c r="AG57" s="152">
        <f t="shared" si="102"/>
        <v>0</v>
      </c>
      <c r="AH57" s="151"/>
      <c r="AI57" s="152">
        <f t="shared" si="103"/>
        <v>0</v>
      </c>
      <c r="AJ57" s="149"/>
      <c r="AK57" s="152">
        <f t="shared" si="104"/>
        <v>0</v>
      </c>
      <c r="AL57" s="149"/>
      <c r="AM57" s="151"/>
      <c r="AN57" s="152">
        <f t="shared" si="3"/>
        <v>0</v>
      </c>
      <c r="AO57" s="151"/>
      <c r="AP57" s="152">
        <f t="shared" si="4"/>
        <v>0</v>
      </c>
      <c r="AQ57" s="174">
        <f t="shared" si="106"/>
        <v>4150</v>
      </c>
      <c r="AR57" s="152">
        <f t="shared" si="48"/>
        <v>15106622.5</v>
      </c>
      <c r="AS57" s="149"/>
      <c r="AT57" s="149">
        <f t="shared" si="5"/>
        <v>4150</v>
      </c>
      <c r="AU57" s="152">
        <f t="shared" si="71"/>
        <v>0</v>
      </c>
      <c r="AV57" s="149">
        <f t="shared" ref="AV57:AV62" si="112">ROUND(((100-AD57)/(100-AM57)*AO57),2)</f>
        <v>0</v>
      </c>
      <c r="AW57" s="152">
        <f t="shared" si="73"/>
        <v>0</v>
      </c>
      <c r="AX57" s="151">
        <f t="shared" si="9"/>
        <v>0</v>
      </c>
      <c r="AY57" s="152">
        <f t="shared" si="74"/>
        <v>0</v>
      </c>
      <c r="AZ57" s="153"/>
      <c r="BA57" s="153"/>
      <c r="BB57" s="153"/>
      <c r="BC57" s="154">
        <f t="shared" si="11"/>
        <v>0</v>
      </c>
      <c r="BD57" s="155">
        <f t="shared" si="68"/>
        <v>0</v>
      </c>
      <c r="BE57" s="156"/>
      <c r="BF57" s="157"/>
      <c r="BG57" s="157"/>
      <c r="BH57" s="156"/>
      <c r="BI57" s="158">
        <f t="shared" si="14"/>
        <v>0</v>
      </c>
      <c r="BJ57" s="156"/>
      <c r="BK57" s="158">
        <f t="shared" si="15"/>
        <v>0</v>
      </c>
      <c r="BL57" s="156"/>
      <c r="BM57" s="159">
        <f t="shared" si="16"/>
        <v>0</v>
      </c>
      <c r="BN57" s="157"/>
      <c r="BO57" s="159">
        <f t="shared" si="17"/>
        <v>0</v>
      </c>
      <c r="BP57" s="160"/>
      <c r="BQ57" s="156"/>
      <c r="BR57" s="158">
        <f t="shared" si="18"/>
        <v>0</v>
      </c>
      <c r="BS57" s="156"/>
      <c r="BT57" s="159">
        <f t="shared" si="19"/>
        <v>0</v>
      </c>
      <c r="BU57" s="472">
        <f t="shared" si="108"/>
        <v>4186.4073627698035</v>
      </c>
      <c r="BV57" s="161">
        <f t="shared" si="49"/>
        <v>15239150.7615865</v>
      </c>
      <c r="BW57" s="157"/>
      <c r="BX57" s="472">
        <f t="shared" si="109"/>
        <v>3733.5485482633949</v>
      </c>
      <c r="BY57" s="161">
        <f t="shared" si="50"/>
        <v>13590676.747960998</v>
      </c>
      <c r="BZ57" s="157">
        <f t="shared" si="21"/>
        <v>0</v>
      </c>
      <c r="CA57" s="161">
        <f t="shared" si="75"/>
        <v>0</v>
      </c>
      <c r="CB57" s="156">
        <f t="shared" si="23"/>
        <v>0</v>
      </c>
      <c r="CC57" s="161">
        <f t="shared" si="94"/>
        <v>0</v>
      </c>
      <c r="CD57" s="162">
        <f t="shared" si="62"/>
        <v>3640.15</v>
      </c>
      <c r="CE57" s="163">
        <v>4</v>
      </c>
      <c r="CF57" s="164">
        <v>13.53</v>
      </c>
      <c r="CG57" s="165">
        <f t="shared" si="51"/>
        <v>16.988799999999998</v>
      </c>
      <c r="CH57" s="166">
        <f t="shared" si="107"/>
        <v>61841.780319999991</v>
      </c>
      <c r="CI57" s="167">
        <v>31.27</v>
      </c>
      <c r="CJ57" s="166">
        <f t="shared" ref="CJ57:CJ62" si="113">CI57*$CD57</f>
        <v>113827.4905</v>
      </c>
      <c r="CK57" s="168">
        <v>8.73</v>
      </c>
      <c r="CL57" s="166">
        <f t="shared" si="26"/>
        <v>31778.509500000004</v>
      </c>
      <c r="CM57" s="167">
        <v>28.63</v>
      </c>
      <c r="CN57" s="166">
        <f t="shared" si="27"/>
        <v>104217.4945</v>
      </c>
      <c r="CO57" s="169">
        <f t="shared" si="28"/>
        <v>4342.0014999999994</v>
      </c>
      <c r="CP57" s="166">
        <f t="shared" si="29"/>
        <v>15805536.760224998</v>
      </c>
      <c r="CQ57" s="167">
        <v>4105</v>
      </c>
      <c r="CR57" s="166">
        <f t="shared" ref="CR57:CR62" si="114">CQ57*$CD57</f>
        <v>14942815.75</v>
      </c>
      <c r="CS57" s="170">
        <f t="shared" si="30"/>
        <v>31.890123808480332</v>
      </c>
      <c r="CT57" s="166">
        <f t="shared" si="31"/>
        <v>116084.83418143968</v>
      </c>
      <c r="CU57" s="168">
        <v>6.92</v>
      </c>
      <c r="CV57" s="166">
        <f t="shared" si="77"/>
        <v>25189.838</v>
      </c>
      <c r="CW57" s="170">
        <f t="shared" si="78"/>
        <v>29.197769256053466</v>
      </c>
      <c r="CX57" s="166">
        <f t="shared" si="79"/>
        <v>106284.25975742303</v>
      </c>
      <c r="CY57" s="171">
        <f t="shared" si="80"/>
        <v>4186.4073627698035</v>
      </c>
      <c r="CZ57" s="166">
        <f t="shared" si="81"/>
        <v>15239150.7615865</v>
      </c>
      <c r="DA57" s="170" t="str">
        <f t="shared" si="83"/>
        <v>G11</v>
      </c>
      <c r="DB57" s="171">
        <f t="shared" si="38"/>
        <v>3733.5485482633949</v>
      </c>
      <c r="DC57" s="166">
        <f t="shared" si="69"/>
        <v>13590676.747960998</v>
      </c>
      <c r="DD57" s="170">
        <f t="shared" si="54"/>
        <v>28.4404538621672</v>
      </c>
      <c r="DE57" s="221">
        <f t="shared" si="55"/>
        <v>103527.51812636794</v>
      </c>
      <c r="DF57" s="222">
        <f t="shared" si="56"/>
        <v>10.068799999999998</v>
      </c>
      <c r="DG57" s="221">
        <f t="shared" si="57"/>
        <v>36651.942319999995</v>
      </c>
      <c r="DH57" s="172">
        <f t="shared" si="40"/>
        <v>0</v>
      </c>
      <c r="DI57" s="173">
        <f t="shared" si="95"/>
        <v>0</v>
      </c>
      <c r="DJ57" s="174" t="e">
        <f t="shared" si="96"/>
        <v>#VALUE!</v>
      </c>
      <c r="DK57" s="175">
        <f t="shared" si="97"/>
        <v>-36.407362769803512</v>
      </c>
      <c r="DL57" s="176" t="e">
        <f t="shared" si="98"/>
        <v>#VALUE!</v>
      </c>
      <c r="DM57" s="175" t="e">
        <f t="shared" si="99"/>
        <v>#VALUE!</v>
      </c>
      <c r="DN57" s="177"/>
      <c r="DO57" s="178">
        <f t="shared" si="46"/>
        <v>0</v>
      </c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80"/>
      <c r="EC57" s="181">
        <f t="shared" si="47"/>
        <v>0</v>
      </c>
      <c r="EE57" s="181"/>
    </row>
    <row r="58" spans="1:138" s="182" customFormat="1" ht="30">
      <c r="A58" s="74">
        <v>85</v>
      </c>
      <c r="B58" s="74">
        <v>130</v>
      </c>
      <c r="C58" s="138">
        <v>45834</v>
      </c>
      <c r="D58" s="139">
        <v>161016435</v>
      </c>
      <c r="E58" s="138">
        <v>45803</v>
      </c>
      <c r="F58" s="138"/>
      <c r="G58" s="138"/>
      <c r="H58" s="140">
        <v>3775.5</v>
      </c>
      <c r="I58" s="141">
        <v>3775.5</v>
      </c>
      <c r="J58" s="142"/>
      <c r="K58" s="568"/>
      <c r="L58" s="337">
        <v>56</v>
      </c>
      <c r="M58" s="144"/>
      <c r="N58" s="144">
        <v>3775.5</v>
      </c>
      <c r="O58" s="522" t="s">
        <v>180</v>
      </c>
      <c r="P58" s="145" t="s">
        <v>71</v>
      </c>
      <c r="Q58" s="146" t="s">
        <v>222</v>
      </c>
      <c r="R58" s="145"/>
      <c r="S58" s="145" t="s">
        <v>181</v>
      </c>
      <c r="T58" s="145"/>
      <c r="U58" s="147" t="s">
        <v>190</v>
      </c>
      <c r="V58" s="147" t="s">
        <v>194</v>
      </c>
      <c r="W58" s="147">
        <v>3550</v>
      </c>
      <c r="X58" s="519">
        <v>3945.1</v>
      </c>
      <c r="Y58" s="148">
        <v>3945.1</v>
      </c>
      <c r="Z58" s="150"/>
      <c r="AA58" s="149"/>
      <c r="AB58" s="150"/>
      <c r="AC58" s="151"/>
      <c r="AD58" s="151"/>
      <c r="AE58" s="152">
        <f t="shared" si="0"/>
        <v>0</v>
      </c>
      <c r="AF58" s="151"/>
      <c r="AG58" s="152">
        <f t="shared" si="102"/>
        <v>0</v>
      </c>
      <c r="AH58" s="151"/>
      <c r="AI58" s="152">
        <f t="shared" si="103"/>
        <v>0</v>
      </c>
      <c r="AJ58" s="149"/>
      <c r="AK58" s="152">
        <f t="shared" si="104"/>
        <v>0</v>
      </c>
      <c r="AL58" s="149"/>
      <c r="AM58" s="151"/>
      <c r="AN58" s="152">
        <f t="shared" si="3"/>
        <v>0</v>
      </c>
      <c r="AO58" s="151"/>
      <c r="AP58" s="152">
        <f t="shared" si="4"/>
        <v>0</v>
      </c>
      <c r="AQ58" s="174">
        <f t="shared" si="106"/>
        <v>3550</v>
      </c>
      <c r="AR58" s="152">
        <f t="shared" si="48"/>
        <v>13403025</v>
      </c>
      <c r="AS58" s="149"/>
      <c r="AT58" s="149">
        <f t="shared" si="5"/>
        <v>3550</v>
      </c>
      <c r="AU58" s="152">
        <f t="shared" si="71"/>
        <v>0</v>
      </c>
      <c r="AV58" s="149">
        <f t="shared" si="112"/>
        <v>0</v>
      </c>
      <c r="AW58" s="152">
        <f t="shared" si="73"/>
        <v>0</v>
      </c>
      <c r="AX58" s="151">
        <f t="shared" si="9"/>
        <v>0</v>
      </c>
      <c r="AY58" s="152">
        <f t="shared" si="74"/>
        <v>0</v>
      </c>
      <c r="AZ58" s="153"/>
      <c r="BA58" s="153"/>
      <c r="BB58" s="153"/>
      <c r="BC58" s="154">
        <f t="shared" si="11"/>
        <v>0</v>
      </c>
      <c r="BD58" s="155">
        <f t="shared" si="68"/>
        <v>0</v>
      </c>
      <c r="BE58" s="156"/>
      <c r="BF58" s="157"/>
      <c r="BG58" s="157"/>
      <c r="BH58" s="156"/>
      <c r="BI58" s="158">
        <f t="shared" si="14"/>
        <v>0</v>
      </c>
      <c r="BJ58" s="156"/>
      <c r="BK58" s="158">
        <f t="shared" si="15"/>
        <v>0</v>
      </c>
      <c r="BL58" s="156"/>
      <c r="BM58" s="159">
        <f t="shared" si="16"/>
        <v>0</v>
      </c>
      <c r="BN58" s="157"/>
      <c r="BO58" s="159">
        <f t="shared" si="17"/>
        <v>0</v>
      </c>
      <c r="BP58" s="160"/>
      <c r="BQ58" s="156"/>
      <c r="BR58" s="158">
        <f t="shared" si="18"/>
        <v>0</v>
      </c>
      <c r="BS58" s="156"/>
      <c r="BT58" s="159">
        <f t="shared" si="19"/>
        <v>0</v>
      </c>
      <c r="BU58" s="472">
        <f t="shared" si="108"/>
        <v>3911.3987188911055</v>
      </c>
      <c r="BV58" s="161">
        <f t="shared" si="49"/>
        <v>14767485.863173369</v>
      </c>
      <c r="BW58" s="157"/>
      <c r="BX58" s="472">
        <f t="shared" si="109"/>
        <v>3525.9862228289398</v>
      </c>
      <c r="BY58" s="161">
        <f t="shared" si="50"/>
        <v>13312360.984290663</v>
      </c>
      <c r="BZ58" s="157">
        <f t="shared" si="21"/>
        <v>0</v>
      </c>
      <c r="CA58" s="161">
        <f t="shared" si="75"/>
        <v>0</v>
      </c>
      <c r="CB58" s="156">
        <f t="shared" si="23"/>
        <v>0</v>
      </c>
      <c r="CC58" s="161">
        <f t="shared" si="94"/>
        <v>0</v>
      </c>
      <c r="CD58" s="162">
        <f t="shared" si="62"/>
        <v>3775.5</v>
      </c>
      <c r="CE58" s="163">
        <v>5.7</v>
      </c>
      <c r="CF58" s="164">
        <v>9.2799999999999994</v>
      </c>
      <c r="CG58" s="165">
        <f t="shared" si="51"/>
        <v>14.451039999999999</v>
      </c>
      <c r="CH58" s="166">
        <f t="shared" si="107"/>
        <v>54559.901519999999</v>
      </c>
      <c r="CI58" s="167">
        <v>50.32</v>
      </c>
      <c r="CJ58" s="166">
        <f t="shared" si="113"/>
        <v>189983.16</v>
      </c>
      <c r="CK58" s="168">
        <v>4.7699999999999996</v>
      </c>
      <c r="CL58" s="166">
        <f t="shared" si="26"/>
        <v>18009.134999999998</v>
      </c>
      <c r="CM58" s="167">
        <v>24.43</v>
      </c>
      <c r="CN58" s="166">
        <f t="shared" si="27"/>
        <v>92235.464999999997</v>
      </c>
      <c r="CO58" s="169">
        <f t="shared" si="28"/>
        <v>3125.623599999999</v>
      </c>
      <c r="CP58" s="166">
        <f t="shared" si="29"/>
        <v>11800791.901799995</v>
      </c>
      <c r="CQ58" s="167">
        <v>3925</v>
      </c>
      <c r="CR58" s="166">
        <f t="shared" si="114"/>
        <v>14818837.5</v>
      </c>
      <c r="CS58" s="170">
        <f t="shared" si="30"/>
        <v>50.145626378242149</v>
      </c>
      <c r="CT58" s="166">
        <f t="shared" si="31"/>
        <v>189324.81239105324</v>
      </c>
      <c r="CU58" s="168">
        <v>5.0999999999999996</v>
      </c>
      <c r="CV58" s="166">
        <f t="shared" si="77"/>
        <v>19255.05</v>
      </c>
      <c r="CW58" s="170">
        <f t="shared" si="78"/>
        <v>24.345342854142601</v>
      </c>
      <c r="CX58" s="166">
        <f t="shared" si="79"/>
        <v>91915.841945815395</v>
      </c>
      <c r="CY58" s="171">
        <f t="shared" si="80"/>
        <v>3911.3987188911055</v>
      </c>
      <c r="CZ58" s="166">
        <f t="shared" si="81"/>
        <v>14767485.863173369</v>
      </c>
      <c r="DA58" s="170" t="str">
        <f t="shared" si="83"/>
        <v>G12</v>
      </c>
      <c r="DB58" s="171">
        <f t="shared" si="38"/>
        <v>3525.9862228289398</v>
      </c>
      <c r="DC58" s="166">
        <f t="shared" si="69"/>
        <v>13312360.984290663</v>
      </c>
      <c r="DD58" s="170">
        <f t="shared" si="54"/>
        <v>45.204490887325413</v>
      </c>
      <c r="DE58" s="221">
        <f t="shared" si="55"/>
        <v>170669.55534509709</v>
      </c>
      <c r="DF58" s="222">
        <f t="shared" si="56"/>
        <v>9.3510399999999994</v>
      </c>
      <c r="DG58" s="221">
        <f t="shared" si="57"/>
        <v>35304.851519999997</v>
      </c>
      <c r="DH58" s="172">
        <f t="shared" si="40"/>
        <v>1</v>
      </c>
      <c r="DI58" s="173">
        <f t="shared" si="95"/>
        <v>0</v>
      </c>
      <c r="DJ58" s="174" t="e">
        <f t="shared" si="96"/>
        <v>#VALUE!</v>
      </c>
      <c r="DK58" s="175">
        <f t="shared" si="97"/>
        <v>-361.39871889110555</v>
      </c>
      <c r="DL58" s="176" t="e">
        <f t="shared" si="98"/>
        <v>#VALUE!</v>
      </c>
      <c r="DM58" s="175" t="e">
        <f t="shared" si="99"/>
        <v>#VALUE!</v>
      </c>
      <c r="DN58" s="177"/>
      <c r="DO58" s="178">
        <f t="shared" si="46"/>
        <v>0</v>
      </c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80"/>
      <c r="EC58" s="181">
        <f t="shared" si="47"/>
        <v>0</v>
      </c>
      <c r="EE58" s="181"/>
    </row>
    <row r="59" spans="1:138" s="182" customFormat="1" ht="45">
      <c r="A59" s="74">
        <v>87</v>
      </c>
      <c r="B59" s="74">
        <v>135</v>
      </c>
      <c r="C59" s="138">
        <v>45835</v>
      </c>
      <c r="D59" s="139">
        <v>151000157</v>
      </c>
      <c r="E59" s="138">
        <v>45834</v>
      </c>
      <c r="F59" s="138"/>
      <c r="G59" s="138"/>
      <c r="H59" s="647">
        <v>3662.95</v>
      </c>
      <c r="I59" s="141">
        <v>606.28</v>
      </c>
      <c r="J59" s="142">
        <f>(Y59/X59)*100</f>
        <v>16.551691502003305</v>
      </c>
      <c r="K59" s="143">
        <f>ROUND(((J59*H59)/100),2)</f>
        <v>606.28</v>
      </c>
      <c r="L59" s="337">
        <v>59</v>
      </c>
      <c r="M59" s="144"/>
      <c r="N59" s="144">
        <v>606.28</v>
      </c>
      <c r="O59" s="522" t="s">
        <v>180</v>
      </c>
      <c r="P59" s="145" t="s">
        <v>72</v>
      </c>
      <c r="Q59" s="146" t="s">
        <v>224</v>
      </c>
      <c r="R59" s="145"/>
      <c r="S59" s="145" t="s">
        <v>181</v>
      </c>
      <c r="T59" s="145"/>
      <c r="U59" s="147" t="s">
        <v>182</v>
      </c>
      <c r="V59" s="147" t="s">
        <v>183</v>
      </c>
      <c r="W59" s="147">
        <v>4150</v>
      </c>
      <c r="X59" s="653">
        <v>3803.72</v>
      </c>
      <c r="Y59" s="148">
        <v>629.58000000000004</v>
      </c>
      <c r="Z59" s="150"/>
      <c r="AA59" s="149"/>
      <c r="AB59" s="150"/>
      <c r="AC59" s="151"/>
      <c r="AD59" s="151"/>
      <c r="AE59" s="152">
        <f t="shared" si="0"/>
        <v>0</v>
      </c>
      <c r="AF59" s="151"/>
      <c r="AG59" s="152">
        <f t="shared" si="102"/>
        <v>0</v>
      </c>
      <c r="AH59" s="151"/>
      <c r="AI59" s="152">
        <f t="shared" si="103"/>
        <v>0</v>
      </c>
      <c r="AJ59" s="149"/>
      <c r="AK59" s="152">
        <f t="shared" si="104"/>
        <v>0</v>
      </c>
      <c r="AL59" s="149"/>
      <c r="AM59" s="151"/>
      <c r="AN59" s="152">
        <f t="shared" si="3"/>
        <v>0</v>
      </c>
      <c r="AO59" s="151"/>
      <c r="AP59" s="152">
        <f t="shared" si="4"/>
        <v>0</v>
      </c>
      <c r="AQ59" s="174">
        <f t="shared" si="106"/>
        <v>4150</v>
      </c>
      <c r="AR59" s="152">
        <f t="shared" si="48"/>
        <v>2516062</v>
      </c>
      <c r="AS59" s="149"/>
      <c r="AT59" s="149">
        <f t="shared" si="5"/>
        <v>4150</v>
      </c>
      <c r="AU59" s="152">
        <f t="shared" si="71"/>
        <v>0</v>
      </c>
      <c r="AV59" s="149">
        <f t="shared" si="112"/>
        <v>0</v>
      </c>
      <c r="AW59" s="152">
        <f t="shared" si="73"/>
        <v>0</v>
      </c>
      <c r="AX59" s="151">
        <f t="shared" si="9"/>
        <v>0</v>
      </c>
      <c r="AY59" s="152">
        <f t="shared" si="74"/>
        <v>0</v>
      </c>
      <c r="AZ59" s="153"/>
      <c r="BA59" s="153"/>
      <c r="BB59" s="153"/>
      <c r="BC59" s="154">
        <f t="shared" si="11"/>
        <v>0</v>
      </c>
      <c r="BD59" s="155">
        <f t="shared" si="68"/>
        <v>0</v>
      </c>
      <c r="BE59" s="156"/>
      <c r="BF59" s="157"/>
      <c r="BG59" s="157"/>
      <c r="BH59" s="156"/>
      <c r="BI59" s="158">
        <f t="shared" si="14"/>
        <v>0</v>
      </c>
      <c r="BJ59" s="156"/>
      <c r="BK59" s="158">
        <f t="shared" si="15"/>
        <v>0</v>
      </c>
      <c r="BL59" s="156"/>
      <c r="BM59" s="159">
        <f t="shared" si="16"/>
        <v>0</v>
      </c>
      <c r="BN59" s="157"/>
      <c r="BO59" s="159">
        <f t="shared" si="17"/>
        <v>0</v>
      </c>
      <c r="BP59" s="160"/>
      <c r="BQ59" s="156"/>
      <c r="BR59" s="158">
        <f t="shared" si="18"/>
        <v>0</v>
      </c>
      <c r="BS59" s="156"/>
      <c r="BT59" s="159">
        <f t="shared" si="19"/>
        <v>0</v>
      </c>
      <c r="BU59" s="472">
        <f t="shared" si="108"/>
        <v>3677.2839559028153</v>
      </c>
      <c r="BV59" s="161">
        <f t="shared" si="49"/>
        <v>2229463.716784759</v>
      </c>
      <c r="BW59" s="157"/>
      <c r="BX59" s="472">
        <f t="shared" si="109"/>
        <v>3193.373222305469</v>
      </c>
      <c r="BY59" s="161">
        <f t="shared" si="50"/>
        <v>1936078.3172193596</v>
      </c>
      <c r="BZ59" s="157">
        <f t="shared" si="21"/>
        <v>0</v>
      </c>
      <c r="CA59" s="161">
        <f t="shared" si="75"/>
        <v>0</v>
      </c>
      <c r="CB59" s="156">
        <f t="shared" si="23"/>
        <v>0</v>
      </c>
      <c r="CC59" s="161">
        <f t="shared" si="94"/>
        <v>0</v>
      </c>
      <c r="CD59" s="162">
        <f t="shared" si="62"/>
        <v>606.28</v>
      </c>
      <c r="CE59" s="163">
        <v>4.5999999999999996</v>
      </c>
      <c r="CF59" s="164">
        <v>14.27</v>
      </c>
      <c r="CG59" s="165">
        <f t="shared" si="51"/>
        <v>18.21358</v>
      </c>
      <c r="CH59" s="166">
        <f t="shared" si="107"/>
        <v>11042.529282399999</v>
      </c>
      <c r="CI59" s="167">
        <v>39.92</v>
      </c>
      <c r="CJ59" s="166">
        <f t="shared" si="113"/>
        <v>24202.6976</v>
      </c>
      <c r="CK59" s="168">
        <v>6.57</v>
      </c>
      <c r="CL59" s="166">
        <f t="shared" si="26"/>
        <v>3983.2595999999999</v>
      </c>
      <c r="CM59" s="167">
        <v>23.45</v>
      </c>
      <c r="CN59" s="166">
        <f t="shared" si="27"/>
        <v>14217.266</v>
      </c>
      <c r="CO59" s="169">
        <f t="shared" si="28"/>
        <v>3842.3595999999998</v>
      </c>
      <c r="CP59" s="166">
        <f t="shared" si="29"/>
        <v>2329545.7782879998</v>
      </c>
      <c r="CQ59" s="167">
        <v>3648</v>
      </c>
      <c r="CR59" s="166">
        <f t="shared" si="114"/>
        <v>2211709.44</v>
      </c>
      <c r="CS59" s="170">
        <f t="shared" si="30"/>
        <v>40.240453815690898</v>
      </c>
      <c r="CT59" s="166">
        <f t="shared" si="31"/>
        <v>24396.982339377078</v>
      </c>
      <c r="CU59" s="168">
        <v>5.82</v>
      </c>
      <c r="CV59" s="166">
        <f t="shared" si="77"/>
        <v>3528.5495999999998</v>
      </c>
      <c r="CW59" s="170">
        <f t="shared" si="78"/>
        <v>23.638242534517822</v>
      </c>
      <c r="CX59" s="166">
        <f t="shared" si="79"/>
        <v>14331.393683827464</v>
      </c>
      <c r="CY59" s="171">
        <f t="shared" si="80"/>
        <v>3677.2839559028153</v>
      </c>
      <c r="CZ59" s="166">
        <f t="shared" si="81"/>
        <v>2229463.716784759</v>
      </c>
      <c r="DA59" s="170" t="str">
        <f t="shared" si="83"/>
        <v>G13</v>
      </c>
      <c r="DB59" s="171">
        <f t="shared" si="38"/>
        <v>3193.373222305469</v>
      </c>
      <c r="DC59" s="166">
        <f t="shared" si="69"/>
        <v>1936078.3172193596</v>
      </c>
      <c r="DD59" s="170">
        <f t="shared" si="54"/>
        <v>34.945027147597131</v>
      </c>
      <c r="DE59" s="221">
        <f t="shared" si="55"/>
        <v>21186.471059045187</v>
      </c>
      <c r="DF59" s="222">
        <f t="shared" si="56"/>
        <v>12.39358</v>
      </c>
      <c r="DG59" s="221">
        <f t="shared" si="57"/>
        <v>7513.9796823999995</v>
      </c>
      <c r="DH59" s="172">
        <f t="shared" si="40"/>
        <v>-2</v>
      </c>
      <c r="DI59" s="173">
        <f t="shared" si="95"/>
        <v>0</v>
      </c>
      <c r="DJ59" s="174" t="e">
        <f t="shared" si="96"/>
        <v>#VALUE!</v>
      </c>
      <c r="DK59" s="175">
        <f t="shared" si="97"/>
        <v>472.71604409718475</v>
      </c>
      <c r="DL59" s="176" t="e">
        <f t="shared" si="98"/>
        <v>#VALUE!</v>
      </c>
      <c r="DM59" s="175" t="e">
        <f t="shared" si="99"/>
        <v>#VALUE!</v>
      </c>
      <c r="DN59" s="177"/>
      <c r="DO59" s="178">
        <f t="shared" si="46"/>
        <v>0</v>
      </c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80"/>
      <c r="EC59" s="181">
        <f t="shared" si="47"/>
        <v>0</v>
      </c>
      <c r="EE59" s="181"/>
    </row>
    <row r="60" spans="1:138" s="182" customFormat="1" ht="30">
      <c r="A60" s="74">
        <v>88</v>
      </c>
      <c r="B60" s="74">
        <v>135</v>
      </c>
      <c r="C60" s="138">
        <v>45835</v>
      </c>
      <c r="D60" s="139">
        <v>151000157</v>
      </c>
      <c r="E60" s="138">
        <v>45834</v>
      </c>
      <c r="F60" s="138"/>
      <c r="G60" s="138"/>
      <c r="H60" s="649"/>
      <c r="I60" s="141">
        <v>3056.67</v>
      </c>
      <c r="J60" s="142">
        <f>(Y60/X59)*100</f>
        <v>83.448308497996706</v>
      </c>
      <c r="K60" s="143">
        <f>ROUND(((J60*H59)/100),2)</f>
        <v>3056.67</v>
      </c>
      <c r="L60" s="337">
        <v>59</v>
      </c>
      <c r="M60" s="144"/>
      <c r="N60" s="144">
        <v>3056.67</v>
      </c>
      <c r="O60" s="522" t="s">
        <v>180</v>
      </c>
      <c r="P60" s="145" t="s">
        <v>72</v>
      </c>
      <c r="Q60" s="146" t="s">
        <v>231</v>
      </c>
      <c r="R60" s="145"/>
      <c r="S60" s="145" t="s">
        <v>181</v>
      </c>
      <c r="T60" s="145"/>
      <c r="U60" s="147" t="s">
        <v>182</v>
      </c>
      <c r="V60" s="147" t="s">
        <v>183</v>
      </c>
      <c r="W60" s="147">
        <v>4150</v>
      </c>
      <c r="X60" s="655"/>
      <c r="Y60" s="148">
        <v>3174.14</v>
      </c>
      <c r="Z60" s="150"/>
      <c r="AA60" s="149"/>
      <c r="AB60" s="150"/>
      <c r="AC60" s="151"/>
      <c r="AD60" s="151"/>
      <c r="AE60" s="152">
        <f t="shared" si="0"/>
        <v>0</v>
      </c>
      <c r="AF60" s="151"/>
      <c r="AG60" s="152">
        <f t="shared" si="102"/>
        <v>0</v>
      </c>
      <c r="AH60" s="151"/>
      <c r="AI60" s="152">
        <f t="shared" si="103"/>
        <v>0</v>
      </c>
      <c r="AJ60" s="149"/>
      <c r="AK60" s="152">
        <f t="shared" si="104"/>
        <v>0</v>
      </c>
      <c r="AL60" s="149"/>
      <c r="AM60" s="151"/>
      <c r="AN60" s="152">
        <f t="shared" si="3"/>
        <v>0</v>
      </c>
      <c r="AO60" s="151"/>
      <c r="AP60" s="152">
        <f t="shared" si="4"/>
        <v>0</v>
      </c>
      <c r="AQ60" s="174">
        <f t="shared" si="106"/>
        <v>4150</v>
      </c>
      <c r="AR60" s="152">
        <f t="shared" si="48"/>
        <v>12685180.5</v>
      </c>
      <c r="AS60" s="149"/>
      <c r="AT60" s="149">
        <f t="shared" si="5"/>
        <v>4150</v>
      </c>
      <c r="AU60" s="152">
        <f t="shared" si="71"/>
        <v>0</v>
      </c>
      <c r="AV60" s="149">
        <f t="shared" si="112"/>
        <v>0</v>
      </c>
      <c r="AW60" s="152">
        <f t="shared" si="73"/>
        <v>0</v>
      </c>
      <c r="AX60" s="151">
        <f t="shared" si="9"/>
        <v>0</v>
      </c>
      <c r="AY60" s="152">
        <f t="shared" si="74"/>
        <v>0</v>
      </c>
      <c r="AZ60" s="153"/>
      <c r="BA60" s="153"/>
      <c r="BB60" s="153"/>
      <c r="BC60" s="154">
        <f t="shared" si="11"/>
        <v>0</v>
      </c>
      <c r="BD60" s="155">
        <f t="shared" si="68"/>
        <v>0</v>
      </c>
      <c r="BE60" s="156"/>
      <c r="BF60" s="157"/>
      <c r="BG60" s="157"/>
      <c r="BH60" s="156"/>
      <c r="BI60" s="158">
        <f t="shared" si="14"/>
        <v>0</v>
      </c>
      <c r="BJ60" s="156"/>
      <c r="BK60" s="158">
        <f t="shared" si="15"/>
        <v>0</v>
      </c>
      <c r="BL60" s="156"/>
      <c r="BM60" s="159">
        <f t="shared" si="16"/>
        <v>0</v>
      </c>
      <c r="BN60" s="157"/>
      <c r="BO60" s="159">
        <f t="shared" si="17"/>
        <v>0</v>
      </c>
      <c r="BP60" s="160"/>
      <c r="BQ60" s="156"/>
      <c r="BR60" s="158">
        <f t="shared" si="18"/>
        <v>0</v>
      </c>
      <c r="BS60" s="156"/>
      <c r="BT60" s="159">
        <f t="shared" si="19"/>
        <v>0</v>
      </c>
      <c r="BU60" s="472">
        <f t="shared" si="108"/>
        <v>4032.1096007706305</v>
      </c>
      <c r="BV60" s="161">
        <f t="shared" si="49"/>
        <v>12324828.453387564</v>
      </c>
      <c r="BW60" s="157"/>
      <c r="BX60" s="472">
        <f t="shared" si="109"/>
        <v>3501.5057262121368</v>
      </c>
      <c r="BY60" s="161">
        <f t="shared" si="50"/>
        <v>10702947.508140853</v>
      </c>
      <c r="BZ60" s="157">
        <f t="shared" si="21"/>
        <v>0</v>
      </c>
      <c r="CA60" s="161">
        <f t="shared" si="75"/>
        <v>0</v>
      </c>
      <c r="CB60" s="156">
        <f t="shared" si="23"/>
        <v>0</v>
      </c>
      <c r="CC60" s="161">
        <f t="shared" si="94"/>
        <v>0</v>
      </c>
      <c r="CD60" s="162">
        <f t="shared" si="62"/>
        <v>3056.67</v>
      </c>
      <c r="CE60" s="163">
        <v>4.5999999999999996</v>
      </c>
      <c r="CF60" s="164">
        <v>14.27</v>
      </c>
      <c r="CG60" s="165">
        <f t="shared" si="51"/>
        <v>18.21358</v>
      </c>
      <c r="CH60" s="166">
        <f t="shared" si="107"/>
        <v>55672.903578600002</v>
      </c>
      <c r="CI60" s="167">
        <v>39.92</v>
      </c>
      <c r="CJ60" s="166">
        <f t="shared" si="113"/>
        <v>122022.26640000001</v>
      </c>
      <c r="CK60" s="168">
        <v>6.57</v>
      </c>
      <c r="CL60" s="166">
        <f t="shared" si="26"/>
        <v>20082.321900000003</v>
      </c>
      <c r="CM60" s="167">
        <v>23.45</v>
      </c>
      <c r="CN60" s="166">
        <f t="shared" si="27"/>
        <v>71678.911500000002</v>
      </c>
      <c r="CO60" s="169">
        <f t="shared" si="28"/>
        <v>3842.3595999999998</v>
      </c>
      <c r="CP60" s="166">
        <f t="shared" si="29"/>
        <v>11744825.318531999</v>
      </c>
      <c r="CQ60" s="167">
        <v>4000</v>
      </c>
      <c r="CR60" s="166">
        <f t="shared" si="114"/>
        <v>12226680</v>
      </c>
      <c r="CS60" s="170">
        <f t="shared" si="30"/>
        <v>40.240453815690898</v>
      </c>
      <c r="CT60" s="166">
        <f t="shared" si="31"/>
        <v>123001.7879648079</v>
      </c>
      <c r="CU60" s="168">
        <v>5.82</v>
      </c>
      <c r="CV60" s="166">
        <f t="shared" si="77"/>
        <v>17789.8194</v>
      </c>
      <c r="CW60" s="170">
        <f t="shared" si="78"/>
        <v>23.638242534517822</v>
      </c>
      <c r="CX60" s="166">
        <f t="shared" si="79"/>
        <v>72254.306807984598</v>
      </c>
      <c r="CY60" s="171">
        <f t="shared" si="80"/>
        <v>4032.1096007706305</v>
      </c>
      <c r="CZ60" s="166">
        <f t="shared" si="81"/>
        <v>12324828.453387564</v>
      </c>
      <c r="DA60" s="170" t="str">
        <f t="shared" si="83"/>
        <v>G11</v>
      </c>
      <c r="DB60" s="171">
        <f t="shared" si="38"/>
        <v>3501.5057262121368</v>
      </c>
      <c r="DC60" s="166">
        <f t="shared" si="69"/>
        <v>10702947.508140853</v>
      </c>
      <c r="DD60" s="170">
        <f t="shared" si="54"/>
        <v>34.945027147597131</v>
      </c>
      <c r="DE60" s="221">
        <f t="shared" si="55"/>
        <v>106815.41613124573</v>
      </c>
      <c r="DF60" s="222">
        <f t="shared" si="56"/>
        <v>12.39358</v>
      </c>
      <c r="DG60" s="221">
        <f t="shared" si="57"/>
        <v>37883.084178600002</v>
      </c>
      <c r="DH60" s="172">
        <f t="shared" si="40"/>
        <v>0</v>
      </c>
      <c r="DI60" s="173">
        <f t="shared" si="95"/>
        <v>0</v>
      </c>
      <c r="DJ60" s="174" t="e">
        <f t="shared" si="96"/>
        <v>#VALUE!</v>
      </c>
      <c r="DK60" s="175">
        <f t="shared" si="97"/>
        <v>117.89039922936945</v>
      </c>
      <c r="DL60" s="176" t="e">
        <f t="shared" si="98"/>
        <v>#VALUE!</v>
      </c>
      <c r="DM60" s="175" t="e">
        <f t="shared" si="99"/>
        <v>#VALUE!</v>
      </c>
      <c r="DN60" s="177"/>
      <c r="DO60" s="178">
        <f t="shared" si="46"/>
        <v>0</v>
      </c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80"/>
      <c r="EC60" s="181">
        <f t="shared" si="47"/>
        <v>0</v>
      </c>
      <c r="EE60" s="181"/>
    </row>
    <row r="61" spans="1:138" s="182" customFormat="1" ht="30">
      <c r="A61" s="74">
        <v>91</v>
      </c>
      <c r="B61" s="74">
        <v>138</v>
      </c>
      <c r="C61" s="138">
        <v>45835</v>
      </c>
      <c r="D61" s="139">
        <v>161016440</v>
      </c>
      <c r="E61" s="138" t="s">
        <v>255</v>
      </c>
      <c r="F61" s="138"/>
      <c r="G61" s="138"/>
      <c r="H61" s="140">
        <v>3792.8</v>
      </c>
      <c r="I61" s="141">
        <v>3792.8</v>
      </c>
      <c r="J61" s="142"/>
      <c r="K61" s="568"/>
      <c r="L61" s="337">
        <v>58</v>
      </c>
      <c r="M61" s="144"/>
      <c r="N61" s="144">
        <v>3792.8</v>
      </c>
      <c r="O61" s="522" t="s">
        <v>180</v>
      </c>
      <c r="P61" s="145" t="s">
        <v>71</v>
      </c>
      <c r="Q61" s="146" t="s">
        <v>222</v>
      </c>
      <c r="R61" s="145"/>
      <c r="S61" s="145" t="s">
        <v>181</v>
      </c>
      <c r="T61" s="145"/>
      <c r="U61" s="147" t="s">
        <v>190</v>
      </c>
      <c r="V61" s="147" t="s">
        <v>194</v>
      </c>
      <c r="W61" s="147">
        <v>3550</v>
      </c>
      <c r="X61" s="519">
        <v>3964.06</v>
      </c>
      <c r="Y61" s="148">
        <v>3964.06</v>
      </c>
      <c r="Z61" s="150"/>
      <c r="AA61" s="149"/>
      <c r="AB61" s="150"/>
      <c r="AC61" s="151"/>
      <c r="AD61" s="151"/>
      <c r="AE61" s="152">
        <f t="shared" si="0"/>
        <v>0</v>
      </c>
      <c r="AF61" s="151"/>
      <c r="AG61" s="152">
        <f t="shared" si="102"/>
        <v>0</v>
      </c>
      <c r="AH61" s="151"/>
      <c r="AI61" s="152">
        <f t="shared" si="103"/>
        <v>0</v>
      </c>
      <c r="AJ61" s="149"/>
      <c r="AK61" s="152">
        <f t="shared" si="104"/>
        <v>0</v>
      </c>
      <c r="AL61" s="149"/>
      <c r="AM61" s="151"/>
      <c r="AN61" s="152">
        <f t="shared" si="3"/>
        <v>0</v>
      </c>
      <c r="AO61" s="151"/>
      <c r="AP61" s="152">
        <f t="shared" si="4"/>
        <v>0</v>
      </c>
      <c r="AQ61" s="174">
        <f t="shared" si="106"/>
        <v>3550</v>
      </c>
      <c r="AR61" s="152">
        <f t="shared" si="48"/>
        <v>13464440</v>
      </c>
      <c r="AS61" s="149"/>
      <c r="AT61" s="149">
        <f t="shared" si="5"/>
        <v>3550</v>
      </c>
      <c r="AU61" s="152">
        <f t="shared" si="71"/>
        <v>0</v>
      </c>
      <c r="AV61" s="149">
        <f t="shared" si="112"/>
        <v>0</v>
      </c>
      <c r="AW61" s="152">
        <f t="shared" si="73"/>
        <v>0</v>
      </c>
      <c r="AX61" s="151">
        <f t="shared" si="9"/>
        <v>0</v>
      </c>
      <c r="AY61" s="152">
        <f t="shared" si="74"/>
        <v>0</v>
      </c>
      <c r="AZ61" s="153"/>
      <c r="BA61" s="153"/>
      <c r="BB61" s="153"/>
      <c r="BC61" s="154">
        <f t="shared" si="11"/>
        <v>0</v>
      </c>
      <c r="BD61" s="155">
        <f t="shared" si="68"/>
        <v>0</v>
      </c>
      <c r="BE61" s="156"/>
      <c r="BF61" s="157"/>
      <c r="BG61" s="157"/>
      <c r="BH61" s="156"/>
      <c r="BI61" s="158">
        <f t="shared" si="14"/>
        <v>0</v>
      </c>
      <c r="BJ61" s="156"/>
      <c r="BK61" s="158">
        <f t="shared" si="15"/>
        <v>0</v>
      </c>
      <c r="BL61" s="156"/>
      <c r="BM61" s="159">
        <f t="shared" si="16"/>
        <v>0</v>
      </c>
      <c r="BN61" s="157"/>
      <c r="BO61" s="159">
        <f t="shared" si="17"/>
        <v>0</v>
      </c>
      <c r="BP61" s="160"/>
      <c r="BQ61" s="156"/>
      <c r="BR61" s="158">
        <f t="shared" si="18"/>
        <v>0</v>
      </c>
      <c r="BS61" s="156"/>
      <c r="BT61" s="159">
        <f t="shared" si="19"/>
        <v>0</v>
      </c>
      <c r="BU61" s="472">
        <f t="shared" si="108"/>
        <v>3986.0267714862425</v>
      </c>
      <c r="BV61" s="161">
        <f t="shared" si="49"/>
        <v>15118202.338893021</v>
      </c>
      <c r="BW61" s="157"/>
      <c r="BX61" s="472">
        <f t="shared" si="109"/>
        <v>3525.9192499734413</v>
      </c>
      <c r="BY61" s="161">
        <f t="shared" si="50"/>
        <v>13373106.531299269</v>
      </c>
      <c r="BZ61" s="157">
        <f t="shared" si="21"/>
        <v>0</v>
      </c>
      <c r="CA61" s="161">
        <f t="shared" si="75"/>
        <v>0</v>
      </c>
      <c r="CB61" s="156">
        <f t="shared" si="23"/>
        <v>0</v>
      </c>
      <c r="CC61" s="161">
        <f t="shared" si="94"/>
        <v>0</v>
      </c>
      <c r="CD61" s="162">
        <f t="shared" si="62"/>
        <v>3792.8</v>
      </c>
      <c r="CE61" s="163">
        <v>4.5</v>
      </c>
      <c r="CF61" s="164">
        <v>12.46</v>
      </c>
      <c r="CG61" s="165">
        <f t="shared" si="51"/>
        <v>16.3993</v>
      </c>
      <c r="CH61" s="166">
        <f t="shared" si="107"/>
        <v>62199.265040000006</v>
      </c>
      <c r="CI61" s="167">
        <v>48.76</v>
      </c>
      <c r="CJ61" s="166">
        <f t="shared" si="113"/>
        <v>184936.92800000001</v>
      </c>
      <c r="CK61" s="168">
        <v>5.87</v>
      </c>
      <c r="CL61" s="166">
        <f t="shared" si="26"/>
        <v>22263.736000000001</v>
      </c>
      <c r="CM61" s="167">
        <v>19.940000000000001</v>
      </c>
      <c r="CN61" s="166">
        <f t="shared" si="27"/>
        <v>75628.432000000015</v>
      </c>
      <c r="CO61" s="169">
        <f t="shared" si="28"/>
        <v>3112.319199999999</v>
      </c>
      <c r="CP61" s="166">
        <f t="shared" si="29"/>
        <v>11804404.261759996</v>
      </c>
      <c r="CQ61" s="167">
        <v>3970</v>
      </c>
      <c r="CR61" s="166">
        <f t="shared" si="114"/>
        <v>15057416</v>
      </c>
      <c r="CS61" s="170">
        <f t="shared" si="30"/>
        <v>48.956842664400298</v>
      </c>
      <c r="CT61" s="166">
        <f t="shared" si="31"/>
        <v>185683.51285753745</v>
      </c>
      <c r="CU61" s="168">
        <v>5.49</v>
      </c>
      <c r="CV61" s="166">
        <f t="shared" si="77"/>
        <v>20822.472000000002</v>
      </c>
      <c r="CW61" s="170">
        <f t="shared" si="78"/>
        <v>20.020497184744503</v>
      </c>
      <c r="CX61" s="166">
        <f t="shared" si="79"/>
        <v>75933.741722298961</v>
      </c>
      <c r="CY61" s="171">
        <f t="shared" si="80"/>
        <v>3986.0267714862425</v>
      </c>
      <c r="CZ61" s="166">
        <f t="shared" si="81"/>
        <v>15118202.338893021</v>
      </c>
      <c r="DA61" s="170" t="str">
        <f t="shared" si="83"/>
        <v>G12</v>
      </c>
      <c r="DB61" s="171">
        <f t="shared" si="38"/>
        <v>3525.9192499734413</v>
      </c>
      <c r="DC61" s="166">
        <f t="shared" si="69"/>
        <v>13373106.531299269</v>
      </c>
      <c r="DD61" s="170">
        <f t="shared" si="54"/>
        <v>43.305748772973544</v>
      </c>
      <c r="DE61" s="221">
        <f t="shared" si="55"/>
        <v>164250.04394613407</v>
      </c>
      <c r="DF61" s="222">
        <f t="shared" si="56"/>
        <v>10.9093</v>
      </c>
      <c r="DG61" s="221">
        <f t="shared" si="57"/>
        <v>41376.793040000004</v>
      </c>
      <c r="DH61" s="172">
        <f t="shared" si="40"/>
        <v>1</v>
      </c>
      <c r="DI61" s="173">
        <f t="shared" si="95"/>
        <v>0</v>
      </c>
      <c r="DJ61" s="174" t="e">
        <f t="shared" si="96"/>
        <v>#VALUE!</v>
      </c>
      <c r="DK61" s="175">
        <f t="shared" si="97"/>
        <v>-436.02677148624252</v>
      </c>
      <c r="DL61" s="176" t="e">
        <f t="shared" si="98"/>
        <v>#VALUE!</v>
      </c>
      <c r="DM61" s="175" t="e">
        <f t="shared" si="99"/>
        <v>#VALUE!</v>
      </c>
      <c r="DN61" s="177"/>
      <c r="DO61" s="178">
        <f t="shared" si="46"/>
        <v>0</v>
      </c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80"/>
      <c r="EC61" s="181">
        <f t="shared" si="47"/>
        <v>0</v>
      </c>
      <c r="EE61" s="181"/>
    </row>
    <row r="62" spans="1:138" s="223" customFormat="1" ht="30.6" customHeight="1">
      <c r="A62" s="74">
        <v>93</v>
      </c>
      <c r="B62" s="74">
        <v>141</v>
      </c>
      <c r="C62" s="138">
        <v>45836</v>
      </c>
      <c r="D62" s="139">
        <v>151000188</v>
      </c>
      <c r="E62" s="138" t="s">
        <v>255</v>
      </c>
      <c r="F62" s="138"/>
      <c r="G62" s="138"/>
      <c r="H62" s="140">
        <v>4027.55</v>
      </c>
      <c r="I62" s="141">
        <v>4027.55</v>
      </c>
      <c r="J62" s="142"/>
      <c r="K62" s="568"/>
      <c r="L62" s="337">
        <v>59</v>
      </c>
      <c r="M62" s="144"/>
      <c r="N62" s="144">
        <v>4027.55</v>
      </c>
      <c r="O62" s="522" t="s">
        <v>180</v>
      </c>
      <c r="P62" s="145" t="s">
        <v>70</v>
      </c>
      <c r="Q62" s="146" t="s">
        <v>64</v>
      </c>
      <c r="R62" s="145"/>
      <c r="S62" s="145" t="s">
        <v>181</v>
      </c>
      <c r="T62" s="145"/>
      <c r="U62" s="147" t="s">
        <v>188</v>
      </c>
      <c r="V62" s="147" t="s">
        <v>189</v>
      </c>
      <c r="W62" s="147">
        <v>4450</v>
      </c>
      <c r="X62" s="519">
        <v>4178</v>
      </c>
      <c r="Y62" s="148">
        <v>4178</v>
      </c>
      <c r="Z62" s="150"/>
      <c r="AA62" s="149"/>
      <c r="AB62" s="150"/>
      <c r="AC62" s="151"/>
      <c r="AD62" s="151"/>
      <c r="AE62" s="152">
        <f t="shared" si="0"/>
        <v>0</v>
      </c>
      <c r="AF62" s="151"/>
      <c r="AG62" s="152">
        <f t="shared" si="102"/>
        <v>0</v>
      </c>
      <c r="AH62" s="151"/>
      <c r="AI62" s="152">
        <f t="shared" si="103"/>
        <v>0</v>
      </c>
      <c r="AJ62" s="149"/>
      <c r="AK62" s="152">
        <f t="shared" si="104"/>
        <v>0</v>
      </c>
      <c r="AL62" s="149"/>
      <c r="AM62" s="151"/>
      <c r="AN62" s="152">
        <f t="shared" si="3"/>
        <v>0</v>
      </c>
      <c r="AO62" s="151"/>
      <c r="AP62" s="152">
        <f t="shared" si="4"/>
        <v>0</v>
      </c>
      <c r="AQ62" s="174">
        <f t="shared" si="106"/>
        <v>4450</v>
      </c>
      <c r="AR62" s="152">
        <f t="shared" si="48"/>
        <v>17922597.5</v>
      </c>
      <c r="AS62" s="149"/>
      <c r="AT62" s="149">
        <f t="shared" si="5"/>
        <v>4450</v>
      </c>
      <c r="AU62" s="152">
        <f t="shared" si="71"/>
        <v>0</v>
      </c>
      <c r="AV62" s="149">
        <f t="shared" si="112"/>
        <v>0</v>
      </c>
      <c r="AW62" s="152">
        <f t="shared" si="73"/>
        <v>0</v>
      </c>
      <c r="AX62" s="151">
        <f t="shared" si="9"/>
        <v>0</v>
      </c>
      <c r="AY62" s="152">
        <f t="shared" si="74"/>
        <v>0</v>
      </c>
      <c r="AZ62" s="153"/>
      <c r="BA62" s="153"/>
      <c r="BB62" s="153"/>
      <c r="BC62" s="154">
        <f t="shared" si="11"/>
        <v>0</v>
      </c>
      <c r="BD62" s="155">
        <f t="shared" si="68"/>
        <v>0</v>
      </c>
      <c r="BE62" s="156"/>
      <c r="BF62" s="157"/>
      <c r="BG62" s="157"/>
      <c r="BH62" s="156"/>
      <c r="BI62" s="158">
        <f t="shared" si="14"/>
        <v>0</v>
      </c>
      <c r="BJ62" s="156"/>
      <c r="BK62" s="158">
        <f t="shared" si="15"/>
        <v>0</v>
      </c>
      <c r="BL62" s="156"/>
      <c r="BM62" s="159">
        <f t="shared" si="16"/>
        <v>0</v>
      </c>
      <c r="BN62" s="157"/>
      <c r="BO62" s="159">
        <f t="shared" si="17"/>
        <v>0</v>
      </c>
      <c r="BP62" s="160"/>
      <c r="BQ62" s="156"/>
      <c r="BR62" s="158">
        <f t="shared" si="18"/>
        <v>0</v>
      </c>
      <c r="BS62" s="156"/>
      <c r="BT62" s="159">
        <f t="shared" si="19"/>
        <v>0</v>
      </c>
      <c r="BU62" s="472">
        <f t="shared" si="108"/>
        <v>4285.5638622722963</v>
      </c>
      <c r="BV62" s="161">
        <f t="shared" si="49"/>
        <v>17260322.733494788</v>
      </c>
      <c r="BW62" s="157"/>
      <c r="BX62" s="472">
        <f t="shared" si="109"/>
        <v>3584.9701674212911</v>
      </c>
      <c r="BY62" s="161">
        <f t="shared" si="50"/>
        <v>14438646.597797621</v>
      </c>
      <c r="BZ62" s="157">
        <f t="shared" si="21"/>
        <v>0</v>
      </c>
      <c r="CA62" s="161">
        <f t="shared" si="75"/>
        <v>0</v>
      </c>
      <c r="CB62" s="156">
        <f t="shared" si="23"/>
        <v>0</v>
      </c>
      <c r="CC62" s="161">
        <f t="shared" si="94"/>
        <v>0</v>
      </c>
      <c r="CD62" s="162">
        <f t="shared" si="62"/>
        <v>4027.55</v>
      </c>
      <c r="CE62" s="163">
        <v>4.8</v>
      </c>
      <c r="CF62" s="164">
        <v>12.13</v>
      </c>
      <c r="CG62" s="165">
        <f t="shared" si="51"/>
        <v>16.347760000000001</v>
      </c>
      <c r="CH62" s="166">
        <f t="shared" si="107"/>
        <v>65841.420788000003</v>
      </c>
      <c r="CI62" s="174">
        <v>40.83</v>
      </c>
      <c r="CJ62" s="166">
        <f t="shared" si="113"/>
        <v>164444.8665</v>
      </c>
      <c r="CK62" s="168">
        <v>5.03</v>
      </c>
      <c r="CL62" s="166">
        <f t="shared" si="26"/>
        <v>20258.576500000003</v>
      </c>
      <c r="CM62" s="167">
        <v>27.88</v>
      </c>
      <c r="CN62" s="166">
        <f t="shared" si="27"/>
        <v>112288.094</v>
      </c>
      <c r="CO62" s="169">
        <f t="shared" si="28"/>
        <v>3980.8818999999994</v>
      </c>
      <c r="CP62" s="166">
        <f t="shared" si="29"/>
        <v>16033200.896344999</v>
      </c>
      <c r="CQ62" s="167">
        <v>4070</v>
      </c>
      <c r="CR62" s="166">
        <f t="shared" si="114"/>
        <v>16392128.5</v>
      </c>
      <c r="CS62" s="170">
        <f t="shared" si="30"/>
        <v>42.992523954933134</v>
      </c>
      <c r="CT62" s="166">
        <f t="shared" si="31"/>
        <v>173154.53985469096</v>
      </c>
      <c r="CU62" s="168"/>
      <c r="CV62" s="166">
        <f t="shared" si="77"/>
        <v>0</v>
      </c>
      <c r="CW62" s="170">
        <f t="shared" si="78"/>
        <v>29.356638938612193</v>
      </c>
      <c r="CX62" s="166">
        <f t="shared" si="79"/>
        <v>118235.33115720755</v>
      </c>
      <c r="CY62" s="171">
        <f t="shared" si="80"/>
        <v>4285.5638622722963</v>
      </c>
      <c r="CZ62" s="166">
        <f t="shared" si="81"/>
        <v>17260322.733494788</v>
      </c>
      <c r="DA62" s="170" t="str">
        <f t="shared" si="83"/>
        <v>G11</v>
      </c>
      <c r="DB62" s="171">
        <f t="shared" si="38"/>
        <v>3584.9701674212911</v>
      </c>
      <c r="DC62" s="166">
        <f t="shared" si="69"/>
        <v>14438646.597797621</v>
      </c>
      <c r="DD62" s="170">
        <f t="shared" si="54"/>
        <v>35.964209320838158</v>
      </c>
      <c r="DE62" s="221">
        <f t="shared" si="55"/>
        <v>144847.65125014173</v>
      </c>
      <c r="DF62" s="222">
        <f t="shared" si="56"/>
        <v>16.347760000000001</v>
      </c>
      <c r="DG62" s="221">
        <f t="shared" si="57"/>
        <v>65841.420788000003</v>
      </c>
      <c r="DH62" s="172"/>
      <c r="DI62" s="173"/>
      <c r="DJ62" s="174"/>
      <c r="DK62" s="175"/>
      <c r="DL62" s="176"/>
      <c r="DM62" s="175"/>
      <c r="DN62" s="177"/>
      <c r="DO62" s="178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80"/>
      <c r="EC62" s="181">
        <f t="shared" si="47"/>
        <v>0</v>
      </c>
      <c r="ED62" s="182"/>
      <c r="EE62" s="181"/>
      <c r="EF62" s="182"/>
      <c r="EG62" s="182"/>
      <c r="EH62" s="619">
        <f>BX113</f>
        <v>9.3689530333904258E-2</v>
      </c>
    </row>
    <row r="63" spans="1:138" s="237" customFormat="1" ht="15.75">
      <c r="A63" s="224" t="s">
        <v>196</v>
      </c>
      <c r="B63" s="225"/>
      <c r="C63" s="225"/>
      <c r="D63" s="225"/>
      <c r="E63" s="225"/>
      <c r="F63" s="225"/>
      <c r="G63" s="225"/>
      <c r="H63" s="226">
        <f>SUM(H5:H62)</f>
        <v>188723.09999999998</v>
      </c>
      <c r="I63" s="226">
        <f>SUM(I5:I62)</f>
        <v>188623.09999999998</v>
      </c>
      <c r="J63" s="226"/>
      <c r="K63" s="226"/>
      <c r="L63" s="226"/>
      <c r="M63" s="225"/>
      <c r="N63" s="226">
        <f>SUM(N5:N62)</f>
        <v>188723.09999999998</v>
      </c>
      <c r="O63" s="224"/>
      <c r="P63" s="225"/>
      <c r="Q63" s="225"/>
      <c r="R63" s="225"/>
      <c r="S63" s="225"/>
      <c r="T63" s="225"/>
      <c r="U63" s="225"/>
      <c r="V63" s="225"/>
      <c r="W63" s="231">
        <f>SUMPRODUCT(W5:W62,I5:I62)/I63</f>
        <v>4166.5359439008271</v>
      </c>
      <c r="X63" s="226">
        <f>SUM(X5:X62)</f>
        <v>193611.99000000002</v>
      </c>
      <c r="Y63" s="226">
        <f>SUM(Y5:Y62)</f>
        <v>189786.26</v>
      </c>
      <c r="Z63" s="226"/>
      <c r="AA63" s="225"/>
      <c r="AB63" s="228"/>
      <c r="AC63" s="226">
        <f>SUM(AC5:AC62)</f>
        <v>95543.75</v>
      </c>
      <c r="AD63" s="229">
        <f>AE63/$AC63</f>
        <v>11.693285521030941</v>
      </c>
      <c r="AE63" s="226">
        <f>SUM(AE5:AE62)</f>
        <v>1117220.3484999998</v>
      </c>
      <c r="AF63" s="229" t="e">
        <f>AG63/$AC63</f>
        <v>#REF!</v>
      </c>
      <c r="AG63" s="226" t="e">
        <f>SUM(AG5:AG62)</f>
        <v>#REF!</v>
      </c>
      <c r="AH63" s="229" t="e">
        <f>AI63/$AC63</f>
        <v>#REF!</v>
      </c>
      <c r="AI63" s="226" t="e">
        <f>SUM(AI5:AI62)</f>
        <v>#REF!</v>
      </c>
      <c r="AJ63" s="229" t="e">
        <f>AK63/$AC63</f>
        <v>#REF!</v>
      </c>
      <c r="AK63" s="226" t="e">
        <f>SUM(AK5:AK62)</f>
        <v>#REF!</v>
      </c>
      <c r="AL63" s="225"/>
      <c r="AM63" s="229" t="e">
        <f>AN63/$AC63</f>
        <v>#REF!</v>
      </c>
      <c r="AN63" s="226" t="e">
        <f>SUM(AN5:AN62)</f>
        <v>#REF!</v>
      </c>
      <c r="AO63" s="229">
        <f>AP63/$AC63</f>
        <v>38.683490399947672</v>
      </c>
      <c r="AP63" s="226">
        <f>SUM(AP5:AP62)</f>
        <v>3695965.7359000002</v>
      </c>
      <c r="AQ63" s="229">
        <f>AR63/$I63</f>
        <v>4042.1636757639976</v>
      </c>
      <c r="AR63" s="226">
        <f>SUM(AR5:AR62)</f>
        <v>762445443.23000002</v>
      </c>
      <c r="AS63" s="230"/>
      <c r="AT63" s="229">
        <f>AU63/$AC63</f>
        <v>3602.0528020932829</v>
      </c>
      <c r="AU63" s="226">
        <f>SUM(AU5:AU62)</f>
        <v>344153632.41000009</v>
      </c>
      <c r="AV63" s="229" t="e">
        <f>AW63/$AC63</f>
        <v>#REF!</v>
      </c>
      <c r="AW63" s="226" t="e">
        <f>SUM(AW5:AW62)</f>
        <v>#REF!</v>
      </c>
      <c r="AX63" s="229">
        <f>AY63/$AC63</f>
        <v>4.1842113921632755</v>
      </c>
      <c r="AY63" s="226">
        <f>SUM(AY5:AY62)</f>
        <v>399775.24719999998</v>
      </c>
      <c r="AZ63" s="225"/>
      <c r="BA63" s="225"/>
      <c r="BB63" s="225"/>
      <c r="BC63" s="226" t="e">
        <f>BD63/$CD63</f>
        <v>#REF!</v>
      </c>
      <c r="BD63" s="226" t="e">
        <f>SUM(BD5:BD62)</f>
        <v>#REF!</v>
      </c>
      <c r="BE63" s="226">
        <f>SUM(BE5:BE62)</f>
        <v>139962.9</v>
      </c>
      <c r="BF63" s="225"/>
      <c r="BG63" s="225"/>
      <c r="BH63" s="226">
        <f>BI63/$BE63</f>
        <v>12.388380749284279</v>
      </c>
      <c r="BI63" s="226">
        <f>SUM(BI5:BI62)</f>
        <v>1733913.6959740005</v>
      </c>
      <c r="BJ63" s="226">
        <f>BK63/$BE63</f>
        <v>7.237491738882234</v>
      </c>
      <c r="BK63" s="226">
        <f>SUM(BK5:BK62)</f>
        <v>1012980.3325000001</v>
      </c>
      <c r="BL63" s="226">
        <f>BM63/$BE63</f>
        <v>44.180222287477605</v>
      </c>
      <c r="BM63" s="226">
        <f>SUM(BM5:BM62)</f>
        <v>6183592.0339999991</v>
      </c>
      <c r="BN63" s="226">
        <f>BO63/$BE63</f>
        <v>3290.2849351506725</v>
      </c>
      <c r="BO63" s="226">
        <f>SUM(BO5:BO62)</f>
        <v>460517821.35000002</v>
      </c>
      <c r="BP63" s="226">
        <f>BQ63/$BE63</f>
        <v>4.7228616676739691E-5</v>
      </c>
      <c r="BQ63" s="226">
        <f>BR63/$BE63</f>
        <v>6.6102541530648491</v>
      </c>
      <c r="BR63" s="226">
        <f>SUM(BR5:BR62)</f>
        <v>925190.34100000013</v>
      </c>
      <c r="BS63" s="226">
        <f>BT63/$BE63</f>
        <v>44.485027950263969</v>
      </c>
      <c r="BT63" s="226">
        <f>SUM(BT5:BT62)</f>
        <v>6226253.5185000002</v>
      </c>
      <c r="BU63" s="226">
        <f>BV63/$I63</f>
        <v>3339.491100413295</v>
      </c>
      <c r="BV63" s="226">
        <f>SUM(BV5:BV62)</f>
        <v>629905163.78236687</v>
      </c>
      <c r="BW63" s="230"/>
      <c r="BX63" s="231">
        <f>BY63/$I63</f>
        <v>3104.9353946661113</v>
      </c>
      <c r="BY63" s="226">
        <f>SUM(BY5:BY62)</f>
        <v>585662539.44164526</v>
      </c>
      <c r="BZ63" s="226">
        <f>CA63/$BE63</f>
        <v>41.738306951342111</v>
      </c>
      <c r="CA63" s="226">
        <f>SUM(CA5:CA62)</f>
        <v>5841814.4820000008</v>
      </c>
      <c r="CB63" s="226">
        <f>CC63/$BE63</f>
        <v>5.5639017123394847</v>
      </c>
      <c r="CC63" s="226">
        <f>SUM(CC5:CC62)</f>
        <v>778739.81897400005</v>
      </c>
      <c r="CD63" s="226">
        <f>SUM(CD5:CD62)</f>
        <v>188723.09999999998</v>
      </c>
      <c r="CE63" s="232"/>
      <c r="CF63" s="225"/>
      <c r="CG63" s="226" t="e">
        <f>CH63/$CD63</f>
        <v>#REF!</v>
      </c>
      <c r="CH63" s="226" t="e">
        <f>SUM(CH5:CH62)</f>
        <v>#REF!</v>
      </c>
      <c r="CI63" s="226">
        <f>CJ63/$CD63</f>
        <v>44.633970677145506</v>
      </c>
      <c r="CJ63" s="226">
        <f>SUM(CJ5:CJ62)</f>
        <v>8423461.311499998</v>
      </c>
      <c r="CK63" s="226">
        <f>CL63/$CD63</f>
        <v>5.0606264018554166</v>
      </c>
      <c r="CL63" s="226">
        <f>SUM(CL5:CL62)</f>
        <v>955057.10249999992</v>
      </c>
      <c r="CM63" s="226">
        <f>CN63/$CD63</f>
        <v>24.303186565396608</v>
      </c>
      <c r="CN63" s="226">
        <f>SUM(CN5:CN62)</f>
        <v>4586572.7084999997</v>
      </c>
      <c r="CO63" s="226">
        <f>CP63/$CD63</f>
        <v>3618.4322405197631</v>
      </c>
      <c r="CP63" s="226">
        <f>SUM(CP5:CP62)</f>
        <v>682881749.57083523</v>
      </c>
      <c r="CQ63" s="226">
        <f>CR63/$CD63</f>
        <v>3443.8977792861606</v>
      </c>
      <c r="CR63" s="226">
        <f>SUM(CR5:CR62)</f>
        <v>649943064.98999989</v>
      </c>
      <c r="CS63" s="226">
        <f>CT63/$CD63</f>
        <v>44.885450870799353</v>
      </c>
      <c r="CT63" s="226">
        <f>SUM(CT5:CT62)</f>
        <v>8470921.4332349524</v>
      </c>
      <c r="CU63" s="226" t="e">
        <f>CV63/$CD63</f>
        <v>#REF!</v>
      </c>
      <c r="CV63" s="226" t="e">
        <f>SUM(CV5:CV62)</f>
        <v>#REF!</v>
      </c>
      <c r="CW63" s="226" t="e">
        <f>CX63/$CD63</f>
        <v>#REF!</v>
      </c>
      <c r="CX63" s="226" t="e">
        <f>SUM(CX5:CX62)</f>
        <v>#REF!</v>
      </c>
      <c r="CY63" s="226" t="e">
        <f>CZ63/$CD63</f>
        <v>#REF!</v>
      </c>
      <c r="CZ63" s="226" t="e">
        <f>SUM(CZ5:CZ62)</f>
        <v>#REF!</v>
      </c>
      <c r="DA63" s="230" t="e">
        <f t="shared" si="37"/>
        <v>#REF!</v>
      </c>
      <c r="DB63" s="231" t="e">
        <f>DC63/$CD63</f>
        <v>#REF!</v>
      </c>
      <c r="DC63" s="226" t="e">
        <f>SUM(DC5:DC62)</f>
        <v>#REF!</v>
      </c>
      <c r="DD63" s="226">
        <f>DE63/CD63</f>
        <v>41.048937643494526</v>
      </c>
      <c r="DE63" s="226">
        <f>SUM(DE5:DE62)</f>
        <v>7746882.7637869809</v>
      </c>
      <c r="DF63" s="226">
        <f>DG63/CD63</f>
        <v>8.2380622287997589</v>
      </c>
      <c r="DG63" s="226">
        <f>SUM(DG5:DG62)</f>
        <v>1554712.6418119997</v>
      </c>
      <c r="DH63" s="233" t="e">
        <f t="shared" ref="DH63:DH68" si="115">MID(U63,2,LEN(U63))-MID(DA63,2,LEN(DA63))</f>
        <v>#VALUE!</v>
      </c>
      <c r="DI63" s="234">
        <f>SUM(DI5:DI62)</f>
        <v>3120.6668670004979</v>
      </c>
      <c r="DJ63" s="235" t="e">
        <f t="shared" ref="DJ63:DJ65" si="116">MID(U63,2,LEN(U63))-MID(BW63,2,LEN(BW63))</f>
        <v>#VALUE!</v>
      </c>
      <c r="DK63" s="234">
        <f t="shared" ref="DK63:DK65" si="117">$AQ63-$BU63</f>
        <v>702.67257535070257</v>
      </c>
      <c r="DL63" s="176" t="e">
        <f t="shared" ref="DL63:DL65" si="118">MID(U63,2,LEN(U63))-MID(BW63,2,LEN(BW63))</f>
        <v>#VALUE!</v>
      </c>
      <c r="DM63" s="236" t="e">
        <f t="shared" ref="DM63:DM64" si="119">MID(U63,2,LEN(U63))-MID(AS63,2,LEN(AS63))</f>
        <v>#VALUE!</v>
      </c>
      <c r="DN63" s="225"/>
      <c r="DO63" s="178" t="e">
        <f t="shared" ref="DO63:DO98" si="120">BX63-DB63</f>
        <v>#REF!</v>
      </c>
      <c r="EB63" s="238"/>
      <c r="EC63" s="181" t="e">
        <f t="shared" si="47"/>
        <v>#REF!</v>
      </c>
    </row>
    <row r="64" spans="1:138" s="182" customFormat="1" ht="30">
      <c r="A64" s="74">
        <v>4</v>
      </c>
      <c r="B64" s="74">
        <v>24</v>
      </c>
      <c r="C64" s="138">
        <v>45814</v>
      </c>
      <c r="D64" s="139">
        <v>162001308</v>
      </c>
      <c r="E64" s="138">
        <v>45783</v>
      </c>
      <c r="F64" s="138"/>
      <c r="G64" s="138"/>
      <c r="H64" s="140">
        <v>3790.7</v>
      </c>
      <c r="I64" s="141">
        <v>3790.7</v>
      </c>
      <c r="J64" s="142"/>
      <c r="K64" s="143"/>
      <c r="L64" s="522">
        <v>56</v>
      </c>
      <c r="M64" s="522"/>
      <c r="N64" s="140">
        <v>3790.7</v>
      </c>
      <c r="O64" s="522" t="s">
        <v>197</v>
      </c>
      <c r="P64" s="145" t="s">
        <v>200</v>
      </c>
      <c r="Q64" s="146" t="s">
        <v>65</v>
      </c>
      <c r="R64" s="145"/>
      <c r="S64" s="145" t="s">
        <v>181</v>
      </c>
      <c r="T64" s="145"/>
      <c r="U64" s="572" t="s">
        <v>198</v>
      </c>
      <c r="V64" s="147" t="s">
        <v>199</v>
      </c>
      <c r="W64" s="147">
        <v>3250</v>
      </c>
      <c r="X64" s="542">
        <v>3911.98</v>
      </c>
      <c r="Y64" s="148"/>
      <c r="Z64" s="150"/>
      <c r="AA64" s="149"/>
      <c r="AB64" s="150"/>
      <c r="AC64" s="151"/>
      <c r="AD64" s="151"/>
      <c r="AE64" s="152">
        <f t="shared" ref="AE64" si="121">AD64*$AC64</f>
        <v>0</v>
      </c>
      <c r="AF64" s="151"/>
      <c r="AG64" s="152">
        <f t="shared" ref="AG64" si="122">AF64*$AC64</f>
        <v>0</v>
      </c>
      <c r="AH64" s="151"/>
      <c r="AI64" s="152">
        <f t="shared" ref="AI64" si="123">AH64*$AC64</f>
        <v>0</v>
      </c>
      <c r="AJ64" s="149"/>
      <c r="AK64" s="152">
        <f t="shared" ref="AK64" si="124">AJ64*$AC64</f>
        <v>0</v>
      </c>
      <c r="AL64" s="149"/>
      <c r="AM64" s="151"/>
      <c r="AN64" s="152">
        <f t="shared" ref="AN64" si="125">AM64*$AC64</f>
        <v>0</v>
      </c>
      <c r="AO64" s="151"/>
      <c r="AP64" s="152">
        <f t="shared" ref="AP64" si="126">AO64*$AC64</f>
        <v>0</v>
      </c>
      <c r="AQ64" s="174">
        <f t="shared" ref="AQ64:AQ68" si="127">W64</f>
        <v>3250</v>
      </c>
      <c r="AR64" s="152">
        <f t="shared" ref="AR64:AR68" si="128">AQ64*$I64</f>
        <v>12319775</v>
      </c>
      <c r="AS64" s="149"/>
      <c r="AT64" s="149">
        <f t="shared" ref="AT64" si="129">ROUND(((100-AD64)/(100-AM64)*AQ64),0)</f>
        <v>3250</v>
      </c>
      <c r="AU64" s="152">
        <f t="shared" ref="AU64" si="130">AT64*$AC64</f>
        <v>0</v>
      </c>
      <c r="AV64" s="149">
        <f t="shared" ref="AV64:AV65" si="131">ROUND(((100-AD64)/(100-AM64)*AO64),2)</f>
        <v>0</v>
      </c>
      <c r="AW64" s="152">
        <f t="shared" ref="AW64" si="132">AV64*$AC64</f>
        <v>0</v>
      </c>
      <c r="AX64" s="151">
        <f t="shared" ref="AX64" si="133">$AD64-$AM64</f>
        <v>0</v>
      </c>
      <c r="AY64" s="152">
        <f t="shared" ref="AY64" si="134">AX64*$AC64</f>
        <v>0</v>
      </c>
      <c r="AZ64" s="153">
        <v>3.6</v>
      </c>
      <c r="BA64" s="153">
        <v>8.39</v>
      </c>
      <c r="BB64" s="153"/>
      <c r="BC64" s="154">
        <f t="shared" ref="BC64" si="135">AZ64+BA64*(1-(AZ64/100))+BB64*(1-(AZ64+BA64)/100)</f>
        <v>11.68796</v>
      </c>
      <c r="BD64" s="155">
        <f t="shared" ref="BD64:BD68" si="136">BC64*$CD64</f>
        <v>44305.549972000001</v>
      </c>
      <c r="BE64" s="156">
        <f t="shared" ref="BE64:BE67" si="137">CD64</f>
        <v>3790.7</v>
      </c>
      <c r="BF64" s="157">
        <v>503</v>
      </c>
      <c r="BG64" s="157" t="s">
        <v>244</v>
      </c>
      <c r="BH64" s="156">
        <v>11.69</v>
      </c>
      <c r="BI64" s="158">
        <f t="shared" ref="BI64" si="138">BH64*$BE64</f>
        <v>44313.282999999996</v>
      </c>
      <c r="BJ64" s="156">
        <v>7.27</v>
      </c>
      <c r="BK64" s="158">
        <f t="shared" ref="BK64" si="139">BJ64*$BE64</f>
        <v>27558.388999999996</v>
      </c>
      <c r="BL64" s="156">
        <v>37.67</v>
      </c>
      <c r="BM64" s="159">
        <f t="shared" ref="BM64" si="140">BL64*$BE64</f>
        <v>142795.66899999999</v>
      </c>
      <c r="BN64" s="157">
        <v>3724</v>
      </c>
      <c r="BO64" s="159">
        <f t="shared" ref="BO64" si="141">BN64*$BE64</f>
        <v>14116566.799999999</v>
      </c>
      <c r="BP64" s="160"/>
      <c r="BQ64" s="156">
        <v>6.9</v>
      </c>
      <c r="BR64" s="158">
        <f t="shared" ref="BR64" si="142">BQ64*$BE64</f>
        <v>26155.83</v>
      </c>
      <c r="BS64" s="156">
        <v>37.82</v>
      </c>
      <c r="BT64" s="159">
        <f t="shared" ref="BT64" si="143">BS64*$BE64</f>
        <v>143364.274</v>
      </c>
      <c r="BU64" s="157">
        <v>3739</v>
      </c>
      <c r="BV64" s="161">
        <f t="shared" ref="BV64:BV68" si="144">BU64*$I64</f>
        <v>14173427.299999999</v>
      </c>
      <c r="BW64" s="157" t="s">
        <v>184</v>
      </c>
      <c r="BX64" s="157">
        <f t="shared" ref="BX64" si="145">ROUND(((100-BH64)/(100-BQ64)*BU64),0)</f>
        <v>3547</v>
      </c>
      <c r="BY64" s="161">
        <f t="shared" ref="BY64:BY68" si="146">BX64*$I64</f>
        <v>13445612.899999999</v>
      </c>
      <c r="BZ64" s="157">
        <f t="shared" ref="BZ64" si="147">ROUND(((100-BH64)/(100-BQ64)*BS64),2)</f>
        <v>35.869999999999997</v>
      </c>
      <c r="CA64" s="161">
        <f t="shared" ref="CA64" si="148">BZ64*$BE64</f>
        <v>135972.40899999999</v>
      </c>
      <c r="CB64" s="156">
        <f t="shared" ref="CB64" si="149">BH64-BQ64</f>
        <v>4.7899999999999991</v>
      </c>
      <c r="CC64" s="161">
        <f t="shared" ref="CC64" si="150">CB64*$BE64</f>
        <v>18157.452999999998</v>
      </c>
      <c r="CD64" s="162">
        <f t="shared" ref="CD64:CD68" si="151">N64</f>
        <v>3790.7</v>
      </c>
      <c r="CE64" s="163">
        <v>5.8</v>
      </c>
      <c r="CF64" s="164">
        <v>6.34</v>
      </c>
      <c r="CG64" s="165">
        <f t="shared" ref="CG64:CG65" si="152">CE64+CF64*(1-CE64/100)</f>
        <v>11.772279999999999</v>
      </c>
      <c r="CH64" s="166">
        <f t="shared" ref="CH64" si="153">CG64*$CD64</f>
        <v>44625.18179599999</v>
      </c>
      <c r="CI64" s="167">
        <v>43.37</v>
      </c>
      <c r="CJ64" s="166">
        <f t="shared" ref="CJ64" si="154">CI64*$CD64</f>
        <v>164402.65899999999</v>
      </c>
      <c r="CK64" s="168">
        <v>2.4500000000000002</v>
      </c>
      <c r="CL64" s="166">
        <f t="shared" ref="CL64" si="155">CK64*$CD64</f>
        <v>9287.2150000000001</v>
      </c>
      <c r="CM64" s="167">
        <v>27.79</v>
      </c>
      <c r="CN64" s="166">
        <f t="shared" ref="CN64" si="156">CM64*$CD64</f>
        <v>105343.55299999999</v>
      </c>
      <c r="CO64" s="169">
        <f t="shared" ref="CO64" si="157">8555.56-(145.56*CK64+94.11*CI64)</f>
        <v>4117.3872999999994</v>
      </c>
      <c r="CP64" s="166">
        <f t="shared" ref="CP64" si="158">CO64*$CD64</f>
        <v>15607780.038109997</v>
      </c>
      <c r="CQ64" s="167">
        <v>3816</v>
      </c>
      <c r="CR64" s="166">
        <f t="shared" ref="CR64" si="159">CQ64*$CD64</f>
        <v>14465311.199999999</v>
      </c>
      <c r="CS64" s="170">
        <f t="shared" ref="CS64" si="160">((100-CU64)/(100-CK64))*CI64</f>
        <v>43.236622245002557</v>
      </c>
      <c r="CT64" s="166">
        <f t="shared" ref="CT64" si="161">CS64*$CD64</f>
        <v>163897.06394413119</v>
      </c>
      <c r="CU64" s="168">
        <v>2.75</v>
      </c>
      <c r="CV64" s="166">
        <f t="shared" ref="CV64" si="162">CU64*$CD64</f>
        <v>10424.424999999999</v>
      </c>
      <c r="CW64" s="170">
        <f t="shared" ref="CW64:CW65" si="163">((100-CU64)/(100-CK64))*CM64</f>
        <v>27.704536135315223</v>
      </c>
      <c r="CX64" s="166">
        <f t="shared" ref="CX64" si="164">CW64*$CD64</f>
        <v>105019.58512813941</v>
      </c>
      <c r="CY64" s="171">
        <f t="shared" ref="CY64:CY65" si="165">((100-CU64)/(100-CK64))*CQ64</f>
        <v>3804.2644797539724</v>
      </c>
      <c r="CZ64" s="166">
        <f t="shared" ref="CZ64" si="166">CY64*$CD64</f>
        <v>14420825.363403382</v>
      </c>
      <c r="DA64" s="170" t="str">
        <f t="shared" si="37"/>
        <v>G12</v>
      </c>
      <c r="DB64" s="171">
        <f t="shared" ref="DB64" si="167">((100-CG64)/(100-CK64))*CQ64</f>
        <v>3451.3273144028708</v>
      </c>
      <c r="DC64" s="166">
        <f t="shared" ref="DC64" si="168">DB64*$CD64</f>
        <v>13082946.450706962</v>
      </c>
      <c r="DD64" s="170">
        <f t="shared" ref="DD64" si="169">((100-CG64)/(100-CK64))*CI64</f>
        <v>39.225384073808307</v>
      </c>
      <c r="DE64" s="221">
        <f t="shared" si="55"/>
        <v>148691.66340858515</v>
      </c>
      <c r="DF64" s="222">
        <f t="shared" ref="DF64" si="170">CG64-CU64</f>
        <v>9.0222799999999985</v>
      </c>
      <c r="DG64" s="221">
        <f t="shared" si="57"/>
        <v>34200.756795999994</v>
      </c>
      <c r="DH64" s="172">
        <f t="shared" si="115"/>
        <v>2</v>
      </c>
      <c r="DI64" s="173">
        <f>$CY64-$BU64</f>
        <v>65.26447975397241</v>
      </c>
      <c r="DJ64" s="174">
        <f t="shared" si="116"/>
        <v>2</v>
      </c>
      <c r="DK64" s="175">
        <f t="shared" si="117"/>
        <v>-489</v>
      </c>
      <c r="DL64" s="176">
        <f t="shared" si="118"/>
        <v>2</v>
      </c>
      <c r="DM64" s="175" t="e">
        <f t="shared" si="119"/>
        <v>#VALUE!</v>
      </c>
      <c r="DN64" s="177"/>
      <c r="DO64" s="178">
        <f t="shared" si="120"/>
        <v>95.672685597129203</v>
      </c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80"/>
      <c r="EC64" s="181">
        <f t="shared" si="47"/>
        <v>-65.26447975397241</v>
      </c>
      <c r="EE64" s="181"/>
    </row>
    <row r="65" spans="1:138" s="182" customFormat="1" ht="30">
      <c r="A65" s="74">
        <v>5</v>
      </c>
      <c r="B65" s="74">
        <v>50</v>
      </c>
      <c r="C65" s="138">
        <v>45819</v>
      </c>
      <c r="D65" s="139">
        <v>162001315</v>
      </c>
      <c r="E65" s="138">
        <v>45818</v>
      </c>
      <c r="F65" s="138"/>
      <c r="G65" s="138"/>
      <c r="H65" s="140">
        <v>3633.9</v>
      </c>
      <c r="I65" s="141">
        <v>3633.9</v>
      </c>
      <c r="J65" s="142"/>
      <c r="K65" s="568"/>
      <c r="L65" s="337">
        <v>59</v>
      </c>
      <c r="M65" s="571"/>
      <c r="N65" s="144">
        <v>3633.9</v>
      </c>
      <c r="O65" s="522" t="s">
        <v>197</v>
      </c>
      <c r="P65" s="145" t="s">
        <v>273</v>
      </c>
      <c r="Q65" s="146" t="s">
        <v>278</v>
      </c>
      <c r="R65" s="145"/>
      <c r="S65" s="145" t="s">
        <v>181</v>
      </c>
      <c r="T65" s="145"/>
      <c r="U65" s="147" t="s">
        <v>198</v>
      </c>
      <c r="V65" s="147" t="s">
        <v>199</v>
      </c>
      <c r="W65" s="147">
        <v>3250</v>
      </c>
      <c r="X65" s="519">
        <v>3805.17</v>
      </c>
      <c r="Y65" s="148"/>
      <c r="Z65" s="150"/>
      <c r="AA65" s="149"/>
      <c r="AB65" s="150"/>
      <c r="AC65" s="151"/>
      <c r="AD65" s="151"/>
      <c r="AE65" s="152">
        <f>AD65*$AC65</f>
        <v>0</v>
      </c>
      <c r="AF65" s="151"/>
      <c r="AG65" s="152">
        <f>AF65*$AC65</f>
        <v>0</v>
      </c>
      <c r="AH65" s="151"/>
      <c r="AI65" s="152">
        <f>AH65*$AC65</f>
        <v>0</v>
      </c>
      <c r="AJ65" s="149"/>
      <c r="AK65" s="152">
        <f>AJ65*$AC65</f>
        <v>0</v>
      </c>
      <c r="AL65" s="149"/>
      <c r="AM65" s="151"/>
      <c r="AN65" s="152">
        <f>AM65*$AC65</f>
        <v>0</v>
      </c>
      <c r="AO65" s="151"/>
      <c r="AP65" s="152">
        <f>AO65*$AC65</f>
        <v>0</v>
      </c>
      <c r="AQ65" s="174">
        <f t="shared" si="127"/>
        <v>3250</v>
      </c>
      <c r="AR65" s="152">
        <f t="shared" si="128"/>
        <v>11810175</v>
      </c>
      <c r="AS65" s="149"/>
      <c r="AT65" s="149">
        <f>ROUND(((100-AD65)/(100-AM65)*AQ65),0)</f>
        <v>3250</v>
      </c>
      <c r="AU65" s="152">
        <f>AT65*$AC65</f>
        <v>0</v>
      </c>
      <c r="AV65" s="149">
        <f t="shared" si="131"/>
        <v>0</v>
      </c>
      <c r="AW65" s="152">
        <f>AV65*$AC65</f>
        <v>0</v>
      </c>
      <c r="AX65" s="151">
        <f>$AD65-$AM65</f>
        <v>0</v>
      </c>
      <c r="AY65" s="152">
        <f>AX65*$AC65</f>
        <v>0</v>
      </c>
      <c r="AZ65" s="153">
        <v>4.8</v>
      </c>
      <c r="BA65" s="153">
        <v>6.4359999999999999</v>
      </c>
      <c r="BB65" s="153"/>
      <c r="BC65" s="154">
        <f>AZ65+BA65*(1-(AZ65/100))+BB65*(1-(AZ65+BA65)/100)</f>
        <v>10.927071999999999</v>
      </c>
      <c r="BD65" s="155">
        <f t="shared" si="136"/>
        <v>39707.886940799996</v>
      </c>
      <c r="BE65" s="156">
        <f t="shared" si="137"/>
        <v>3633.9</v>
      </c>
      <c r="BF65" s="157">
        <v>508</v>
      </c>
      <c r="BG65" s="157" t="s">
        <v>243</v>
      </c>
      <c r="BH65" s="156">
        <v>10.93</v>
      </c>
      <c r="BI65" s="158">
        <f>BH65*$BE65</f>
        <v>39718.527000000002</v>
      </c>
      <c r="BJ65" s="156">
        <v>8.1</v>
      </c>
      <c r="BK65" s="158">
        <f>BJ65*$BE65</f>
        <v>29434.59</v>
      </c>
      <c r="BL65" s="156">
        <v>47.8</v>
      </c>
      <c r="BM65" s="159">
        <f>BL65*$BE65</f>
        <v>173700.41999999998</v>
      </c>
      <c r="BN65" s="157">
        <v>2875</v>
      </c>
      <c r="BO65" s="159">
        <f>BN65*$BE65</f>
        <v>10447462.5</v>
      </c>
      <c r="BP65" s="160"/>
      <c r="BQ65" s="156">
        <v>7.68</v>
      </c>
      <c r="BR65" s="158">
        <f>BQ65*$BE65</f>
        <v>27908.351999999999</v>
      </c>
      <c r="BS65" s="156">
        <v>48.02</v>
      </c>
      <c r="BT65" s="159">
        <f>BS65*$BE65</f>
        <v>174499.87800000003</v>
      </c>
      <c r="BU65" s="157">
        <v>2888</v>
      </c>
      <c r="BV65" s="161">
        <f t="shared" si="144"/>
        <v>10494703.200000001</v>
      </c>
      <c r="BW65" s="157" t="s">
        <v>187</v>
      </c>
      <c r="BX65" s="157">
        <f>ROUND(((100-BH65)/(100-BQ65)*BU65),0)</f>
        <v>2786</v>
      </c>
      <c r="BY65" s="161">
        <f t="shared" si="146"/>
        <v>10124045.4</v>
      </c>
      <c r="BZ65" s="157">
        <f>ROUND(((100-BH65)/(100-BQ65)*BS65),2)</f>
        <v>46.33</v>
      </c>
      <c r="CA65" s="161">
        <f>BZ65*$BE65</f>
        <v>168358.587</v>
      </c>
      <c r="CB65" s="156">
        <f>BH65-BQ65</f>
        <v>3.25</v>
      </c>
      <c r="CC65" s="161">
        <f>CB65*$BE65</f>
        <v>11810.175000000001</v>
      </c>
      <c r="CD65" s="162">
        <f t="shared" si="151"/>
        <v>3633.9</v>
      </c>
      <c r="CE65" s="163">
        <v>4.8</v>
      </c>
      <c r="CF65" s="164">
        <v>6.44</v>
      </c>
      <c r="CG65" s="165">
        <f t="shared" si="152"/>
        <v>10.93088</v>
      </c>
      <c r="CH65" s="166">
        <f>CG65*$CD65</f>
        <v>39721.724832</v>
      </c>
      <c r="CI65" s="167">
        <v>47.74</v>
      </c>
      <c r="CJ65" s="166">
        <f>CI65*$CD65</f>
        <v>173482.386</v>
      </c>
      <c r="CK65" s="168">
        <v>5.56</v>
      </c>
      <c r="CL65" s="166">
        <f>CK65*$CD65</f>
        <v>20204.484</v>
      </c>
      <c r="CM65" s="167">
        <v>23.83</v>
      </c>
      <c r="CN65" s="166">
        <f>CM65*$CD65</f>
        <v>86595.837</v>
      </c>
      <c r="CO65" s="169">
        <f>8555.56-(145.56*CK65+94.11*CI65)</f>
        <v>3253.4349999999995</v>
      </c>
      <c r="CP65" s="166">
        <f>CO65*$CD65</f>
        <v>11822657.446499998</v>
      </c>
      <c r="CQ65" s="167">
        <v>2959</v>
      </c>
      <c r="CR65" s="166">
        <f>CQ65*$CD65</f>
        <v>10752710.1</v>
      </c>
      <c r="CS65" s="170">
        <f>((100-CU65)/(100-CK65))*CI65</f>
        <v>47.022181279119017</v>
      </c>
      <c r="CT65" s="166">
        <f>CS65*$CD65</f>
        <v>170873.90455019061</v>
      </c>
      <c r="CU65" s="168">
        <v>6.98</v>
      </c>
      <c r="CV65" s="166">
        <f>CU65*$CD65</f>
        <v>25364.622000000003</v>
      </c>
      <c r="CW65" s="170">
        <f t="shared" si="163"/>
        <v>23.471692079627275</v>
      </c>
      <c r="CX65" s="166">
        <f>CW65*$CD65</f>
        <v>85293.781848157552</v>
      </c>
      <c r="CY65" s="171">
        <f t="shared" si="165"/>
        <v>2914.5084709868697</v>
      </c>
      <c r="CZ65" s="166">
        <f>CY65*$CD65</f>
        <v>10591032.332719186</v>
      </c>
      <c r="DA65" s="170" t="str">
        <f t="shared" si="37"/>
        <v>G15</v>
      </c>
      <c r="DB65" s="171">
        <f>((100-CG65)/(100-CK65))*CQ65</f>
        <v>2790.7192511647609</v>
      </c>
      <c r="DC65" s="166">
        <f>DB65*$CD65</f>
        <v>10141194.686807625</v>
      </c>
      <c r="DD65" s="170">
        <f>((100-CG65)/(100-CK65))*CI65</f>
        <v>45.024987174925883</v>
      </c>
      <c r="DE65" s="221">
        <f>DD65*$CD65</f>
        <v>163616.30089496318</v>
      </c>
      <c r="DF65" s="222">
        <f>CG65-CU65</f>
        <v>3.9508799999999997</v>
      </c>
      <c r="DG65" s="221">
        <f>DF65*$CD65</f>
        <v>14357.102831999999</v>
      </c>
      <c r="DH65" s="172">
        <f t="shared" si="115"/>
        <v>-1</v>
      </c>
      <c r="DI65" s="173">
        <f>$CY65-$BU65</f>
        <v>26.508470986869725</v>
      </c>
      <c r="DJ65" s="174">
        <f t="shared" si="116"/>
        <v>-1</v>
      </c>
      <c r="DK65" s="175">
        <f t="shared" si="117"/>
        <v>362</v>
      </c>
      <c r="DL65" s="176">
        <f t="shared" si="118"/>
        <v>-1</v>
      </c>
      <c r="DM65" s="175" t="e">
        <f>MID(U65,2,LEN(U65))-MID(AS65,2,LEN(AS65))</f>
        <v>#VALUE!</v>
      </c>
      <c r="DN65" s="177"/>
      <c r="DO65" s="178">
        <f t="shared" si="120"/>
        <v>-4.7192511647608626</v>
      </c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80"/>
      <c r="EC65" s="181">
        <f t="shared" si="47"/>
        <v>-26.508470986869725</v>
      </c>
      <c r="EE65" s="181">
        <f>BX65-DB65</f>
        <v>-4.7192511647608626</v>
      </c>
    </row>
    <row r="66" spans="1:138" s="182" customFormat="1" ht="30">
      <c r="A66" s="74">
        <v>6</v>
      </c>
      <c r="B66" s="74">
        <v>52</v>
      </c>
      <c r="C66" s="138">
        <v>45819</v>
      </c>
      <c r="D66" s="139">
        <v>162001314</v>
      </c>
      <c r="E66" s="138">
        <v>45817</v>
      </c>
      <c r="F66" s="138"/>
      <c r="G66" s="138"/>
      <c r="H66" s="140">
        <v>4101.2</v>
      </c>
      <c r="I66" s="141">
        <v>4101.2</v>
      </c>
      <c r="J66" s="142"/>
      <c r="K66" s="568"/>
      <c r="L66" s="337">
        <v>59</v>
      </c>
      <c r="M66" s="571"/>
      <c r="N66" s="144">
        <v>4101.2</v>
      </c>
      <c r="O66" s="522" t="s">
        <v>197</v>
      </c>
      <c r="P66" s="145" t="s">
        <v>200</v>
      </c>
      <c r="Q66" s="146" t="s">
        <v>65</v>
      </c>
      <c r="R66" s="145"/>
      <c r="S66" s="145" t="s">
        <v>181</v>
      </c>
      <c r="T66" s="145"/>
      <c r="U66" s="572" t="s">
        <v>198</v>
      </c>
      <c r="V66" s="147" t="s">
        <v>199</v>
      </c>
      <c r="W66" s="147">
        <v>3250</v>
      </c>
      <c r="X66" s="519">
        <v>4189.3</v>
      </c>
      <c r="Y66" s="148"/>
      <c r="Z66" s="150"/>
      <c r="AA66" s="149"/>
      <c r="AB66" s="150"/>
      <c r="AC66" s="151"/>
      <c r="AD66" s="151"/>
      <c r="AE66" s="152">
        <f>AD66*$AC66</f>
        <v>0</v>
      </c>
      <c r="AF66" s="151"/>
      <c r="AG66" s="152">
        <f>AF66*$AC66</f>
        <v>0</v>
      </c>
      <c r="AH66" s="151"/>
      <c r="AI66" s="152">
        <f>AH66*$AC66</f>
        <v>0</v>
      </c>
      <c r="AJ66" s="149"/>
      <c r="AK66" s="152">
        <f>AJ66*$AC66</f>
        <v>0</v>
      </c>
      <c r="AL66" s="149"/>
      <c r="AM66" s="151"/>
      <c r="AN66" s="152">
        <f>AM66*$AC66</f>
        <v>0</v>
      </c>
      <c r="AO66" s="151"/>
      <c r="AP66" s="152">
        <f>AO66*$AC66</f>
        <v>0</v>
      </c>
      <c r="AQ66" s="174">
        <f t="shared" si="127"/>
        <v>3250</v>
      </c>
      <c r="AR66" s="152">
        <f t="shared" si="128"/>
        <v>13328900</v>
      </c>
      <c r="AS66" s="149"/>
      <c r="AT66" s="149">
        <f>ROUND(((100-AD66)/(100-AM66)*AQ66),0)</f>
        <v>3250</v>
      </c>
      <c r="AU66" s="152">
        <f>AT66*$AC66</f>
        <v>0</v>
      </c>
      <c r="AV66" s="149">
        <f>ROUND(((100-AD66)/(100-AM66)*AO66),2)</f>
        <v>0</v>
      </c>
      <c r="AW66" s="152">
        <f>AV66*$AC66</f>
        <v>0</v>
      </c>
      <c r="AX66" s="151">
        <f>$AD66-$AM66</f>
        <v>0</v>
      </c>
      <c r="AY66" s="152">
        <f>AX66*$AC66</f>
        <v>0</v>
      </c>
      <c r="AZ66" s="153">
        <v>3.7</v>
      </c>
      <c r="BA66" s="153">
        <v>4.0579999999999998</v>
      </c>
      <c r="BB66" s="153"/>
      <c r="BC66" s="154">
        <f>AZ66+BA66*(1-(AZ66/100))+BB66*(1-(AZ66+BA66)/100)</f>
        <v>7.6078539999999997</v>
      </c>
      <c r="BD66" s="155">
        <f t="shared" si="136"/>
        <v>31201.330824799996</v>
      </c>
      <c r="BE66" s="156">
        <f t="shared" si="137"/>
        <v>4101.2</v>
      </c>
      <c r="BF66" s="157">
        <v>508</v>
      </c>
      <c r="BG66" s="157" t="s">
        <v>243</v>
      </c>
      <c r="BH66" s="156">
        <v>11.46</v>
      </c>
      <c r="BI66" s="158">
        <f>BH66*$BE66</f>
        <v>46999.752</v>
      </c>
      <c r="BJ66" s="156">
        <v>7.18</v>
      </c>
      <c r="BK66" s="158">
        <f>BJ66*$BE66</f>
        <v>29446.615999999998</v>
      </c>
      <c r="BL66" s="156">
        <v>42.73</v>
      </c>
      <c r="BM66" s="159">
        <f>BL66*$BE66</f>
        <v>175244.27599999998</v>
      </c>
      <c r="BN66" s="157">
        <v>3248</v>
      </c>
      <c r="BO66" s="159">
        <f>BN66*$BE66</f>
        <v>13320697.6</v>
      </c>
      <c r="BP66" s="160"/>
      <c r="BQ66" s="156">
        <v>6.67</v>
      </c>
      <c r="BR66" s="158">
        <f>BQ66*$BE66</f>
        <v>27355.003999999997</v>
      </c>
      <c r="BS66" s="156">
        <v>42.96</v>
      </c>
      <c r="BT66" s="159">
        <f>BS66*$BE66</f>
        <v>176187.552</v>
      </c>
      <c r="BU66" s="157">
        <v>3266</v>
      </c>
      <c r="BV66" s="161">
        <f t="shared" si="144"/>
        <v>13394519.199999999</v>
      </c>
      <c r="BW66" s="157" t="s">
        <v>193</v>
      </c>
      <c r="BX66" s="157">
        <f>ROUND(((100-BH66)/(100-BQ66)*BU66),0)</f>
        <v>3098</v>
      </c>
      <c r="BY66" s="161">
        <f t="shared" si="146"/>
        <v>12705517.6</v>
      </c>
      <c r="BZ66" s="157">
        <f>ROUND(((100-BH66)/(100-BQ66)*BS66),2)</f>
        <v>40.76</v>
      </c>
      <c r="CA66" s="161">
        <f>BZ66*$BE66</f>
        <v>167164.91199999998</v>
      </c>
      <c r="CB66" s="156">
        <f>BH66-BQ66</f>
        <v>4.7900000000000009</v>
      </c>
      <c r="CC66" s="161">
        <f>CB66*$BE66</f>
        <v>19644.748000000003</v>
      </c>
      <c r="CD66" s="162">
        <f t="shared" si="151"/>
        <v>4101.2</v>
      </c>
      <c r="CE66" s="163">
        <v>3.7</v>
      </c>
      <c r="CF66" s="164">
        <v>8.06</v>
      </c>
      <c r="CG66" s="165">
        <f>CE66+CF66*(1-CE66/100)</f>
        <v>11.461780000000001</v>
      </c>
      <c r="CH66" s="166">
        <f>CG66*$CD66</f>
        <v>47007.052135999998</v>
      </c>
      <c r="CI66" s="167">
        <v>47.05</v>
      </c>
      <c r="CJ66" s="166">
        <f>CI66*$CD66</f>
        <v>192961.46</v>
      </c>
      <c r="CK66" s="168">
        <v>4.07</v>
      </c>
      <c r="CL66" s="166">
        <f>CK66*$CD66</f>
        <v>16691.884000000002</v>
      </c>
      <c r="CM66" s="167">
        <v>25.45</v>
      </c>
      <c r="CN66" s="166">
        <f>CM66*$CD66</f>
        <v>104375.54</v>
      </c>
      <c r="CO66" s="169">
        <f>8555.56-(145.56*CK66+94.11*CI66)</f>
        <v>3535.2552999999989</v>
      </c>
      <c r="CP66" s="166">
        <f>CO66*$CD66</f>
        <v>14498789.036359996</v>
      </c>
      <c r="CQ66" s="167">
        <v>3329</v>
      </c>
      <c r="CR66" s="166">
        <f>CQ66*$CD66</f>
        <v>13652894.799999999</v>
      </c>
      <c r="CS66" s="170">
        <f>((100-CU66)/(100-CK66))*CI66</f>
        <v>45.534473053268002</v>
      </c>
      <c r="CT66" s="166">
        <f>CS66*$CD66</f>
        <v>186745.98088606272</v>
      </c>
      <c r="CU66" s="168">
        <v>7.16</v>
      </c>
      <c r="CV66" s="166">
        <f>CU66*$CD66</f>
        <v>29364.592000000001</v>
      </c>
      <c r="CW66" s="170">
        <f>((100-CU66)/(100-CK66))*CM66</f>
        <v>24.630230376316064</v>
      </c>
      <c r="CX66" s="166">
        <f>CW66*$CD66</f>
        <v>101013.50081934744</v>
      </c>
      <c r="CY66" s="171">
        <f>((100-CU66)/(100-CK66))*CQ66</f>
        <v>3221.7696236839361</v>
      </c>
      <c r="CZ66" s="166">
        <f>CY66*$CD66</f>
        <v>13213121.580652557</v>
      </c>
      <c r="DA66" s="170" t="str">
        <f>IF(CY66&gt;=7000,"G1",IF(CY66&gt;=6700,"G2",IF(CY66&gt;=6400,"G3",IF(CY66&gt;=6100,"G4",IF(CY66&gt;=5800,"G5",IF(CY66&gt;=5500,"G6",IF(CY66&gt;=5200,"G7",IF(CY66&gt;=4900,"G8",IF(CY66&gt;=4600,"G9",IF(CY66&gt;=4300,"G10",IF(CY66&gt;=4000,"G11",IF(CY66&gt;=3700,"G12",IF(CY66&gt;=3400,"G13",IF(CY66&gt;=3100,"G14",IF(CY66&gt;=2800,"G15",IF(CY66&gt;=2500,"G16",IF(CY66&gt;=2200,"G17")))))))))))))))))</f>
        <v>G14</v>
      </c>
      <c r="DB66" s="171">
        <f>((100-CG66)/(100-CK66))*CQ66</f>
        <v>3072.4875886583964</v>
      </c>
      <c r="DC66" s="166">
        <f>DB66*$CD66</f>
        <v>12600886.098605815</v>
      </c>
      <c r="DD66" s="170">
        <f>((100-CG66)/(100-CK66))*CI66</f>
        <v>43.424614312519537</v>
      </c>
      <c r="DE66" s="221">
        <f>DD66*$CD66</f>
        <v>178093.02821850512</v>
      </c>
      <c r="DF66" s="222">
        <f>CG66-CU66</f>
        <v>4.3017800000000008</v>
      </c>
      <c r="DG66" s="221">
        <f>DF66*$CD66</f>
        <v>17642.460136000002</v>
      </c>
      <c r="DH66" s="172">
        <f t="shared" si="115"/>
        <v>0</v>
      </c>
      <c r="DI66" s="173"/>
      <c r="DJ66" s="174"/>
      <c r="DK66" s="175"/>
      <c r="DL66" s="176"/>
      <c r="DM66" s="175"/>
      <c r="DN66" s="177"/>
      <c r="DO66" s="178">
        <f t="shared" si="120"/>
        <v>25.512411341603638</v>
      </c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80"/>
      <c r="EC66" s="181">
        <f t="shared" si="47"/>
        <v>44.230376316063939</v>
      </c>
      <c r="EE66" s="181">
        <f>BX66-DB66</f>
        <v>25.512411341603638</v>
      </c>
    </row>
    <row r="67" spans="1:138" s="182" customFormat="1" ht="30.75" thickBot="1">
      <c r="A67" s="74">
        <v>7</v>
      </c>
      <c r="B67" s="74">
        <v>79</v>
      </c>
      <c r="C67" s="138">
        <v>45824</v>
      </c>
      <c r="D67" s="139">
        <v>162001319</v>
      </c>
      <c r="E67" s="138">
        <v>45822</v>
      </c>
      <c r="F67" s="138"/>
      <c r="G67" s="138"/>
      <c r="H67" s="140">
        <f>2054.2+1925.25</f>
        <v>3979.45</v>
      </c>
      <c r="I67" s="141">
        <f>2054.2+1925.25</f>
        <v>3979.45</v>
      </c>
      <c r="J67" s="142"/>
      <c r="K67" s="568"/>
      <c r="L67" s="337">
        <v>59</v>
      </c>
      <c r="M67" s="571"/>
      <c r="N67" s="144">
        <f>2054.2+1925.25</f>
        <v>3979.45</v>
      </c>
      <c r="O67" s="522" t="s">
        <v>197</v>
      </c>
      <c r="P67" s="145" t="s">
        <v>200</v>
      </c>
      <c r="Q67" s="146" t="s">
        <v>65</v>
      </c>
      <c r="R67" s="145"/>
      <c r="S67" s="145" t="s">
        <v>181</v>
      </c>
      <c r="T67" s="145"/>
      <c r="U67" s="572" t="s">
        <v>198</v>
      </c>
      <c r="V67" s="147" t="s">
        <v>199</v>
      </c>
      <c r="W67" s="147">
        <v>3250</v>
      </c>
      <c r="X67" s="519">
        <v>4060.25</v>
      </c>
      <c r="Y67" s="148"/>
      <c r="Z67" s="150"/>
      <c r="AA67" s="149"/>
      <c r="AB67" s="150"/>
      <c r="AC67" s="151"/>
      <c r="AD67" s="151"/>
      <c r="AE67" s="152">
        <f>AD67*$AC67</f>
        <v>0</v>
      </c>
      <c r="AF67" s="151"/>
      <c r="AG67" s="152">
        <f>AF67*$AC67</f>
        <v>0</v>
      </c>
      <c r="AH67" s="151"/>
      <c r="AI67" s="152">
        <f>AH67*$AC67</f>
        <v>0</v>
      </c>
      <c r="AJ67" s="149"/>
      <c r="AK67" s="152">
        <f>AJ67*$AC67</f>
        <v>0</v>
      </c>
      <c r="AL67" s="149"/>
      <c r="AM67" s="151"/>
      <c r="AN67" s="152">
        <f>AM67*$AC67</f>
        <v>0</v>
      </c>
      <c r="AO67" s="151"/>
      <c r="AP67" s="152">
        <f>AO67*$AC67</f>
        <v>0</v>
      </c>
      <c r="AQ67" s="174">
        <f t="shared" si="127"/>
        <v>3250</v>
      </c>
      <c r="AR67" s="152">
        <f t="shared" si="128"/>
        <v>12933212.5</v>
      </c>
      <c r="AS67" s="149"/>
      <c r="AT67" s="149">
        <f>ROUND(((100-AD67)/(100-AM67)*AQ67),0)</f>
        <v>3250</v>
      </c>
      <c r="AU67" s="152">
        <f>AT67*$AC67</f>
        <v>0</v>
      </c>
      <c r="AV67" s="149">
        <f t="shared" ref="AV67" si="171">ROUND(((100-AD67)/(100-AM67)*AO67),2)</f>
        <v>0</v>
      </c>
      <c r="AW67" s="152">
        <f>AV67*$AC67</f>
        <v>0</v>
      </c>
      <c r="AX67" s="151">
        <f>$AD67-$AM67</f>
        <v>0</v>
      </c>
      <c r="AY67" s="152">
        <f>AX67*$AC67</f>
        <v>0</v>
      </c>
      <c r="AZ67" s="153">
        <v>4.5</v>
      </c>
      <c r="BA67" s="153">
        <v>9.69</v>
      </c>
      <c r="BB67" s="153"/>
      <c r="BC67" s="154">
        <f>AZ67+BA67*(1-(AZ67/100))+BB67*(1-(AZ67+BA67)/100)</f>
        <v>13.75395</v>
      </c>
      <c r="BD67" s="155">
        <f t="shared" si="136"/>
        <v>54733.156327499993</v>
      </c>
      <c r="BE67" s="156">
        <f t="shared" si="137"/>
        <v>3979.45</v>
      </c>
      <c r="BF67" s="157">
        <v>513</v>
      </c>
      <c r="BG67" s="157" t="s">
        <v>249</v>
      </c>
      <c r="BH67" s="156">
        <v>13.75</v>
      </c>
      <c r="BI67" s="158">
        <f>BH67*$BE67</f>
        <v>54717.4375</v>
      </c>
      <c r="BJ67" s="156">
        <v>7.85</v>
      </c>
      <c r="BK67" s="158">
        <f>BJ67*$BE67</f>
        <v>31238.682499999995</v>
      </c>
      <c r="BL67" s="156">
        <v>42.64</v>
      </c>
      <c r="BM67" s="159">
        <f>BL67*$BE67</f>
        <v>169683.74799999999</v>
      </c>
      <c r="BN67" s="157">
        <v>3205</v>
      </c>
      <c r="BO67" s="159">
        <f>BN67*$BE67</f>
        <v>12754137.25</v>
      </c>
      <c r="BP67" s="160"/>
      <c r="BQ67" s="156">
        <v>6.28</v>
      </c>
      <c r="BR67" s="158">
        <f>BQ67*$BE67</f>
        <v>24990.946</v>
      </c>
      <c r="BS67" s="156">
        <v>43.37</v>
      </c>
      <c r="BT67" s="159">
        <f>BS67*$BE67</f>
        <v>172588.74649999998</v>
      </c>
      <c r="BU67" s="157">
        <v>3260</v>
      </c>
      <c r="BV67" s="161">
        <f t="shared" si="144"/>
        <v>12973007</v>
      </c>
      <c r="BW67" s="157" t="s">
        <v>193</v>
      </c>
      <c r="BX67" s="157">
        <f>ROUND(((100-BH67)/(100-BQ67)*BU67),0)</f>
        <v>3000</v>
      </c>
      <c r="BY67" s="161">
        <f t="shared" si="146"/>
        <v>11938350</v>
      </c>
      <c r="BZ67" s="157">
        <f>ROUND(((100-BH67)/(100-BQ67)*BS67),2)</f>
        <v>39.909999999999997</v>
      </c>
      <c r="CA67" s="161">
        <f>BZ67*$BE67</f>
        <v>158819.84949999998</v>
      </c>
      <c r="CB67" s="156">
        <f>BH67-BQ67</f>
        <v>7.47</v>
      </c>
      <c r="CC67" s="161">
        <f>CB67*$BE67</f>
        <v>29726.491499999996</v>
      </c>
      <c r="CD67" s="162">
        <f t="shared" si="151"/>
        <v>3979.45</v>
      </c>
      <c r="CE67" s="163">
        <v>4.5</v>
      </c>
      <c r="CF67" s="412">
        <v>9.6999999999999993</v>
      </c>
      <c r="CG67" s="165">
        <f t="shared" ref="CG67" si="172">CE67+CF67*(1-CE67/100)</f>
        <v>13.763499999999999</v>
      </c>
      <c r="CH67" s="166">
        <f>CG67*$CD67</f>
        <v>54771.160074999993</v>
      </c>
      <c r="CI67" s="167">
        <v>44.31</v>
      </c>
      <c r="CJ67" s="166">
        <f>CI67*$CD67</f>
        <v>176329.4295</v>
      </c>
      <c r="CK67" s="168">
        <v>6.31</v>
      </c>
      <c r="CL67" s="166">
        <f>CK67*$CD67</f>
        <v>25110.329499999996</v>
      </c>
      <c r="CM67" s="167">
        <v>26.04</v>
      </c>
      <c r="CN67" s="166">
        <f>CM67*$CD67</f>
        <v>103624.878</v>
      </c>
      <c r="CO67" s="169">
        <f>8555.56-(145.56*CK67+94.11*CI67)</f>
        <v>3467.0622999999996</v>
      </c>
      <c r="CP67" s="166">
        <f>CO67*$CD67</f>
        <v>13797001.069734998</v>
      </c>
      <c r="CQ67" s="167">
        <v>3233</v>
      </c>
      <c r="CR67" s="166">
        <f>CQ67*$CD67</f>
        <v>12865561.85</v>
      </c>
      <c r="CS67" s="170">
        <f>((100-CU67)/(100-CK67))*CI67</f>
        <v>43.974210694844707</v>
      </c>
      <c r="CT67" s="166">
        <f>CS67*$CD67</f>
        <v>174993.17274959976</v>
      </c>
      <c r="CU67" s="168">
        <v>7.02</v>
      </c>
      <c r="CV67" s="166">
        <f>CU67*$CD67</f>
        <v>27935.738999999998</v>
      </c>
      <c r="CW67" s="170">
        <f t="shared" ref="CW67" si="173">((100-CU67)/(100-CK67))*CM67</f>
        <v>25.842664105027218</v>
      </c>
      <c r="CX67" s="166">
        <f>CW67*$CD67</f>
        <v>102839.58967275056</v>
      </c>
      <c r="CY67" s="171">
        <f t="shared" ref="CY67" si="174">((100-CU67)/(100-CK67))*CQ67</f>
        <v>3208.4997331625577</v>
      </c>
      <c r="CZ67" s="166">
        <f>CY67*$CD67</f>
        <v>12768064.26313374</v>
      </c>
      <c r="DA67" s="170" t="str">
        <f t="shared" ref="DA67" si="175">IF(CY67&gt;=7000,"G1",IF(CY67&gt;=6700,"G2",IF(CY67&gt;=6400,"G3",IF(CY67&gt;=6100,"G4",IF(CY67&gt;=5800,"G5",IF(CY67&gt;=5500,"G6",IF(CY67&gt;=5200,"G7",IF(CY67&gt;=4900,"G8",IF(CY67&gt;=4600,"G9",IF(CY67&gt;=4300,"G10",IF(CY67&gt;=4000,"G11",IF(CY67&gt;=3700,"G12",IF(CY67&gt;=3400,"G13",IF(CY67&gt;=3100,"G14",IF(CY67&gt;=2800,"G15",IF(CY67&gt;=2500,"G16",IF(CY67&gt;=2200,"G17")))))))))))))))))</f>
        <v>G14</v>
      </c>
      <c r="DB67" s="171">
        <f>((100-CG67)/(100-CK67))*CQ67</f>
        <v>2975.7989593339739</v>
      </c>
      <c r="DC67" s="166">
        <f>DB67*$CD67</f>
        <v>11842043.168721583</v>
      </c>
      <c r="DD67" s="170">
        <f>((100-CG67)/(100-CK67))*CI67</f>
        <v>40.784921709894341</v>
      </c>
      <c r="DE67" s="221">
        <f>DD67*$CD67</f>
        <v>162301.55669843903</v>
      </c>
      <c r="DF67" s="222">
        <f>CG67-CU67</f>
        <v>6.7434999999999992</v>
      </c>
      <c r="DG67" s="221">
        <f>DF67*$CD67</f>
        <v>26835.421074999995</v>
      </c>
      <c r="DH67" s="172">
        <f t="shared" si="115"/>
        <v>0</v>
      </c>
      <c r="DI67" s="173">
        <f>$CY67-$BU67</f>
        <v>-51.500266837442268</v>
      </c>
      <c r="DJ67" s="174">
        <f t="shared" ref="DJ67" si="176">MID(U67,2,LEN(U67))-MID(BW67,2,LEN(BW67))</f>
        <v>0</v>
      </c>
      <c r="DK67" s="175">
        <f t="shared" ref="DK67" si="177">$AQ67-$BU67</f>
        <v>-10</v>
      </c>
      <c r="DL67" s="176">
        <f t="shared" ref="DL67" si="178">MID(U67,2,LEN(U67))-MID(BW67,2,LEN(BW67))</f>
        <v>0</v>
      </c>
      <c r="DM67" s="175" t="e">
        <f>MID(U67,2,LEN(U67))-MID(AS67,2,LEN(AS67))</f>
        <v>#VALUE!</v>
      </c>
      <c r="DN67" s="177"/>
      <c r="DO67" s="178">
        <f t="shared" si="120"/>
        <v>24.201040666026074</v>
      </c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80"/>
      <c r="EC67" s="181">
        <f t="shared" ref="EC67:EC111" si="179">BU67-CY67</f>
        <v>51.500266837442268</v>
      </c>
      <c r="EE67" s="181"/>
    </row>
    <row r="68" spans="1:138" s="182" customFormat="1" ht="30">
      <c r="A68" s="74">
        <v>8</v>
      </c>
      <c r="B68" s="74">
        <v>101</v>
      </c>
      <c r="C68" s="138">
        <v>45828</v>
      </c>
      <c r="D68" s="139">
        <v>142000034</v>
      </c>
      <c r="E68" s="138">
        <v>45827</v>
      </c>
      <c r="F68" s="138"/>
      <c r="G68" s="138"/>
      <c r="H68" s="140">
        <v>3450.2</v>
      </c>
      <c r="I68" s="616">
        <v>3300.2</v>
      </c>
      <c r="J68" s="142"/>
      <c r="K68" s="568"/>
      <c r="L68" s="337">
        <v>55</v>
      </c>
      <c r="M68" s="571"/>
      <c r="N68" s="144">
        <v>3450.2</v>
      </c>
      <c r="O68" s="522" t="s">
        <v>197</v>
      </c>
      <c r="P68" s="145" t="s">
        <v>251</v>
      </c>
      <c r="Q68" s="145" t="s">
        <v>252</v>
      </c>
      <c r="R68" s="145"/>
      <c r="S68" s="145" t="s">
        <v>181</v>
      </c>
      <c r="T68" s="145"/>
      <c r="U68" s="147" t="s">
        <v>198</v>
      </c>
      <c r="V68" s="147" t="s">
        <v>199</v>
      </c>
      <c r="W68" s="147">
        <v>3250</v>
      </c>
      <c r="X68" s="519">
        <v>3610.89</v>
      </c>
      <c r="Y68" s="148"/>
      <c r="Z68" s="150"/>
      <c r="AA68" s="149"/>
      <c r="AB68" s="150"/>
      <c r="AC68" s="151"/>
      <c r="AD68" s="151"/>
      <c r="AE68" s="152">
        <f>AD68*$AC68</f>
        <v>0</v>
      </c>
      <c r="AF68" s="151"/>
      <c r="AG68" s="152">
        <f>AF68*$AC68</f>
        <v>0</v>
      </c>
      <c r="AH68" s="151"/>
      <c r="AI68" s="152">
        <f>AH68*$AC68</f>
        <v>0</v>
      </c>
      <c r="AJ68" s="149"/>
      <c r="AK68" s="152">
        <f>AJ68*$AC68</f>
        <v>0</v>
      </c>
      <c r="AL68" s="149"/>
      <c r="AM68" s="151"/>
      <c r="AN68" s="152">
        <f>AM68*$AC68</f>
        <v>0</v>
      </c>
      <c r="AO68" s="151"/>
      <c r="AP68" s="152">
        <f>AO68*$AC68</f>
        <v>0</v>
      </c>
      <c r="AQ68" s="174">
        <f t="shared" si="127"/>
        <v>3250</v>
      </c>
      <c r="AR68" s="152">
        <f t="shared" si="128"/>
        <v>10725650</v>
      </c>
      <c r="AS68" s="149"/>
      <c r="AT68" s="149">
        <f>ROUND(((100-AD68)/(100-AM68)*AQ68),0)</f>
        <v>3250</v>
      </c>
      <c r="AU68" s="152">
        <f>AT68*$AC68</f>
        <v>0</v>
      </c>
      <c r="AV68" s="149">
        <f>ROUND(((100-AD68)/(100-AM68)*AO68),2)</f>
        <v>0</v>
      </c>
      <c r="AW68" s="152">
        <f>AV68*$AC68</f>
        <v>0</v>
      </c>
      <c r="AX68" s="151">
        <f>$AD68-$AM68</f>
        <v>0</v>
      </c>
      <c r="AY68" s="152">
        <f>AX68*$AC68</f>
        <v>0</v>
      </c>
      <c r="AZ68" s="153">
        <v>4.4000000000000004</v>
      </c>
      <c r="BA68" s="153">
        <v>10.35</v>
      </c>
      <c r="BB68" s="153"/>
      <c r="BC68" s="154">
        <f>AZ68+BA68*(1-(AZ68/100))+BB68*(1-(AZ68+BA68)/100)</f>
        <v>14.294599999999999</v>
      </c>
      <c r="BD68" s="155">
        <f t="shared" si="136"/>
        <v>49319.228919999994</v>
      </c>
      <c r="BE68" s="156"/>
      <c r="BF68" s="157"/>
      <c r="BG68" s="157"/>
      <c r="BH68" s="156"/>
      <c r="BI68" s="158">
        <f>BH68*$BE68</f>
        <v>0</v>
      </c>
      <c r="BJ68" s="156"/>
      <c r="BK68" s="158">
        <f>BJ68*$BE68</f>
        <v>0</v>
      </c>
      <c r="BL68" s="156"/>
      <c r="BM68" s="159">
        <f>BL68*$BE68</f>
        <v>0</v>
      </c>
      <c r="BN68" s="157"/>
      <c r="BO68" s="159">
        <f>BN68*$BE68</f>
        <v>0</v>
      </c>
      <c r="BP68" s="160"/>
      <c r="BQ68" s="156"/>
      <c r="BR68" s="158">
        <f>BQ68*$BE68</f>
        <v>0</v>
      </c>
      <c r="BS68" s="156"/>
      <c r="BT68" s="159">
        <f>BS68*$BE68</f>
        <v>0</v>
      </c>
      <c r="BU68" s="472">
        <f t="shared" ref="BU68" si="180">CY68</f>
        <v>3306.008138787749</v>
      </c>
      <c r="BV68" s="161">
        <f t="shared" si="144"/>
        <v>10910488.059627328</v>
      </c>
      <c r="BW68" s="157"/>
      <c r="BX68" s="472">
        <f t="shared" ref="BX68" si="181">DB68</f>
        <v>3020.0078105590064</v>
      </c>
      <c r="BY68" s="161">
        <f t="shared" si="146"/>
        <v>9966629.776406832</v>
      </c>
      <c r="BZ68" s="157">
        <f>ROUND(((100-BH68)/(100-BQ68)*BS68),2)</f>
        <v>0</v>
      </c>
      <c r="CA68" s="161">
        <f>BZ68*$BE68</f>
        <v>0</v>
      </c>
      <c r="CB68" s="156">
        <f>BH68-BQ68</f>
        <v>0</v>
      </c>
      <c r="CC68" s="161">
        <f>CB68*$BE68</f>
        <v>0</v>
      </c>
      <c r="CD68" s="162">
        <f t="shared" si="151"/>
        <v>3450.2</v>
      </c>
      <c r="CE68" s="163">
        <v>4.3</v>
      </c>
      <c r="CF68" s="164">
        <v>10.35</v>
      </c>
      <c r="CG68" s="165">
        <f>CE68+CF68*(1-CE68/100)</f>
        <v>14.20495</v>
      </c>
      <c r="CH68" s="166">
        <f>CG68*$CD68</f>
        <v>49009.918489999996</v>
      </c>
      <c r="CI68" s="167">
        <v>39.53</v>
      </c>
      <c r="CJ68" s="166">
        <f>CI68*$CD68</f>
        <v>136386.40599999999</v>
      </c>
      <c r="CK68" s="168">
        <v>6.62</v>
      </c>
      <c r="CL68" s="166">
        <f>CK68*$CD68</f>
        <v>22840.324000000001</v>
      </c>
      <c r="CM68" s="167">
        <v>25.48</v>
      </c>
      <c r="CN68" s="166">
        <f>CM68*$CD68</f>
        <v>87911.09599999999</v>
      </c>
      <c r="CO68" s="169">
        <f>8555.56-(145.56*CK68+94.11*CI68)</f>
        <v>3871.7844999999988</v>
      </c>
      <c r="CP68" s="166">
        <f>CO68*$CD68</f>
        <v>13358430.881899996</v>
      </c>
      <c r="CQ68" s="167">
        <v>3287</v>
      </c>
      <c r="CR68" s="166">
        <f>CQ68*$CD68</f>
        <v>11340807.399999999</v>
      </c>
      <c r="CS68" s="170">
        <f>((100-CU68)/(100-CK68))*CI68</f>
        <v>39.758594988220175</v>
      </c>
      <c r="CT68" s="166">
        <f>CS68*$CD68</f>
        <v>137175.10442835724</v>
      </c>
      <c r="CU68" s="168">
        <v>6.08</v>
      </c>
      <c r="CV68" s="166">
        <f>CU68*$CD68</f>
        <v>20977.216</v>
      </c>
      <c r="CW68" s="170">
        <f>((100-CU68)/(100-CK68))*CM68</f>
        <v>25.62734632683658</v>
      </c>
      <c r="CX68" s="166">
        <f>CW68*$CD68</f>
        <v>88419.470296851563</v>
      </c>
      <c r="CY68" s="171">
        <f>((100-CU68)/(100-CK68))*CQ68</f>
        <v>3306.008138787749</v>
      </c>
      <c r="CZ68" s="166">
        <f>CY68*$CD68</f>
        <v>11406389.28044549</v>
      </c>
      <c r="DA68" s="170" t="str">
        <f>IF(CY68&gt;=7000,"G1",IF(CY68&gt;=6700,"G2",IF(CY68&gt;=6400,"G3",IF(CY68&gt;=6100,"G4",IF(CY68&gt;=5800,"G5",IF(CY68&gt;=5500,"G6",IF(CY68&gt;=5200,"G7",IF(CY68&gt;=4900,"G8",IF(CY68&gt;=4600,"G9",IF(CY68&gt;=4300,"G10",IF(CY68&gt;=4000,"G11",IF(CY68&gt;=3700,"G12",IF(CY68&gt;=3400,"G13",IF(CY68&gt;=3100,"G14",IF(CY68&gt;=2800,"G15",IF(CY68&gt;=2500,"G16",IF(CY68&gt;=2200,"G17")))))))))))))))))</f>
        <v>G14</v>
      </c>
      <c r="DB68" s="171">
        <f>((100-CG68)/(100-CK68))*CQ68</f>
        <v>3020.0078105590064</v>
      </c>
      <c r="DC68" s="166">
        <f>DB68*$CD68</f>
        <v>10419630.947990684</v>
      </c>
      <c r="DD68" s="170">
        <f>((100-CG68)/(100-CK68))*CI68</f>
        <v>36.319108229813672</v>
      </c>
      <c r="DE68" s="221">
        <f>DD68*$CD68</f>
        <v>125308.18721450312</v>
      </c>
      <c r="DF68" s="222">
        <f>CG68-CU68</f>
        <v>8.1249500000000001</v>
      </c>
      <c r="DG68" s="221">
        <f>DF68*$CD68</f>
        <v>28032.70249</v>
      </c>
      <c r="DH68" s="172">
        <f t="shared" si="115"/>
        <v>0</v>
      </c>
      <c r="DI68" s="173">
        <f>$CY68-$BU68</f>
        <v>0</v>
      </c>
      <c r="DJ68" s="174" t="e">
        <f>MID(U68,2,LEN(U68))-MID(BW68,2,LEN(BW68))</f>
        <v>#VALUE!</v>
      </c>
      <c r="DK68" s="175">
        <f>$AQ68-$BU68</f>
        <v>-56.008138787748976</v>
      </c>
      <c r="DL68" s="176" t="e">
        <f>MID(U68,2,LEN(U68))-MID(BW68,2,LEN(BW68))</f>
        <v>#VALUE!</v>
      </c>
      <c r="DM68" s="175" t="e">
        <f>MID(U68,2,LEN(U68))-MID(AS68,2,LEN(AS68))</f>
        <v>#VALUE!</v>
      </c>
      <c r="DN68" s="177"/>
      <c r="DO68" s="178">
        <f t="shared" si="120"/>
        <v>0</v>
      </c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80"/>
      <c r="EC68" s="181">
        <f t="shared" si="179"/>
        <v>0</v>
      </c>
      <c r="EE68" s="181"/>
      <c r="EH68" s="617"/>
    </row>
    <row r="69" spans="1:138" s="237" customFormat="1" ht="15.75">
      <c r="A69" s="224" t="s">
        <v>256</v>
      </c>
      <c r="B69" s="225"/>
      <c r="C69" s="225"/>
      <c r="D69" s="225"/>
      <c r="E69" s="225"/>
      <c r="F69" s="225"/>
      <c r="G69" s="225"/>
      <c r="H69" s="226">
        <f>SUM(H64:H68)</f>
        <v>18955.45</v>
      </c>
      <c r="I69" s="226">
        <f>SUM(I64:I68)</f>
        <v>18805.45</v>
      </c>
      <c r="J69" s="226"/>
      <c r="K69" s="226"/>
      <c r="L69" s="226"/>
      <c r="M69" s="225"/>
      <c r="N69" s="226">
        <f>SUM(N64:N68)</f>
        <v>18955.45</v>
      </c>
      <c r="O69" s="224"/>
      <c r="P69" s="225"/>
      <c r="Q69" s="225"/>
      <c r="R69" s="225"/>
      <c r="S69" s="225"/>
      <c r="T69" s="225"/>
      <c r="U69" s="225"/>
      <c r="V69" s="225"/>
      <c r="W69" s="231">
        <f>SUMPRODUCT(W64:W68,I64:I68)/I69</f>
        <v>3250</v>
      </c>
      <c r="X69" s="226">
        <f>SUM(X64:X68)</f>
        <v>19577.59</v>
      </c>
      <c r="Y69" s="226">
        <f>SUM(Y64:Y68)</f>
        <v>0</v>
      </c>
      <c r="Z69" s="226"/>
      <c r="AA69" s="225"/>
      <c r="AB69" s="228"/>
      <c r="AC69" s="226">
        <f>SUM(AC64:AC68)</f>
        <v>0</v>
      </c>
      <c r="AD69" s="229" t="e">
        <f>AE69/$AC69</f>
        <v>#DIV/0!</v>
      </c>
      <c r="AE69" s="226">
        <f>SUM(AE64:AE68)</f>
        <v>0</v>
      </c>
      <c r="AF69" s="229" t="e">
        <f>AG69/$AC69</f>
        <v>#DIV/0!</v>
      </c>
      <c r="AG69" s="226">
        <f>SUM(AG64:AG68)</f>
        <v>0</v>
      </c>
      <c r="AH69" s="229" t="e">
        <f>AI69/$AC69</f>
        <v>#DIV/0!</v>
      </c>
      <c r="AI69" s="226">
        <f>SUM(AI64:AI68)</f>
        <v>0</v>
      </c>
      <c r="AJ69" s="229" t="e">
        <f>AK69/$AC69</f>
        <v>#DIV/0!</v>
      </c>
      <c r="AK69" s="226">
        <f>SUM(AK64:AK68)</f>
        <v>0</v>
      </c>
      <c r="AL69" s="225"/>
      <c r="AM69" s="229" t="e">
        <f>AN69/$AC69</f>
        <v>#DIV/0!</v>
      </c>
      <c r="AN69" s="226">
        <f>SUM(AN64:AN68)</f>
        <v>0</v>
      </c>
      <c r="AO69" s="229" t="e">
        <f>AP69/$AC69</f>
        <v>#DIV/0!</v>
      </c>
      <c r="AP69" s="226">
        <f>SUM(AP64:AP68)</f>
        <v>0</v>
      </c>
      <c r="AQ69" s="229">
        <f>AR69/$I69</f>
        <v>3250</v>
      </c>
      <c r="AR69" s="226">
        <f>SUM(AR64:AR68)</f>
        <v>61117712.5</v>
      </c>
      <c r="AS69" s="230" t="str">
        <f t="shared" ref="AS69:AS79" si="182">IF(AQ69&gt;=7000,"G1",IF(AQ69&gt;=6700,"G2",IF(AQ69&gt;=6400,"G3",IF(AQ69&gt;=6100,"G4",IF(AQ69&gt;=5800,"G5",IF(AQ69&gt;=5500,"G6",IF(AQ69&gt;=5200,"G7",IF(AQ69&gt;=4900,"G8",IF(AQ69&gt;=4600,"G9",IF(AQ69&gt;=4300,"G10",IF(AQ69&gt;=4000,"G11",IF(AQ69&gt;=3700,"G12",IF(AQ69&gt;=3400,"G13",IF(AQ69&gt;=3100,"G14",IF(AQ69&gt;=2800,"G15",IF(AQ69&gt;=2500,"G16",IF(AQ69&gt;=2200,"G17")))))))))))))))))</f>
        <v>G14</v>
      </c>
      <c r="AT69" s="229" t="e">
        <f>AU69/$AC69</f>
        <v>#DIV/0!</v>
      </c>
      <c r="AU69" s="226">
        <f>SUM(AU64:AU68)</f>
        <v>0</v>
      </c>
      <c r="AV69" s="229" t="e">
        <f>AW69/$AC69</f>
        <v>#DIV/0!</v>
      </c>
      <c r="AW69" s="226">
        <f>SUM(AW64:AW68)</f>
        <v>0</v>
      </c>
      <c r="AX69" s="229" t="e">
        <f>AY69/$AC69</f>
        <v>#DIV/0!</v>
      </c>
      <c r="AY69" s="226">
        <f>SUM(AY64:AY68)</f>
        <v>0</v>
      </c>
      <c r="AZ69" s="225"/>
      <c r="BA69" s="225"/>
      <c r="BB69" s="225"/>
      <c r="BC69" s="225">
        <f>BD69/$I69</f>
        <v>11.659766343538706</v>
      </c>
      <c r="BD69" s="226">
        <f>SUM(BD64:BD68)</f>
        <v>219267.15298509997</v>
      </c>
      <c r="BE69" s="226">
        <f>SUM(BE64:BE68)</f>
        <v>15505.25</v>
      </c>
      <c r="BF69" s="225"/>
      <c r="BG69" s="225"/>
      <c r="BH69" s="226">
        <f>BI69/$BE69</f>
        <v>11.979748762515923</v>
      </c>
      <c r="BI69" s="226">
        <f>SUM(BI64:BI68)</f>
        <v>185748.99950000001</v>
      </c>
      <c r="BJ69" s="226">
        <f>BK69/$BE69</f>
        <v>7.5895762725528435</v>
      </c>
      <c r="BK69" s="226">
        <f>SUM(BK64:BK68)</f>
        <v>117678.27749999998</v>
      </c>
      <c r="BL69" s="226">
        <f>BM69/$BE69</f>
        <v>42.658074716628242</v>
      </c>
      <c r="BM69" s="226">
        <f>SUM(BM64:BM68)</f>
        <v>661424.11300000001</v>
      </c>
      <c r="BN69" s="226">
        <f>BO69/$BE69</f>
        <v>3265.9172957546634</v>
      </c>
      <c r="BO69" s="226">
        <f>SUM(BO64:BO68)</f>
        <v>50638864.149999999</v>
      </c>
      <c r="BP69" s="226">
        <f>BQ69/$BE69</f>
        <v>4.4261429479278244E-4</v>
      </c>
      <c r="BQ69" s="226">
        <f>BR69/$BE69</f>
        <v>6.8628452943357896</v>
      </c>
      <c r="BR69" s="226">
        <f>SUM(BR64:BR68)</f>
        <v>106410.132</v>
      </c>
      <c r="BS69" s="226">
        <f>BT69/$BE69</f>
        <v>42.994498669805388</v>
      </c>
      <c r="BT69" s="226">
        <f>SUM(BT64:BT68)</f>
        <v>666640.45050000004</v>
      </c>
      <c r="BU69" s="226">
        <f>BV69/$I69</f>
        <v>3294.0527751065424</v>
      </c>
      <c r="BV69" s="226">
        <f>SUM(BV64:BV68)</f>
        <v>61946144.759627327</v>
      </c>
      <c r="BW69" s="230" t="str">
        <f t="shared" ref="BW69:BW79" si="183">IF(BU69&gt;=7000,"G1",IF(BU69&gt;=6700,"G2",IF(BU69&gt;=6400,"G3",IF(BU69&gt;=6100,"G4",IF(BU69&gt;=5800,"G5",IF(BU69&gt;=5500,"G6",IF(BU69&gt;=5200,"G7",IF(BU69&gt;=4900,"G8",IF(BU69&gt;=4600,"G9",IF(BU69&gt;=4300,"G10",IF(BU69&gt;=4000,"G11",IF(BU69&gt;=3700,"G12",IF(BU69&gt;=3400,"G13",IF(BU69&gt;=3100,"G14",IF(BU69&gt;=2800,"G15",IF(BU69&gt;=2500,"G16",IF(BU69&gt;=2200,"G17")))))))))))))))))</f>
        <v>G14</v>
      </c>
      <c r="BX69" s="226">
        <f>BY69/$I69</f>
        <v>3093.7922610948863</v>
      </c>
      <c r="BY69" s="226">
        <f>SUM(BY64:BY68)</f>
        <v>58180155.676406831</v>
      </c>
      <c r="BZ69" s="226">
        <f>CA69/$BE69</f>
        <v>40.651763596201285</v>
      </c>
      <c r="CA69" s="226">
        <f>SUM(CA64:CA68)</f>
        <v>630315.75749999995</v>
      </c>
      <c r="CB69" s="226">
        <f>CC69/$BE69</f>
        <v>5.1169034681801318</v>
      </c>
      <c r="CC69" s="226">
        <f>SUM(CC64:CC68)</f>
        <v>79338.867499999993</v>
      </c>
      <c r="CD69" s="226">
        <f>SUM(CD64:CD68)</f>
        <v>18955.45</v>
      </c>
      <c r="CE69" s="232"/>
      <c r="CF69" s="225"/>
      <c r="CG69" s="226">
        <f>CH69/$CD69</f>
        <v>12.404613835545975</v>
      </c>
      <c r="CH69" s="226">
        <f>SUM(CH64:CH68)</f>
        <v>235135.03732899996</v>
      </c>
      <c r="CI69" s="226">
        <f>CJ69/$CD69</f>
        <v>44.502364254079957</v>
      </c>
      <c r="CJ69" s="226">
        <f>SUM(CJ64:CJ68)</f>
        <v>843562.34049999993</v>
      </c>
      <c r="CK69" s="226">
        <f>CL69/$CD69</f>
        <v>4.966077645215492</v>
      </c>
      <c r="CL69" s="226">
        <f>SUM(CL64:CL68)</f>
        <v>94134.236499999999</v>
      </c>
      <c r="CM69" s="226">
        <f>CN69/$CD69</f>
        <v>25.736709178626725</v>
      </c>
      <c r="CN69" s="226">
        <f>SUM(CN64:CN68)</f>
        <v>487850.90399999998</v>
      </c>
      <c r="CO69" s="231">
        <f>CP69/$CD69</f>
        <v>3644.5802380109662</v>
      </c>
      <c r="CP69" s="226">
        <f>SUM(CP64:CP68)</f>
        <v>69084658.472604975</v>
      </c>
      <c r="CQ69" s="226">
        <f>CR69/$CD69</f>
        <v>3327.6596097692218</v>
      </c>
      <c r="CR69" s="226">
        <f>SUM(CR64:CR68)</f>
        <v>63077285.349999994</v>
      </c>
      <c r="CS69" s="226">
        <f>CT69/$CD69</f>
        <v>43.981294380156712</v>
      </c>
      <c r="CT69" s="226">
        <f>SUM(CT64:CT68)</f>
        <v>833685.22655834153</v>
      </c>
      <c r="CU69" s="226">
        <f>CV69/$CD69</f>
        <v>6.0176146701872026</v>
      </c>
      <c r="CV69" s="226">
        <f>SUM(CV64:CV68)</f>
        <v>114066.59400000001</v>
      </c>
      <c r="CW69" s="226">
        <f>CX69/$CD69</f>
        <v>25.458953903243998</v>
      </c>
      <c r="CX69" s="226">
        <f>SUM(CX64:CX68)</f>
        <v>482585.92776524648</v>
      </c>
      <c r="CY69" s="231">
        <f>CZ69/$CD69</f>
        <v>3291.8993123536688</v>
      </c>
      <c r="CZ69" s="226">
        <f>SUM(CZ64:CZ68)</f>
        <v>62399432.820354357</v>
      </c>
      <c r="DA69" s="230" t="str">
        <f t="shared" ref="DA69:DA79" si="184">IF(CY69&gt;=7000,"G1",IF(CY69&gt;=6700,"G2",IF(CY69&gt;=6400,"G3",IF(CY69&gt;=6100,"G4",IF(CY69&gt;=5800,"G5",IF(CY69&gt;=5500,"G6",IF(CY69&gt;=5200,"G7",IF(CY69&gt;=4900,"G8",IF(CY69&gt;=4600,"G9",IF(CY69&gt;=4300,"G10",IF(CY69&gt;=4000,"G11",IF(CY69&gt;=3700,"G12",IF(CY69&gt;=3400,"G13",IF(CY69&gt;=3100,"G14",IF(CY69&gt;=2800,"G15",IF(CY69&gt;=2500,"G16",IF(CY69&gt;=2200,"G17")))))))))))))))))</f>
        <v>G14</v>
      </c>
      <c r="DB69" s="231">
        <f>DC69/$CD69</f>
        <v>3064.3799726639395</v>
      </c>
      <c r="DC69" s="226">
        <f>SUM(DC64:DC68)</f>
        <v>58086701.352832675</v>
      </c>
      <c r="DD69" s="226">
        <f>DE69/CD69</f>
        <v>41.044171277125876</v>
      </c>
      <c r="DE69" s="226">
        <f>SUM(DE64:DE68)</f>
        <v>778010.73643499566</v>
      </c>
      <c r="DF69" s="226">
        <f>DG69/CD69</f>
        <v>6.3869991653587741</v>
      </c>
      <c r="DG69" s="226">
        <f>SUM(DG64:DG68)</f>
        <v>121068.44332899997</v>
      </c>
      <c r="DH69" s="233"/>
      <c r="DI69" s="234"/>
      <c r="DJ69" s="235"/>
      <c r="DK69" s="234"/>
      <c r="DL69" s="176"/>
      <c r="DM69" s="236"/>
      <c r="DN69" s="225"/>
      <c r="DO69" s="178">
        <f t="shared" si="120"/>
        <v>29.412288430946774</v>
      </c>
      <c r="EB69" s="238"/>
      <c r="EC69" s="181">
        <f t="shared" si="179"/>
        <v>2.1534627528735655</v>
      </c>
    </row>
    <row r="70" spans="1:138" s="182" customFormat="1" ht="18.75">
      <c r="A70" s="74"/>
      <c r="B70" s="174"/>
      <c r="C70" s="523"/>
      <c r="D70" s="292"/>
      <c r="E70" s="523"/>
      <c r="F70" s="523"/>
      <c r="G70" s="523"/>
      <c r="H70" s="524"/>
      <c r="I70" s="141"/>
      <c r="J70" s="142"/>
      <c r="K70" s="568"/>
      <c r="L70" s="337"/>
      <c r="M70" s="571"/>
      <c r="N70" s="140"/>
      <c r="O70" s="522"/>
      <c r="P70" s="145"/>
      <c r="Q70" s="145"/>
      <c r="R70" s="145"/>
      <c r="S70" s="145"/>
      <c r="T70" s="145"/>
      <c r="U70" s="147"/>
      <c r="V70" s="147"/>
      <c r="W70" s="147"/>
      <c r="X70" s="519"/>
      <c r="Y70" s="148"/>
      <c r="Z70" s="150"/>
      <c r="AA70" s="149"/>
      <c r="AB70" s="150"/>
      <c r="AC70" s="151"/>
      <c r="AD70" s="151"/>
      <c r="AE70" s="152"/>
      <c r="AF70" s="151"/>
      <c r="AG70" s="152"/>
      <c r="AH70" s="151"/>
      <c r="AI70" s="152"/>
      <c r="AJ70" s="149"/>
      <c r="AK70" s="152"/>
      <c r="AL70" s="149"/>
      <c r="AM70" s="151"/>
      <c r="AN70" s="152"/>
      <c r="AO70" s="151"/>
      <c r="AP70" s="152"/>
      <c r="AQ70" s="149"/>
      <c r="AR70" s="152"/>
      <c r="AS70" s="149"/>
      <c r="AT70" s="149"/>
      <c r="AU70" s="152"/>
      <c r="AV70" s="149"/>
      <c r="AW70" s="152"/>
      <c r="AX70" s="151"/>
      <c r="AY70" s="152"/>
      <c r="AZ70" s="153"/>
      <c r="BA70" s="153"/>
      <c r="BB70" s="153"/>
      <c r="BC70" s="154"/>
      <c r="BD70" s="155"/>
      <c r="BE70" s="156"/>
      <c r="BF70" s="157"/>
      <c r="BG70" s="157"/>
      <c r="BH70" s="156"/>
      <c r="BI70" s="158"/>
      <c r="BJ70" s="156"/>
      <c r="BK70" s="158"/>
      <c r="BL70" s="156"/>
      <c r="BM70" s="159"/>
      <c r="BN70" s="157"/>
      <c r="BO70" s="159"/>
      <c r="BP70" s="160"/>
      <c r="BQ70" s="156"/>
      <c r="BR70" s="158"/>
      <c r="BS70" s="156"/>
      <c r="BT70" s="159"/>
      <c r="BU70" s="157"/>
      <c r="BV70" s="161"/>
      <c r="BW70" s="157"/>
      <c r="BX70" s="157"/>
      <c r="BY70" s="161"/>
      <c r="BZ70" s="157"/>
      <c r="CA70" s="161"/>
      <c r="CB70" s="156"/>
      <c r="CC70" s="161"/>
      <c r="CD70" s="162"/>
      <c r="CE70" s="163"/>
      <c r="CF70" s="164"/>
      <c r="CG70" s="165"/>
      <c r="CH70" s="166"/>
      <c r="CI70" s="167"/>
      <c r="CJ70" s="166"/>
      <c r="CK70" s="168"/>
      <c r="CL70" s="166"/>
      <c r="CM70" s="167"/>
      <c r="CN70" s="166"/>
      <c r="CO70" s="169"/>
      <c r="CP70" s="166"/>
      <c r="CQ70" s="167"/>
      <c r="CR70" s="166"/>
      <c r="CS70" s="170"/>
      <c r="CT70" s="166"/>
      <c r="CU70" s="168"/>
      <c r="CV70" s="166"/>
      <c r="CW70" s="170"/>
      <c r="CX70" s="166"/>
      <c r="CY70" s="171"/>
      <c r="CZ70" s="166"/>
      <c r="DA70" s="170"/>
      <c r="DB70" s="171"/>
      <c r="DC70" s="166"/>
      <c r="DD70" s="170"/>
      <c r="DE70" s="221"/>
      <c r="DF70" s="222"/>
      <c r="DG70" s="221"/>
      <c r="DH70" s="172"/>
      <c r="DI70" s="173"/>
      <c r="DJ70" s="174"/>
      <c r="DK70" s="175"/>
      <c r="DL70" s="176"/>
      <c r="DM70" s="175"/>
      <c r="DN70" s="177"/>
      <c r="DO70" s="178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80"/>
      <c r="EC70" s="181"/>
      <c r="EE70" s="181"/>
    </row>
    <row r="71" spans="1:138" s="248" customFormat="1" ht="15.75">
      <c r="A71" s="239" t="s">
        <v>201</v>
      </c>
      <c r="B71" s="240"/>
      <c r="C71" s="240"/>
      <c r="D71" s="240"/>
      <c r="E71" s="240"/>
      <c r="F71" s="240"/>
      <c r="G71" s="240"/>
      <c r="H71" s="226">
        <f>SUM(H70:H70)</f>
        <v>0</v>
      </c>
      <c r="I71" s="226">
        <f>SUM(I70:I70)</f>
        <v>0</v>
      </c>
      <c r="J71" s="226"/>
      <c r="K71" s="226"/>
      <c r="L71" s="241"/>
      <c r="M71" s="240"/>
      <c r="N71" s="226">
        <f>SUM(N70:N70)</f>
        <v>0</v>
      </c>
      <c r="O71" s="239" t="s">
        <v>201</v>
      </c>
      <c r="P71" s="240"/>
      <c r="Q71" s="240"/>
      <c r="R71" s="240"/>
      <c r="S71" s="240"/>
      <c r="T71" s="240"/>
      <c r="U71" s="240"/>
      <c r="V71" s="240"/>
      <c r="W71" s="227" t="e">
        <f>SUMPRODUCT(W70:W70,I70:I70)/I71</f>
        <v>#VALUE!</v>
      </c>
      <c r="X71" s="226">
        <f>SUM(X70:X70)</f>
        <v>0</v>
      </c>
      <c r="Y71" s="226"/>
      <c r="Z71" s="226"/>
      <c r="AA71" s="240"/>
      <c r="AB71" s="242"/>
      <c r="AC71" s="226">
        <f>SUM(AC70:AC70)</f>
        <v>0</v>
      </c>
      <c r="AD71" s="243" t="e">
        <f>AE71/$AC71</f>
        <v>#DIV/0!</v>
      </c>
      <c r="AE71" s="226">
        <f>SUM(AE70:AE70)</f>
        <v>0</v>
      </c>
      <c r="AF71" s="243" t="e">
        <f>AG71/$AC71</f>
        <v>#DIV/0!</v>
      </c>
      <c r="AG71" s="226">
        <f>SUM(AG70:AG70)</f>
        <v>0</v>
      </c>
      <c r="AH71" s="243" t="e">
        <f>AI71/$AC71</f>
        <v>#DIV/0!</v>
      </c>
      <c r="AI71" s="226">
        <f>SUM(AI70:AI70)</f>
        <v>0</v>
      </c>
      <c r="AJ71" s="243" t="e">
        <f>AK71/$AC71</f>
        <v>#DIV/0!</v>
      </c>
      <c r="AK71" s="226">
        <f>SUM(AK70:AK70)</f>
        <v>0</v>
      </c>
      <c r="AL71" s="240"/>
      <c r="AM71" s="243" t="e">
        <f>AN71/$AC71</f>
        <v>#DIV/0!</v>
      </c>
      <c r="AN71" s="226">
        <f>SUM(AN70:AN70)</f>
        <v>0</v>
      </c>
      <c r="AO71" s="243" t="e">
        <f>AP71/$AC71</f>
        <v>#DIV/0!</v>
      </c>
      <c r="AP71" s="226">
        <f>SUM(AP70:AP70)</f>
        <v>0</v>
      </c>
      <c r="AQ71" s="243" t="e">
        <f>AR71/$I71</f>
        <v>#DIV/0!</v>
      </c>
      <c r="AR71" s="226">
        <f>SUM(AR70:AR70)</f>
        <v>0</v>
      </c>
      <c r="AS71" s="230" t="e">
        <f t="shared" ref="AS71" si="185">IF(AQ71&gt;=7000,"G1",IF(AQ71&gt;=6700,"G2",IF(AQ71&gt;=6400,"G3",IF(AQ71&gt;=6100,"G4",IF(AQ71&gt;=5800,"G5",IF(AQ71&gt;=5500,"G6",IF(AQ71&gt;=5200,"G7",IF(AQ71&gt;=4900,"G8",IF(AQ71&gt;=4600,"G9",IF(AQ71&gt;=4300,"G10",IF(AQ71&gt;=4000,"G11",IF(AQ71&gt;=3700,"G12",IF(AQ71&gt;=3400,"G13",IF(AQ71&gt;=3100,"G14",IF(AQ71&gt;=2800,"G15",IF(AQ71&gt;=2500,"G16",IF(AQ71&gt;=2200,"G17")))))))))))))))))</f>
        <v>#DIV/0!</v>
      </c>
      <c r="AT71" s="243" t="e">
        <f>AU71/$AC71</f>
        <v>#DIV/0!</v>
      </c>
      <c r="AU71" s="226">
        <f>SUM(AU70:AU70)</f>
        <v>0</v>
      </c>
      <c r="AV71" s="243" t="e">
        <f>AW71/$AC71</f>
        <v>#DIV/0!</v>
      </c>
      <c r="AW71" s="226">
        <f>SUM(AW70:AW70)</f>
        <v>0</v>
      </c>
      <c r="AX71" s="243" t="e">
        <f>AY71/$AC71</f>
        <v>#DIV/0!</v>
      </c>
      <c r="AY71" s="226">
        <f>SUM(AY70:AY70)</f>
        <v>0</v>
      </c>
      <c r="AZ71" s="240"/>
      <c r="BA71" s="240"/>
      <c r="BB71" s="240"/>
      <c r="BC71" s="240" t="e">
        <f>BD71/$I71</f>
        <v>#DIV/0!</v>
      </c>
      <c r="BD71" s="226">
        <f>SUM(BD70:BD70)</f>
        <v>0</v>
      </c>
      <c r="BE71" s="226">
        <f>SUM(BE70:BE70)</f>
        <v>0</v>
      </c>
      <c r="BF71" s="240"/>
      <c r="BG71" s="240"/>
      <c r="BH71" s="241" t="e">
        <f>BI71/$BE71</f>
        <v>#DIV/0!</v>
      </c>
      <c r="BI71" s="226">
        <f>SUM(BI70:BI70)</f>
        <v>0</v>
      </c>
      <c r="BJ71" s="241" t="e">
        <f>BK71/$BE71</f>
        <v>#DIV/0!</v>
      </c>
      <c r="BK71" s="226">
        <f>SUM(BK70:BK70)</f>
        <v>0</v>
      </c>
      <c r="BL71" s="241" t="e">
        <f>BM71/$BE71</f>
        <v>#DIV/0!</v>
      </c>
      <c r="BM71" s="226">
        <f>SUM(BM70:BM70)</f>
        <v>0</v>
      </c>
      <c r="BN71" s="241" t="e">
        <f>BO71/$BE71</f>
        <v>#DIV/0!</v>
      </c>
      <c r="BO71" s="226">
        <f>SUM(BO70:BO70)</f>
        <v>0</v>
      </c>
      <c r="BP71" s="241"/>
      <c r="BQ71" s="241" t="e">
        <f>BR71/$BE71</f>
        <v>#DIV/0!</v>
      </c>
      <c r="BR71" s="226">
        <f>SUM(BR70:BR70)</f>
        <v>0</v>
      </c>
      <c r="BS71" s="241" t="e">
        <f>BT71/$BE71</f>
        <v>#DIV/0!</v>
      </c>
      <c r="BT71" s="226">
        <f>SUM(BT70:BT70)</f>
        <v>0</v>
      </c>
      <c r="BU71" s="241" t="e">
        <f>BV71/$BE71</f>
        <v>#DIV/0!</v>
      </c>
      <c r="BV71" s="226">
        <f>SUM(BV70:BV70)</f>
        <v>0</v>
      </c>
      <c r="BW71" s="230" t="e">
        <f t="shared" ref="BW71" si="186">IF(BU71&gt;=7000,"G1",IF(BU71&gt;=6700,"G2",IF(BU71&gt;=6400,"G3",IF(BU71&gt;=6100,"G4",IF(BU71&gt;=5800,"G5",IF(BU71&gt;=5500,"G6",IF(BU71&gt;=5200,"G7",IF(BU71&gt;=4900,"G8",IF(BU71&gt;=4600,"G9",IF(BU71&gt;=4300,"G10",IF(BU71&gt;=4000,"G11",IF(BU71&gt;=3700,"G12",IF(BU71&gt;=3400,"G13",IF(BU71&gt;=3100,"G14",IF(BU71&gt;=2800,"G15",IF(BU71&gt;=2500,"G16",IF(BU71&gt;=2200,"G17")))))))))))))))))</f>
        <v>#DIV/0!</v>
      </c>
      <c r="BX71" s="244" t="e">
        <f>BY71/$BE71</f>
        <v>#DIV/0!</v>
      </c>
      <c r="BY71" s="226">
        <f>SUM(BY70:BY70)</f>
        <v>0</v>
      </c>
      <c r="BZ71" s="241" t="e">
        <f>CA71/$BE71</f>
        <v>#DIV/0!</v>
      </c>
      <c r="CA71" s="226">
        <f>SUM(CA70:CA70)</f>
        <v>0</v>
      </c>
      <c r="CB71" s="241" t="e">
        <f>CC71/$BE71</f>
        <v>#DIV/0!</v>
      </c>
      <c r="CC71" s="226">
        <f>SUM(CC70:CC70)</f>
        <v>0</v>
      </c>
      <c r="CD71" s="226">
        <f>SUM(CD70:CD70)</f>
        <v>0</v>
      </c>
      <c r="CE71" s="245"/>
      <c r="CF71" s="240"/>
      <c r="CG71" s="241" t="e">
        <f>CH71/$CD71</f>
        <v>#DIV/0!</v>
      </c>
      <c r="CH71" s="226">
        <f>SUM(CH70:CH70)</f>
        <v>0</v>
      </c>
      <c r="CI71" s="241" t="e">
        <f>CJ71/$CD71</f>
        <v>#DIV/0!</v>
      </c>
      <c r="CJ71" s="226">
        <f>SUM(CJ70:CJ70)</f>
        <v>0</v>
      </c>
      <c r="CK71" s="241" t="e">
        <f>CL71/$CD71</f>
        <v>#DIV/0!</v>
      </c>
      <c r="CL71" s="226">
        <f>SUM(CL70:CL70)</f>
        <v>0</v>
      </c>
      <c r="CM71" s="241" t="e">
        <f>CN71/$CD71</f>
        <v>#DIV/0!</v>
      </c>
      <c r="CN71" s="226">
        <f>SUM(CN70:CN70)</f>
        <v>0</v>
      </c>
      <c r="CO71" s="244" t="e">
        <f>CP71/$CD71</f>
        <v>#DIV/0!</v>
      </c>
      <c r="CP71" s="226">
        <f>SUM(CP70:CP70)</f>
        <v>0</v>
      </c>
      <c r="CQ71" s="241" t="e">
        <f>CR71/$CD71</f>
        <v>#DIV/0!</v>
      </c>
      <c r="CR71" s="226">
        <f>SUM(CR70:CR70)</f>
        <v>0</v>
      </c>
      <c r="CS71" s="241" t="e">
        <f>CT71/$CD71</f>
        <v>#DIV/0!</v>
      </c>
      <c r="CT71" s="226">
        <f>SUM(CT70:CT70)</f>
        <v>0</v>
      </c>
      <c r="CU71" s="241" t="e">
        <f>CV71/$CD71</f>
        <v>#DIV/0!</v>
      </c>
      <c r="CV71" s="226">
        <f>SUM(CV70:CV70)</f>
        <v>0</v>
      </c>
      <c r="CW71" s="241" t="e">
        <f>CX71/$CD71</f>
        <v>#DIV/0!</v>
      </c>
      <c r="CX71" s="226">
        <f>SUM(CX70:CX70)</f>
        <v>0</v>
      </c>
      <c r="CY71" s="244" t="e">
        <f>CZ71/$CD71</f>
        <v>#DIV/0!</v>
      </c>
      <c r="CZ71" s="226">
        <f>SUM(CZ70:CZ70)</f>
        <v>0</v>
      </c>
      <c r="DA71" s="230" t="e">
        <f t="shared" si="184"/>
        <v>#DIV/0!</v>
      </c>
      <c r="DB71" s="244" t="e">
        <f>DC71/$CD71</f>
        <v>#DIV/0!</v>
      </c>
      <c r="DC71" s="226">
        <f>SUM(DC70:DC70)</f>
        <v>0</v>
      </c>
      <c r="DD71" s="226" t="e">
        <f>DE71/CD71</f>
        <v>#DIV/0!</v>
      </c>
      <c r="DE71" s="226">
        <f>SUM(DE70:DE70)</f>
        <v>0</v>
      </c>
      <c r="DF71" s="226" t="e">
        <f>DG71/CD71</f>
        <v>#DIV/0!</v>
      </c>
      <c r="DG71" s="226">
        <f>SUM(DG70:DG70)</f>
        <v>0</v>
      </c>
      <c r="DH71" s="172"/>
      <c r="DI71" s="246"/>
      <c r="DJ71" s="247"/>
      <c r="DK71" s="246"/>
      <c r="DL71" s="176"/>
      <c r="DM71" s="175"/>
      <c r="DN71" s="240"/>
      <c r="DO71" s="178" t="e">
        <f t="shared" si="120"/>
        <v>#DIV/0!</v>
      </c>
      <c r="EB71" s="249"/>
      <c r="EC71" s="181" t="e">
        <f t="shared" si="179"/>
        <v>#DIV/0!</v>
      </c>
    </row>
    <row r="72" spans="1:138" s="182" customFormat="1" ht="30">
      <c r="A72" s="74">
        <v>2</v>
      </c>
      <c r="B72" s="74">
        <v>41</v>
      </c>
      <c r="C72" s="138">
        <v>45817</v>
      </c>
      <c r="D72" s="139">
        <v>162001311</v>
      </c>
      <c r="E72" s="138">
        <v>45816</v>
      </c>
      <c r="F72" s="138"/>
      <c r="G72" s="138"/>
      <c r="H72" s="140">
        <v>4102.75</v>
      </c>
      <c r="I72" s="141">
        <v>4102.75</v>
      </c>
      <c r="J72" s="142"/>
      <c r="K72" s="568"/>
      <c r="L72" s="337">
        <v>59</v>
      </c>
      <c r="M72" s="571"/>
      <c r="N72" s="144">
        <v>4102.75</v>
      </c>
      <c r="O72" s="522" t="s">
        <v>202</v>
      </c>
      <c r="P72" s="145" t="s">
        <v>73</v>
      </c>
      <c r="Q72" s="146" t="s">
        <v>66</v>
      </c>
      <c r="R72" s="145"/>
      <c r="S72" s="145" t="s">
        <v>181</v>
      </c>
      <c r="T72" s="145"/>
      <c r="U72" s="147" t="s">
        <v>198</v>
      </c>
      <c r="V72" s="147" t="s">
        <v>199</v>
      </c>
      <c r="W72" s="147">
        <v>3250</v>
      </c>
      <c r="X72" s="519">
        <v>4176.3</v>
      </c>
      <c r="Y72" s="148"/>
      <c r="Z72" s="150"/>
      <c r="AA72" s="149"/>
      <c r="AB72" s="150"/>
      <c r="AC72" s="151"/>
      <c r="AD72" s="151"/>
      <c r="AE72" s="152">
        <f t="shared" ref="AE72:AE77" si="187">AD72*$AC72</f>
        <v>0</v>
      </c>
      <c r="AF72" s="151"/>
      <c r="AG72" s="152">
        <f t="shared" ref="AG72:AG77" si="188">AF72*$AC72</f>
        <v>0</v>
      </c>
      <c r="AH72" s="151"/>
      <c r="AI72" s="152">
        <f t="shared" ref="AI72:AI77" si="189">AH72*$AC72</f>
        <v>0</v>
      </c>
      <c r="AJ72" s="149"/>
      <c r="AK72" s="152">
        <f t="shared" ref="AK72:AK77" si="190">AJ72*$AC72</f>
        <v>0</v>
      </c>
      <c r="AL72" s="149"/>
      <c r="AM72" s="151"/>
      <c r="AN72" s="152">
        <f t="shared" ref="AN72:AN77" si="191">AM72*$AC72</f>
        <v>0</v>
      </c>
      <c r="AO72" s="151"/>
      <c r="AP72" s="152">
        <f t="shared" ref="AP72:AP77" si="192">AO72*$AC72</f>
        <v>0</v>
      </c>
      <c r="AQ72" s="174">
        <f t="shared" ref="AQ72:AQ77" si="193">W72</f>
        <v>3250</v>
      </c>
      <c r="AR72" s="152">
        <f t="shared" ref="AR72:AR77" si="194">AQ72*$I72</f>
        <v>13333937.5</v>
      </c>
      <c r="AS72" s="149"/>
      <c r="AT72" s="149">
        <f t="shared" ref="AT72:AT77" si="195">ROUND(((100-AD72)/(100-AM72)*AQ72),0)</f>
        <v>3250</v>
      </c>
      <c r="AU72" s="152">
        <f t="shared" ref="AU72:AU77" si="196">AT72*$AC72</f>
        <v>0</v>
      </c>
      <c r="AV72" s="149">
        <f>ROUND(((100-AD72)/(100-AM72)*AO72),2)</f>
        <v>0</v>
      </c>
      <c r="AW72" s="152">
        <f t="shared" ref="AW72:AW77" si="197">AV72*$AC72</f>
        <v>0</v>
      </c>
      <c r="AX72" s="151">
        <f t="shared" ref="AX72:AX77" si="198">$AD72-$AM72</f>
        <v>0</v>
      </c>
      <c r="AY72" s="152">
        <f t="shared" ref="AY72:AY77" si="199">AX72*$AC72</f>
        <v>0</v>
      </c>
      <c r="AZ72" s="153">
        <v>4.9000000000000004</v>
      </c>
      <c r="BA72" s="153">
        <v>5.4450000000000003</v>
      </c>
      <c r="BB72" s="153"/>
      <c r="BC72" s="154">
        <f t="shared" ref="BC72:BC77" si="200">AZ72+BA72*(1-(AZ72/100))+BB72*(1-(AZ72+BA72)/100)</f>
        <v>10.078195000000001</v>
      </c>
      <c r="BD72" s="155">
        <f t="shared" ref="BD72:BD77" si="201">BC72*$CD72</f>
        <v>41348.314536250007</v>
      </c>
      <c r="BE72" s="156">
        <f>CD72</f>
        <v>4102.75</v>
      </c>
      <c r="BF72" s="157">
        <v>506</v>
      </c>
      <c r="BG72" s="157" t="s">
        <v>246</v>
      </c>
      <c r="BH72" s="156">
        <v>10.08</v>
      </c>
      <c r="BI72" s="158">
        <f t="shared" ref="BI72:BI77" si="202">BH72*$BE72</f>
        <v>41355.72</v>
      </c>
      <c r="BJ72" s="156">
        <v>7.19</v>
      </c>
      <c r="BK72" s="158">
        <f t="shared" ref="BK72:BK77" si="203">BJ72*$BE72</f>
        <v>29498.772500000003</v>
      </c>
      <c r="BL72" s="156">
        <v>39.61</v>
      </c>
      <c r="BM72" s="159">
        <f t="shared" ref="BM72:BM77" si="204">BL72*$BE72</f>
        <v>162509.92749999999</v>
      </c>
      <c r="BN72" s="157">
        <v>3696</v>
      </c>
      <c r="BO72" s="159">
        <f t="shared" ref="BO72:BO77" si="205">BN72*$BE72</f>
        <v>15163764</v>
      </c>
      <c r="BP72" s="160"/>
      <c r="BQ72" s="156">
        <v>6.79</v>
      </c>
      <c r="BR72" s="158">
        <f t="shared" ref="BR72:BR77" si="206">BQ72*$BE72</f>
        <v>27857.672500000001</v>
      </c>
      <c r="BS72" s="156">
        <v>39.78</v>
      </c>
      <c r="BT72" s="159">
        <f t="shared" ref="BT72:BT77" si="207">BS72*$BE72</f>
        <v>163207.39500000002</v>
      </c>
      <c r="BU72" s="157">
        <v>3712</v>
      </c>
      <c r="BV72" s="161">
        <f t="shared" ref="BV72:BV77" si="208">BU72*$BE72</f>
        <v>15229408</v>
      </c>
      <c r="BW72" s="157" t="s">
        <v>184</v>
      </c>
      <c r="BX72" s="157">
        <f t="shared" ref="BX72:BX77" si="209">ROUND(((100-BH72)/(100-BQ72)*BU72),0)</f>
        <v>3581</v>
      </c>
      <c r="BY72" s="161">
        <f t="shared" ref="BY72:BY77" si="210">BX72*$BE72</f>
        <v>14691947.75</v>
      </c>
      <c r="BZ72" s="157">
        <f t="shared" ref="BZ72:BZ77" si="211">ROUND(((100-BH72)/(100-BQ72)*BS72),2)</f>
        <v>38.380000000000003</v>
      </c>
      <c r="CA72" s="161">
        <f t="shared" ref="CA72:CA77" si="212">BZ72*$BE72</f>
        <v>157463.54500000001</v>
      </c>
      <c r="CB72" s="156">
        <f t="shared" ref="CB72:CB77" si="213">BH72-BQ72</f>
        <v>3.29</v>
      </c>
      <c r="CC72" s="161">
        <f t="shared" ref="CC72:CC77" si="214">CB72*$BE72</f>
        <v>13498.047500000001</v>
      </c>
      <c r="CD72" s="162">
        <f t="shared" ref="CD72:CD77" si="215">N72</f>
        <v>4102.75</v>
      </c>
      <c r="CE72" s="163">
        <v>4.4000000000000004</v>
      </c>
      <c r="CF72" s="164">
        <v>6.59</v>
      </c>
      <c r="CG72" s="165">
        <f t="shared" ref="CG72" si="216">CE72+CF72*(1-CE72/100)</f>
        <v>10.70004</v>
      </c>
      <c r="CH72" s="166">
        <f t="shared" ref="CH72:CH77" si="217">CG72*$CD72</f>
        <v>43899.589110000001</v>
      </c>
      <c r="CI72" s="167">
        <v>41.13</v>
      </c>
      <c r="CJ72" s="166">
        <f t="shared" ref="CJ72:CJ77" si="218">CI72*$CD72</f>
        <v>168746.10750000001</v>
      </c>
      <c r="CK72" s="168">
        <v>3.97</v>
      </c>
      <c r="CL72" s="166">
        <f t="shared" ref="CL72:CL77" si="219">CK72*$CD72</f>
        <v>16287.917500000001</v>
      </c>
      <c r="CM72" s="167">
        <v>30.45</v>
      </c>
      <c r="CN72" s="166">
        <f t="shared" ref="CN72:CN77" si="220">CM72*$CD72</f>
        <v>124928.7375</v>
      </c>
      <c r="CO72" s="169">
        <f t="shared" ref="CO72:CO77" si="221">8555.56-(145.56*CK72+94.11*CI72)</f>
        <v>4106.9424999999992</v>
      </c>
      <c r="CP72" s="166">
        <f t="shared" ref="CP72:CP77" si="222">CO72*$CD72</f>
        <v>16849758.341874998</v>
      </c>
      <c r="CQ72" s="174">
        <v>3800</v>
      </c>
      <c r="CR72" s="166">
        <f t="shared" ref="CR72:CR77" si="223">CQ72*$CD72</f>
        <v>15590450</v>
      </c>
      <c r="CS72" s="170">
        <f t="shared" ref="CS72:CS77" si="224">((100-CU72)/(100-CK72))*CI72</f>
        <v>40.757375820056232</v>
      </c>
      <c r="CT72" s="166">
        <f t="shared" ref="CT72:CT77" si="225">CS72*$CD72</f>
        <v>167217.32364573571</v>
      </c>
      <c r="CU72" s="168">
        <v>4.84</v>
      </c>
      <c r="CV72" s="166">
        <f t="shared" ref="CV72:CV77" si="226">CU72*$CD72</f>
        <v>19857.309999999998</v>
      </c>
      <c r="CW72" s="170">
        <f>((100-CU72)/(100-CK72))*CM72</f>
        <v>30.174133083411434</v>
      </c>
      <c r="CX72" s="166">
        <f t="shared" ref="CX72:CX77" si="227">CW72*$CD72</f>
        <v>123796.92450796627</v>
      </c>
      <c r="CY72" s="171">
        <f>((100-CU72)/(100-CK72))*CQ72</f>
        <v>3765.5732583567633</v>
      </c>
      <c r="CZ72" s="166">
        <f t="shared" ref="CZ72:CZ77" si="228">CY72*$CD72</f>
        <v>15449205.68572321</v>
      </c>
      <c r="DA72" s="170" t="str">
        <f>IF(CY72&gt;=7000,"G1",IF(CY72&gt;=6700,"G2",IF(CY72&gt;=6400,"G3",IF(CY72&gt;=6100,"G4",IF(CY72&gt;=5800,"G5",IF(CY72&gt;=5500,"G6",IF(CY72&gt;=5200,"G7",IF(CY72&gt;=4900,"G8",IF(CY72&gt;=4600,"G9",IF(CY72&gt;=4300,"G10",IF(CY72&gt;=4000,"G11",IF(CY72&gt;=3700,"G12",IF(CY72&gt;=3400,"G13",IF(CY72&gt;=3100,"G14",IF(CY72&gt;=2800,"G15",IF(CY72&gt;=2500,"G16",IF(CY72&gt;=2200,"G17")))))))))))))))))</f>
        <v>G12</v>
      </c>
      <c r="DB72" s="171">
        <f t="shared" ref="DB72:DB77" si="229">((100-CG72)/(100-CK72))*CQ72</f>
        <v>3533.6858065187962</v>
      </c>
      <c r="DC72" s="166">
        <f t="shared" ref="DC72:DC77" si="230">DB72*$CD72</f>
        <v>14497829.442694992</v>
      </c>
      <c r="DD72" s="170">
        <f t="shared" ref="DD72:DD77" si="231">((100-CG72)/(100-CK72))*CI72</f>
        <v>38.247499268978444</v>
      </c>
      <c r="DE72" s="221">
        <f t="shared" ref="DE72:DE77" si="232">DD72*$CD72</f>
        <v>156919.92762580133</v>
      </c>
      <c r="DF72" s="222">
        <f t="shared" ref="DF72:DF77" si="233">CG72-CU72</f>
        <v>5.8600399999999997</v>
      </c>
      <c r="DG72" s="221">
        <f t="shared" ref="DG72:DG77" si="234">DF72*$CD72</f>
        <v>24042.279109999999</v>
      </c>
      <c r="DH72" s="172">
        <f t="shared" ref="DH72:DH77" si="235">MID(U72,2,LEN(U72))-MID(DA72,2,LEN(DA72))</f>
        <v>2</v>
      </c>
      <c r="DI72" s="173">
        <f t="shared" ref="DI72:DI77" si="236">$CY72-$BU72</f>
        <v>53.57325835676329</v>
      </c>
      <c r="DJ72" s="174">
        <f t="shared" ref="DJ72:DJ77" si="237">MID(U72,2,LEN(U72))-MID(BW72,2,LEN(BW72))</f>
        <v>2</v>
      </c>
      <c r="DK72" s="175">
        <f t="shared" ref="DK72:DK77" si="238">$AQ72-$BU72</f>
        <v>-462</v>
      </c>
      <c r="DL72" s="176">
        <f t="shared" ref="DL72:DL77" si="239">MID(U72,2,LEN(U72))-MID(BW72,2,LEN(BW72))</f>
        <v>2</v>
      </c>
      <c r="DM72" s="175" t="e">
        <f t="shared" ref="DM72:DM77" si="240">MID(U72,2,LEN(U72))-MID(AS72,2,LEN(AS72))</f>
        <v>#VALUE!</v>
      </c>
      <c r="DN72" s="177"/>
      <c r="DO72" s="178">
        <f t="shared" si="120"/>
        <v>47.314193481203802</v>
      </c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80"/>
      <c r="EC72" s="181">
        <f t="shared" si="179"/>
        <v>-53.57325835676329</v>
      </c>
      <c r="EE72" s="181">
        <f>BX72-DB72</f>
        <v>47.314193481203802</v>
      </c>
    </row>
    <row r="73" spans="1:138" s="182" customFormat="1" ht="30">
      <c r="A73" s="74">
        <v>3</v>
      </c>
      <c r="B73" s="74">
        <v>46</v>
      </c>
      <c r="C73" s="138">
        <v>45818</v>
      </c>
      <c r="D73" s="139">
        <v>162001312</v>
      </c>
      <c r="E73" s="138">
        <v>45817</v>
      </c>
      <c r="F73" s="138"/>
      <c r="G73" s="138"/>
      <c r="H73" s="140">
        <v>4024.25</v>
      </c>
      <c r="I73" s="141">
        <v>4024.25</v>
      </c>
      <c r="J73" s="142"/>
      <c r="K73" s="568"/>
      <c r="L73" s="337">
        <v>59</v>
      </c>
      <c r="M73" s="571"/>
      <c r="N73" s="144">
        <v>4024.25</v>
      </c>
      <c r="O73" s="522" t="s">
        <v>202</v>
      </c>
      <c r="P73" s="145" t="s">
        <v>203</v>
      </c>
      <c r="Q73" s="146" t="s">
        <v>67</v>
      </c>
      <c r="R73" s="145"/>
      <c r="S73" s="145" t="s">
        <v>181</v>
      </c>
      <c r="T73" s="145"/>
      <c r="U73" s="147" t="s">
        <v>198</v>
      </c>
      <c r="V73" s="147" t="s">
        <v>199</v>
      </c>
      <c r="W73" s="147">
        <v>3250</v>
      </c>
      <c r="X73" s="519">
        <v>4102.2</v>
      </c>
      <c r="Y73" s="148"/>
      <c r="Z73" s="150"/>
      <c r="AA73" s="149"/>
      <c r="AB73" s="150"/>
      <c r="AC73" s="151"/>
      <c r="AD73" s="151"/>
      <c r="AE73" s="152">
        <f t="shared" si="187"/>
        <v>0</v>
      </c>
      <c r="AF73" s="151"/>
      <c r="AG73" s="152">
        <f t="shared" si="188"/>
        <v>0</v>
      </c>
      <c r="AH73" s="151"/>
      <c r="AI73" s="152">
        <f t="shared" si="189"/>
        <v>0</v>
      </c>
      <c r="AJ73" s="149"/>
      <c r="AK73" s="152">
        <f t="shared" si="190"/>
        <v>0</v>
      </c>
      <c r="AL73" s="149"/>
      <c r="AM73" s="151"/>
      <c r="AN73" s="152">
        <f t="shared" si="191"/>
        <v>0</v>
      </c>
      <c r="AO73" s="151"/>
      <c r="AP73" s="152">
        <f t="shared" si="192"/>
        <v>0</v>
      </c>
      <c r="AQ73" s="174">
        <f t="shared" si="193"/>
        <v>3250</v>
      </c>
      <c r="AR73" s="152">
        <f t="shared" si="194"/>
        <v>13078812.5</v>
      </c>
      <c r="AS73" s="149"/>
      <c r="AT73" s="149">
        <f t="shared" si="195"/>
        <v>3250</v>
      </c>
      <c r="AU73" s="152">
        <f t="shared" si="196"/>
        <v>0</v>
      </c>
      <c r="AV73" s="149">
        <f>ROUND(((100-AD73)/(100-AM73)*AO73),2)</f>
        <v>0</v>
      </c>
      <c r="AW73" s="152">
        <f t="shared" si="197"/>
        <v>0</v>
      </c>
      <c r="AX73" s="151">
        <f t="shared" si="198"/>
        <v>0</v>
      </c>
      <c r="AY73" s="152">
        <f t="shared" si="199"/>
        <v>0</v>
      </c>
      <c r="AZ73" s="153">
        <v>3.3</v>
      </c>
      <c r="BA73" s="153">
        <v>11.571</v>
      </c>
      <c r="BB73" s="153"/>
      <c r="BC73" s="154">
        <f t="shared" si="200"/>
        <v>14.489156999999999</v>
      </c>
      <c r="BD73" s="155">
        <f t="shared" si="201"/>
        <v>58307.990057249997</v>
      </c>
      <c r="BE73" s="156">
        <f>CD73</f>
        <v>4024.25</v>
      </c>
      <c r="BF73" s="157">
        <v>507</v>
      </c>
      <c r="BG73" s="157" t="s">
        <v>246</v>
      </c>
      <c r="BH73" s="156">
        <v>14.49</v>
      </c>
      <c r="BI73" s="158">
        <f t="shared" si="202"/>
        <v>58311.3825</v>
      </c>
      <c r="BJ73" s="156">
        <v>7.4</v>
      </c>
      <c r="BK73" s="158">
        <f t="shared" si="203"/>
        <v>29779.45</v>
      </c>
      <c r="BL73" s="156">
        <v>46.33</v>
      </c>
      <c r="BM73" s="159">
        <f t="shared" si="204"/>
        <v>186443.5025</v>
      </c>
      <c r="BN73" s="157">
        <v>2985</v>
      </c>
      <c r="BO73" s="159">
        <f t="shared" si="205"/>
        <v>12012386.25</v>
      </c>
      <c r="BP73" s="160"/>
      <c r="BQ73" s="156">
        <v>7.13</v>
      </c>
      <c r="BR73" s="158">
        <f t="shared" si="206"/>
        <v>28692.9025</v>
      </c>
      <c r="BS73" s="156">
        <v>46.47</v>
      </c>
      <c r="BT73" s="159">
        <f t="shared" si="207"/>
        <v>187006.89749999999</v>
      </c>
      <c r="BU73" s="157">
        <v>2994</v>
      </c>
      <c r="BV73" s="161">
        <f t="shared" si="208"/>
        <v>12048604.5</v>
      </c>
      <c r="BW73" s="157" t="s">
        <v>187</v>
      </c>
      <c r="BX73" s="157">
        <f t="shared" si="209"/>
        <v>2757</v>
      </c>
      <c r="BY73" s="161">
        <f t="shared" si="210"/>
        <v>11094857.25</v>
      </c>
      <c r="BZ73" s="157">
        <f t="shared" si="211"/>
        <v>42.79</v>
      </c>
      <c r="CA73" s="161">
        <f t="shared" si="212"/>
        <v>172197.6575</v>
      </c>
      <c r="CB73" s="156">
        <f t="shared" si="213"/>
        <v>7.36</v>
      </c>
      <c r="CC73" s="161">
        <f t="shared" si="214"/>
        <v>29618.48</v>
      </c>
      <c r="CD73" s="162">
        <f t="shared" si="215"/>
        <v>4024.25</v>
      </c>
      <c r="CE73" s="163">
        <v>2.9</v>
      </c>
      <c r="CF73" s="164">
        <v>8.0299999999999994</v>
      </c>
      <c r="CG73" s="165">
        <f>CE73+CF73*(1-CE73/100)</f>
        <v>10.69713</v>
      </c>
      <c r="CH73" s="166">
        <f t="shared" si="217"/>
        <v>43047.925402499997</v>
      </c>
      <c r="CI73" s="174">
        <v>48.22</v>
      </c>
      <c r="CJ73" s="166">
        <f t="shared" si="218"/>
        <v>194049.33499999999</v>
      </c>
      <c r="CK73" s="168">
        <v>5.33</v>
      </c>
      <c r="CL73" s="166">
        <f t="shared" si="219"/>
        <v>21449.252499999999</v>
      </c>
      <c r="CM73" s="167">
        <v>23.23</v>
      </c>
      <c r="CN73" s="166">
        <f t="shared" si="220"/>
        <v>93483.327499999999</v>
      </c>
      <c r="CO73" s="169">
        <f t="shared" si="221"/>
        <v>3241.741</v>
      </c>
      <c r="CP73" s="166">
        <f t="shared" si="222"/>
        <v>13045576.219249999</v>
      </c>
      <c r="CQ73" s="167">
        <v>2988</v>
      </c>
      <c r="CR73" s="166">
        <f t="shared" si="223"/>
        <v>12024459</v>
      </c>
      <c r="CS73" s="170">
        <f t="shared" si="224"/>
        <v>49.25907045526565</v>
      </c>
      <c r="CT73" s="166">
        <f t="shared" si="225"/>
        <v>198230.81427960278</v>
      </c>
      <c r="CU73" s="168">
        <v>3.29</v>
      </c>
      <c r="CV73" s="166">
        <f t="shared" si="226"/>
        <v>13239.782499999999</v>
      </c>
      <c r="CW73" s="170">
        <f>((100-CU73)/(100-CK73))*CM73</f>
        <v>23.730572515052284</v>
      </c>
      <c r="CX73" s="166">
        <f t="shared" si="227"/>
        <v>95497.756443699152</v>
      </c>
      <c r="CY73" s="171">
        <f>((100-CU73)/(100-CK73))*CQ73</f>
        <v>3052.3870286257525</v>
      </c>
      <c r="CZ73" s="166">
        <f t="shared" si="228"/>
        <v>12283568.499947185</v>
      </c>
      <c r="DA73" s="170" t="str">
        <f>IF(CY73&gt;=7000,"G1",IF(CY73&gt;=6700,"G2",IF(CY73&gt;=6400,"G3",IF(CY73&gt;=6100,"G4",IF(CY73&gt;=5800,"G5",IF(CY73&gt;=5500,"G6",IF(CY73&gt;=5200,"G7",IF(CY73&gt;=4900,"G8",IF(CY73&gt;=4600,"G9",IF(CY73&gt;=4300,"G10",IF(CY73&gt;=4000,"G11",IF(CY73&gt;=3700,"G12",IF(CY73&gt;=3400,"G13",IF(CY73&gt;=3100,"G14",IF(CY73&gt;=2800,"G15",IF(CY73&gt;=2500,"G16",IF(CY73&gt;=2200,"G17")))))))))))))))))</f>
        <v>G15</v>
      </c>
      <c r="DB73" s="171">
        <f t="shared" si="229"/>
        <v>2818.6011995352278</v>
      </c>
      <c r="DC73" s="166">
        <f t="shared" si="230"/>
        <v>11342755.87722964</v>
      </c>
      <c r="DD73" s="170">
        <f t="shared" si="231"/>
        <v>45.486261660504908</v>
      </c>
      <c r="DE73" s="221">
        <f t="shared" si="232"/>
        <v>183048.08848728688</v>
      </c>
      <c r="DF73" s="222">
        <f t="shared" si="233"/>
        <v>7.4071299999999995</v>
      </c>
      <c r="DG73" s="221">
        <f t="shared" si="234"/>
        <v>29808.1429025</v>
      </c>
      <c r="DH73" s="172">
        <f t="shared" si="235"/>
        <v>-1</v>
      </c>
      <c r="DI73" s="173">
        <f t="shared" si="236"/>
        <v>58.387028625752464</v>
      </c>
      <c r="DJ73" s="174">
        <f t="shared" si="237"/>
        <v>-1</v>
      </c>
      <c r="DK73" s="175">
        <f t="shared" si="238"/>
        <v>256</v>
      </c>
      <c r="DL73" s="176">
        <f t="shared" si="239"/>
        <v>-1</v>
      </c>
      <c r="DM73" s="175" t="e">
        <f t="shared" si="240"/>
        <v>#VALUE!</v>
      </c>
      <c r="DN73" s="177"/>
      <c r="DO73" s="178">
        <f t="shared" si="120"/>
        <v>-61.601199535227806</v>
      </c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80"/>
      <c r="EC73" s="181">
        <f t="shared" si="179"/>
        <v>-58.387028625752464</v>
      </c>
      <c r="EE73" s="181">
        <f>BX73-DB73</f>
        <v>-61.601199535227806</v>
      </c>
    </row>
    <row r="74" spans="1:138" s="182" customFormat="1" ht="30">
      <c r="A74" s="74">
        <v>4</v>
      </c>
      <c r="B74" s="74">
        <v>48</v>
      </c>
      <c r="C74" s="138">
        <v>45818</v>
      </c>
      <c r="D74" s="139">
        <v>162001313</v>
      </c>
      <c r="E74" s="138">
        <v>45817</v>
      </c>
      <c r="F74" s="138"/>
      <c r="G74" s="138"/>
      <c r="H74" s="140">
        <v>4076.95</v>
      </c>
      <c r="I74" s="141">
        <v>4076.95</v>
      </c>
      <c r="J74" s="142"/>
      <c r="K74" s="568"/>
      <c r="L74" s="337">
        <v>59</v>
      </c>
      <c r="M74" s="571"/>
      <c r="N74" s="144">
        <v>4076.95</v>
      </c>
      <c r="O74" s="522" t="s">
        <v>202</v>
      </c>
      <c r="P74" s="145" t="s">
        <v>203</v>
      </c>
      <c r="Q74" s="146" t="s">
        <v>67</v>
      </c>
      <c r="R74" s="145"/>
      <c r="S74" s="145" t="s">
        <v>181</v>
      </c>
      <c r="T74" s="145"/>
      <c r="U74" s="147" t="s">
        <v>198</v>
      </c>
      <c r="V74" s="147" t="s">
        <v>199</v>
      </c>
      <c r="W74" s="147">
        <v>3250</v>
      </c>
      <c r="X74" s="519">
        <v>4169.05</v>
      </c>
      <c r="Y74" s="148"/>
      <c r="Z74" s="150"/>
      <c r="AA74" s="149"/>
      <c r="AB74" s="150"/>
      <c r="AC74" s="151"/>
      <c r="AD74" s="151"/>
      <c r="AE74" s="152">
        <f t="shared" si="187"/>
        <v>0</v>
      </c>
      <c r="AF74" s="151"/>
      <c r="AG74" s="152">
        <f t="shared" si="188"/>
        <v>0</v>
      </c>
      <c r="AH74" s="151"/>
      <c r="AI74" s="152">
        <f t="shared" si="189"/>
        <v>0</v>
      </c>
      <c r="AJ74" s="149"/>
      <c r="AK74" s="152">
        <f t="shared" si="190"/>
        <v>0</v>
      </c>
      <c r="AL74" s="149"/>
      <c r="AM74" s="151"/>
      <c r="AN74" s="152">
        <f t="shared" si="191"/>
        <v>0</v>
      </c>
      <c r="AO74" s="151"/>
      <c r="AP74" s="152">
        <f t="shared" si="192"/>
        <v>0</v>
      </c>
      <c r="AQ74" s="174">
        <f t="shared" si="193"/>
        <v>3250</v>
      </c>
      <c r="AR74" s="152">
        <f t="shared" si="194"/>
        <v>13250087.5</v>
      </c>
      <c r="AS74" s="149"/>
      <c r="AT74" s="149">
        <f t="shared" si="195"/>
        <v>3250</v>
      </c>
      <c r="AU74" s="152">
        <f t="shared" si="196"/>
        <v>0</v>
      </c>
      <c r="AV74" s="149">
        <f>ROUND(((100-AD74)/(100-AM74)*AO74),2)</f>
        <v>0</v>
      </c>
      <c r="AW74" s="152">
        <f t="shared" si="197"/>
        <v>0</v>
      </c>
      <c r="AX74" s="151">
        <f t="shared" si="198"/>
        <v>0</v>
      </c>
      <c r="AY74" s="152">
        <f t="shared" si="199"/>
        <v>0</v>
      </c>
      <c r="AZ74" s="153">
        <v>3.1</v>
      </c>
      <c r="BA74" s="153">
        <v>12.569000000000001</v>
      </c>
      <c r="BB74" s="153"/>
      <c r="BC74" s="154">
        <f t="shared" si="200"/>
        <v>15.279361</v>
      </c>
      <c r="BD74" s="155">
        <f t="shared" si="201"/>
        <v>62293.190828949999</v>
      </c>
      <c r="BE74" s="156">
        <f>CD74</f>
        <v>4076.95</v>
      </c>
      <c r="BF74" s="157">
        <v>507</v>
      </c>
      <c r="BG74" s="157" t="s">
        <v>246</v>
      </c>
      <c r="BH74" s="156">
        <v>15.28</v>
      </c>
      <c r="BI74" s="158">
        <f t="shared" si="202"/>
        <v>62295.795999999995</v>
      </c>
      <c r="BJ74" s="156">
        <v>7.41</v>
      </c>
      <c r="BK74" s="158">
        <f t="shared" si="203"/>
        <v>30210.199499999999</v>
      </c>
      <c r="BL74" s="156">
        <v>45.77</v>
      </c>
      <c r="BM74" s="159">
        <f t="shared" si="204"/>
        <v>186602.00150000001</v>
      </c>
      <c r="BN74" s="157">
        <v>3062</v>
      </c>
      <c r="BO74" s="159">
        <f t="shared" si="205"/>
        <v>12483620.9</v>
      </c>
      <c r="BP74" s="160"/>
      <c r="BQ74" s="156">
        <v>7.17</v>
      </c>
      <c r="BR74" s="158">
        <f t="shared" si="206"/>
        <v>29231.731499999998</v>
      </c>
      <c r="BS74" s="156">
        <v>45.89</v>
      </c>
      <c r="BT74" s="159">
        <f t="shared" si="207"/>
        <v>187091.23549999998</v>
      </c>
      <c r="BU74" s="157">
        <v>3070</v>
      </c>
      <c r="BV74" s="161">
        <f t="shared" si="208"/>
        <v>12516236.5</v>
      </c>
      <c r="BW74" s="157" t="s">
        <v>187</v>
      </c>
      <c r="BX74" s="157">
        <f t="shared" si="209"/>
        <v>2802</v>
      </c>
      <c r="BY74" s="161">
        <f t="shared" si="210"/>
        <v>11423613.9</v>
      </c>
      <c r="BZ74" s="157">
        <f t="shared" si="211"/>
        <v>41.88</v>
      </c>
      <c r="CA74" s="161">
        <f t="shared" si="212"/>
        <v>170742.666</v>
      </c>
      <c r="CB74" s="156">
        <f t="shared" si="213"/>
        <v>8.11</v>
      </c>
      <c r="CC74" s="161">
        <f t="shared" si="214"/>
        <v>33064.064499999993</v>
      </c>
      <c r="CD74" s="162">
        <f t="shared" si="215"/>
        <v>4076.95</v>
      </c>
      <c r="CE74" s="163">
        <v>3.4</v>
      </c>
      <c r="CF74" s="164">
        <v>7.38</v>
      </c>
      <c r="CG74" s="165">
        <f>CE74+CF74*(1-CE74/100)</f>
        <v>10.52908</v>
      </c>
      <c r="CH74" s="166">
        <f t="shared" si="217"/>
        <v>42926.532705999998</v>
      </c>
      <c r="CI74" s="167">
        <v>48.23</v>
      </c>
      <c r="CJ74" s="166">
        <f t="shared" si="218"/>
        <v>196631.29849999998</v>
      </c>
      <c r="CK74" s="168">
        <v>4.49</v>
      </c>
      <c r="CL74" s="166">
        <f t="shared" si="219"/>
        <v>18305.505499999999</v>
      </c>
      <c r="CM74" s="167">
        <v>24.86</v>
      </c>
      <c r="CN74" s="166">
        <f t="shared" si="220"/>
        <v>101352.977</v>
      </c>
      <c r="CO74" s="169">
        <f t="shared" si="221"/>
        <v>3363.0702999999994</v>
      </c>
      <c r="CP74" s="166">
        <f t="shared" si="222"/>
        <v>13711069.459584996</v>
      </c>
      <c r="CQ74" s="167">
        <v>3088</v>
      </c>
      <c r="CR74" s="166">
        <f t="shared" si="223"/>
        <v>12589621.6</v>
      </c>
      <c r="CS74" s="170">
        <f t="shared" si="224"/>
        <v>48.871316092555752</v>
      </c>
      <c r="CT74" s="166">
        <f t="shared" si="225"/>
        <v>199245.91214354517</v>
      </c>
      <c r="CU74" s="168">
        <v>3.22</v>
      </c>
      <c r="CV74" s="166">
        <f t="shared" si="226"/>
        <v>13127.779</v>
      </c>
      <c r="CW74" s="170">
        <f t="shared" ref="CW74" si="241">((100-CU74)/(100-CK74))*CM74</f>
        <v>25.190564338812688</v>
      </c>
      <c r="CX74" s="166">
        <f t="shared" si="227"/>
        <v>102700.67128112238</v>
      </c>
      <c r="CY74" s="171">
        <f t="shared" ref="CY74" si="242">((100-CU74)/(100-CK74))*CQ74</f>
        <v>3129.0612501308765</v>
      </c>
      <c r="CZ74" s="166">
        <f t="shared" si="228"/>
        <v>12757026.263721077</v>
      </c>
      <c r="DA74" s="170" t="str">
        <f t="shared" ref="DA74" si="243">IF(CY74&gt;=7000,"G1",IF(CY74&gt;=6700,"G2",IF(CY74&gt;=6400,"G3",IF(CY74&gt;=6100,"G4",IF(CY74&gt;=5800,"G5",IF(CY74&gt;=5500,"G6",IF(CY74&gt;=5200,"G7",IF(CY74&gt;=4900,"G8",IF(CY74&gt;=4600,"G9",IF(CY74&gt;=4300,"G10",IF(CY74&gt;=4000,"G11",IF(CY74&gt;=3700,"G12",IF(CY74&gt;=3400,"G13",IF(CY74&gt;=3100,"G14",IF(CY74&gt;=2800,"G15",IF(CY74&gt;=2500,"G16",IF(CY74&gt;=2200,"G17")))))))))))))))))</f>
        <v>G14</v>
      </c>
      <c r="DB74" s="171">
        <f t="shared" si="229"/>
        <v>2892.7463193382891</v>
      </c>
      <c r="DC74" s="166">
        <f t="shared" si="230"/>
        <v>11793582.106626237</v>
      </c>
      <c r="DD74" s="170">
        <f t="shared" si="231"/>
        <v>45.180425836038111</v>
      </c>
      <c r="DE74" s="221">
        <f t="shared" si="232"/>
        <v>184198.33711223557</v>
      </c>
      <c r="DF74" s="222">
        <f t="shared" si="233"/>
        <v>7.3090799999999998</v>
      </c>
      <c r="DG74" s="221">
        <f t="shared" si="234"/>
        <v>29798.753706</v>
      </c>
      <c r="DH74" s="172">
        <f t="shared" si="235"/>
        <v>0</v>
      </c>
      <c r="DI74" s="173">
        <f t="shared" si="236"/>
        <v>59.061250130876488</v>
      </c>
      <c r="DJ74" s="174">
        <f t="shared" si="237"/>
        <v>-1</v>
      </c>
      <c r="DK74" s="175">
        <f t="shared" si="238"/>
        <v>180</v>
      </c>
      <c r="DL74" s="176">
        <f t="shared" si="239"/>
        <v>-1</v>
      </c>
      <c r="DM74" s="175" t="e">
        <f t="shared" si="240"/>
        <v>#VALUE!</v>
      </c>
      <c r="DN74" s="177"/>
      <c r="DO74" s="178">
        <f t="shared" si="120"/>
        <v>-90.74631933828914</v>
      </c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80"/>
      <c r="EC74" s="181">
        <f t="shared" si="179"/>
        <v>-59.061250130876488</v>
      </c>
      <c r="EE74" s="181">
        <f>BX74-DB74</f>
        <v>-90.74631933828914</v>
      </c>
    </row>
    <row r="75" spans="1:138" s="182" customFormat="1" ht="30">
      <c r="A75" s="74">
        <v>5</v>
      </c>
      <c r="B75" s="74">
        <v>56</v>
      </c>
      <c r="C75" s="138">
        <v>45820</v>
      </c>
      <c r="D75" s="139">
        <v>162001316</v>
      </c>
      <c r="E75" s="138">
        <v>45818</v>
      </c>
      <c r="F75" s="138"/>
      <c r="G75" s="138"/>
      <c r="H75" s="140">
        <v>3835.35</v>
      </c>
      <c r="I75" s="141">
        <v>3835.35</v>
      </c>
      <c r="J75" s="142"/>
      <c r="K75" s="568"/>
      <c r="L75" s="337">
        <v>57</v>
      </c>
      <c r="M75" s="571"/>
      <c r="N75" s="144">
        <v>3835.35</v>
      </c>
      <c r="O75" s="522" t="s">
        <v>202</v>
      </c>
      <c r="P75" s="145" t="s">
        <v>203</v>
      </c>
      <c r="Q75" s="146" t="s">
        <v>67</v>
      </c>
      <c r="R75" s="145"/>
      <c r="S75" s="145" t="s">
        <v>181</v>
      </c>
      <c r="T75" s="145"/>
      <c r="U75" s="147" t="s">
        <v>198</v>
      </c>
      <c r="V75" s="147" t="s">
        <v>199</v>
      </c>
      <c r="W75" s="147">
        <v>3250</v>
      </c>
      <c r="X75" s="519">
        <v>3970.8</v>
      </c>
      <c r="Y75" s="148"/>
      <c r="Z75" s="150"/>
      <c r="AA75" s="149"/>
      <c r="AB75" s="150"/>
      <c r="AC75" s="151"/>
      <c r="AD75" s="151"/>
      <c r="AE75" s="152">
        <f t="shared" si="187"/>
        <v>0</v>
      </c>
      <c r="AF75" s="151"/>
      <c r="AG75" s="152">
        <f t="shared" si="188"/>
        <v>0</v>
      </c>
      <c r="AH75" s="151"/>
      <c r="AI75" s="152">
        <f t="shared" si="189"/>
        <v>0</v>
      </c>
      <c r="AJ75" s="149"/>
      <c r="AK75" s="152">
        <f t="shared" si="190"/>
        <v>0</v>
      </c>
      <c r="AL75" s="149"/>
      <c r="AM75" s="151"/>
      <c r="AN75" s="152">
        <f t="shared" si="191"/>
        <v>0</v>
      </c>
      <c r="AO75" s="151"/>
      <c r="AP75" s="152">
        <f t="shared" si="192"/>
        <v>0</v>
      </c>
      <c r="AQ75" s="174">
        <f t="shared" si="193"/>
        <v>3250</v>
      </c>
      <c r="AR75" s="152">
        <f t="shared" si="194"/>
        <v>12464887.5</v>
      </c>
      <c r="AS75" s="149"/>
      <c r="AT75" s="149">
        <f t="shared" si="195"/>
        <v>3250</v>
      </c>
      <c r="AU75" s="152">
        <f t="shared" si="196"/>
        <v>0</v>
      </c>
      <c r="AV75" s="149">
        <f>ROUND(((100-AD75)/(100-AM75)*AO75),2)</f>
        <v>0</v>
      </c>
      <c r="AW75" s="152">
        <f t="shared" si="197"/>
        <v>0</v>
      </c>
      <c r="AX75" s="151">
        <f t="shared" si="198"/>
        <v>0</v>
      </c>
      <c r="AY75" s="152">
        <f t="shared" si="199"/>
        <v>0</v>
      </c>
      <c r="AZ75" s="153">
        <v>3.6</v>
      </c>
      <c r="BA75" s="153">
        <v>9.48</v>
      </c>
      <c r="BB75" s="153"/>
      <c r="BC75" s="154">
        <f t="shared" si="200"/>
        <v>12.738719999999999</v>
      </c>
      <c r="BD75" s="155">
        <f t="shared" si="201"/>
        <v>48857.449751999993</v>
      </c>
      <c r="BE75" s="156">
        <f>CD75</f>
        <v>3835.35</v>
      </c>
      <c r="BF75" s="157">
        <v>509</v>
      </c>
      <c r="BG75" s="157" t="s">
        <v>243</v>
      </c>
      <c r="BH75" s="156">
        <v>12.74</v>
      </c>
      <c r="BI75" s="158">
        <f t="shared" si="202"/>
        <v>48862.358999999997</v>
      </c>
      <c r="BJ75" s="156">
        <v>6.63</v>
      </c>
      <c r="BK75" s="158">
        <f t="shared" si="203"/>
        <v>25428.370499999997</v>
      </c>
      <c r="BL75" s="156">
        <v>58.37</v>
      </c>
      <c r="BM75" s="159">
        <f t="shared" si="204"/>
        <v>223869.37949999998</v>
      </c>
      <c r="BN75" s="157">
        <v>2196</v>
      </c>
      <c r="BO75" s="159">
        <f t="shared" si="205"/>
        <v>8422428.5999999996</v>
      </c>
      <c r="BP75" s="160"/>
      <c r="BQ75" s="156">
        <v>6.17</v>
      </c>
      <c r="BR75" s="158">
        <f t="shared" si="206"/>
        <v>23664.109499999999</v>
      </c>
      <c r="BS75" s="156">
        <v>58.66</v>
      </c>
      <c r="BT75" s="159">
        <f t="shared" si="207"/>
        <v>224981.63099999999</v>
      </c>
      <c r="BU75" s="157">
        <v>2207</v>
      </c>
      <c r="BV75" s="161">
        <f t="shared" si="208"/>
        <v>8464617.4499999993</v>
      </c>
      <c r="BW75" s="157" t="s">
        <v>223</v>
      </c>
      <c r="BX75" s="157">
        <f t="shared" si="209"/>
        <v>2052</v>
      </c>
      <c r="BY75" s="161">
        <f t="shared" si="210"/>
        <v>7870138.2000000002</v>
      </c>
      <c r="BZ75" s="157">
        <f t="shared" si="211"/>
        <v>54.55</v>
      </c>
      <c r="CA75" s="161">
        <f t="shared" si="212"/>
        <v>209218.34249999997</v>
      </c>
      <c r="CB75" s="156">
        <f t="shared" si="213"/>
        <v>6.57</v>
      </c>
      <c r="CC75" s="161">
        <f t="shared" si="214"/>
        <v>25198.249500000002</v>
      </c>
      <c r="CD75" s="162">
        <f t="shared" si="215"/>
        <v>3835.35</v>
      </c>
      <c r="CE75" s="163">
        <v>3.6</v>
      </c>
      <c r="CF75" s="164">
        <v>9.48</v>
      </c>
      <c r="CG75" s="165">
        <f>CE75+CF75*(1-CE75/100)</f>
        <v>12.738719999999999</v>
      </c>
      <c r="CH75" s="166">
        <f t="shared" si="217"/>
        <v>48857.449751999993</v>
      </c>
      <c r="CI75" s="167">
        <v>58.83</v>
      </c>
      <c r="CJ75" s="166">
        <f t="shared" si="218"/>
        <v>225633.64049999998</v>
      </c>
      <c r="CK75" s="168">
        <v>3.86</v>
      </c>
      <c r="CL75" s="166">
        <f t="shared" si="219"/>
        <v>14804.450999999999</v>
      </c>
      <c r="CM75" s="167">
        <v>21.81</v>
      </c>
      <c r="CN75" s="166">
        <f t="shared" si="220"/>
        <v>83648.983499999988</v>
      </c>
      <c r="CO75" s="169">
        <f t="shared" si="221"/>
        <v>2457.2070999999996</v>
      </c>
      <c r="CP75" s="166">
        <f t="shared" si="222"/>
        <v>9424249.2509849984</v>
      </c>
      <c r="CQ75" s="167">
        <v>2238</v>
      </c>
      <c r="CR75" s="166">
        <f t="shared" si="223"/>
        <v>8583513.2999999989</v>
      </c>
      <c r="CS75" s="170">
        <f t="shared" si="224"/>
        <v>59.319536093197421</v>
      </c>
      <c r="CT75" s="166">
        <f t="shared" si="225"/>
        <v>227511.18275504472</v>
      </c>
      <c r="CU75" s="168">
        <v>3.06</v>
      </c>
      <c r="CV75" s="166">
        <f t="shared" si="226"/>
        <v>11736.171</v>
      </c>
      <c r="CW75" s="170">
        <f>((100-CU75)/(100-CK75))*CM75</f>
        <v>21.991485333888079</v>
      </c>
      <c r="CX75" s="166">
        <f t="shared" si="227"/>
        <v>84345.04327532764</v>
      </c>
      <c r="CY75" s="171">
        <f>((100-CU75)/(100-CK75))*CQ75</f>
        <v>2256.6228416892031</v>
      </c>
      <c r="CZ75" s="166">
        <f t="shared" si="228"/>
        <v>8654938.4158726856</v>
      </c>
      <c r="DA75" s="170" t="str">
        <f>IF(CY75&gt;=7000,"G1",IF(CY75&gt;=6700,"G2",IF(CY75&gt;=6400,"G3",IF(CY75&gt;=6100,"G4",IF(CY75&gt;=5800,"G5",IF(CY75&gt;=5500,"G6",IF(CY75&gt;=5200,"G7",IF(CY75&gt;=4900,"G8",IF(CY75&gt;=4600,"G9",IF(CY75&gt;=4300,"G10",IF(CY75&gt;=4000,"G11",IF(CY75&gt;=3700,"G12",IF(CY75&gt;=3400,"G13",IF(CY75&gt;=3100,"G14",IF(CY75&gt;=2800,"G15",IF(CY75&gt;=2500,"G16",IF(CY75&gt;=2200,"G17")))))))))))))))))</f>
        <v>G17</v>
      </c>
      <c r="DB75" s="171">
        <f t="shared" si="229"/>
        <v>2031.3162537965468</v>
      </c>
      <c r="DC75" s="166">
        <f t="shared" si="230"/>
        <v>7790808.7939985851</v>
      </c>
      <c r="DD75" s="170">
        <f t="shared" si="231"/>
        <v>53.396932623257747</v>
      </c>
      <c r="DE75" s="221">
        <f t="shared" si="232"/>
        <v>204795.92553661158</v>
      </c>
      <c r="DF75" s="222">
        <f t="shared" si="233"/>
        <v>9.6787199999999984</v>
      </c>
      <c r="DG75" s="221">
        <f t="shared" si="234"/>
        <v>37121.278751999991</v>
      </c>
      <c r="DH75" s="172">
        <f t="shared" si="235"/>
        <v>-3</v>
      </c>
      <c r="DI75" s="173">
        <f t="shared" si="236"/>
        <v>49.622841689203142</v>
      </c>
      <c r="DJ75" s="174">
        <f t="shared" si="237"/>
        <v>-3</v>
      </c>
      <c r="DK75" s="175">
        <f t="shared" si="238"/>
        <v>1043</v>
      </c>
      <c r="DL75" s="176">
        <f t="shared" si="239"/>
        <v>-3</v>
      </c>
      <c r="DM75" s="175" t="e">
        <f t="shared" si="240"/>
        <v>#VALUE!</v>
      </c>
      <c r="DN75" s="177"/>
      <c r="DO75" s="178">
        <f t="shared" si="120"/>
        <v>20.683746203453211</v>
      </c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80"/>
      <c r="EC75" s="181">
        <f t="shared" si="179"/>
        <v>-49.622841689203142</v>
      </c>
      <c r="EE75" s="181">
        <f>BX75-DB75</f>
        <v>20.683746203453211</v>
      </c>
    </row>
    <row r="76" spans="1:138" s="182" customFormat="1" ht="30">
      <c r="A76" s="74">
        <v>6</v>
      </c>
      <c r="B76" s="74">
        <v>63</v>
      </c>
      <c r="C76" s="138">
        <v>45821</v>
      </c>
      <c r="D76" s="139">
        <v>162001317</v>
      </c>
      <c r="E76" s="138">
        <v>45819</v>
      </c>
      <c r="F76" s="138"/>
      <c r="G76" s="138"/>
      <c r="H76" s="140">
        <v>3928.75</v>
      </c>
      <c r="I76" s="141">
        <v>3928.75</v>
      </c>
      <c r="J76" s="142"/>
      <c r="K76" s="568"/>
      <c r="L76" s="337">
        <v>58</v>
      </c>
      <c r="M76" s="571"/>
      <c r="N76" s="144">
        <v>3928.75</v>
      </c>
      <c r="O76" s="522" t="s">
        <v>202</v>
      </c>
      <c r="P76" s="145" t="s">
        <v>203</v>
      </c>
      <c r="Q76" s="146" t="s">
        <v>67</v>
      </c>
      <c r="R76" s="145"/>
      <c r="S76" s="145" t="s">
        <v>181</v>
      </c>
      <c r="T76" s="145"/>
      <c r="U76" s="147" t="s">
        <v>198</v>
      </c>
      <c r="V76" s="147" t="s">
        <v>199</v>
      </c>
      <c r="W76" s="147">
        <v>3250</v>
      </c>
      <c r="X76" s="519">
        <v>4058.65</v>
      </c>
      <c r="Y76" s="148"/>
      <c r="Z76" s="150"/>
      <c r="AA76" s="149"/>
      <c r="AB76" s="150"/>
      <c r="AC76" s="151"/>
      <c r="AD76" s="151"/>
      <c r="AE76" s="152">
        <f t="shared" si="187"/>
        <v>0</v>
      </c>
      <c r="AF76" s="151"/>
      <c r="AG76" s="152">
        <f t="shared" si="188"/>
        <v>0</v>
      </c>
      <c r="AH76" s="151"/>
      <c r="AI76" s="152">
        <f t="shared" si="189"/>
        <v>0</v>
      </c>
      <c r="AJ76" s="149"/>
      <c r="AK76" s="152">
        <f t="shared" si="190"/>
        <v>0</v>
      </c>
      <c r="AL76" s="149"/>
      <c r="AM76" s="151"/>
      <c r="AN76" s="152">
        <f t="shared" si="191"/>
        <v>0</v>
      </c>
      <c r="AO76" s="151"/>
      <c r="AP76" s="152">
        <f t="shared" si="192"/>
        <v>0</v>
      </c>
      <c r="AQ76" s="174">
        <f t="shared" si="193"/>
        <v>3250</v>
      </c>
      <c r="AR76" s="152">
        <f t="shared" si="194"/>
        <v>12768437.5</v>
      </c>
      <c r="AS76" s="149"/>
      <c r="AT76" s="149">
        <f t="shared" si="195"/>
        <v>3250</v>
      </c>
      <c r="AU76" s="152">
        <f t="shared" si="196"/>
        <v>0</v>
      </c>
      <c r="AV76" s="149">
        <f>ROUND(((100-AD76)/(100-AM76)*AO76),2)</f>
        <v>0</v>
      </c>
      <c r="AW76" s="152">
        <f t="shared" si="197"/>
        <v>0</v>
      </c>
      <c r="AX76" s="151">
        <f t="shared" si="198"/>
        <v>0</v>
      </c>
      <c r="AY76" s="152">
        <f t="shared" si="199"/>
        <v>0</v>
      </c>
      <c r="AZ76" s="153">
        <v>3</v>
      </c>
      <c r="BA76" s="153">
        <v>9.5470000000000006</v>
      </c>
      <c r="BB76" s="153"/>
      <c r="BC76" s="154">
        <f t="shared" si="200"/>
        <v>12.260590000000001</v>
      </c>
      <c r="BD76" s="155">
        <f t="shared" si="201"/>
        <v>48168.792962500003</v>
      </c>
      <c r="BE76" s="156">
        <f t="shared" ref="BE76:BE77" si="244">CD76</f>
        <v>3928.75</v>
      </c>
      <c r="BF76" s="157">
        <v>510</v>
      </c>
      <c r="BG76" s="157" t="s">
        <v>247</v>
      </c>
      <c r="BH76" s="156">
        <v>12.26</v>
      </c>
      <c r="BI76" s="158">
        <f t="shared" si="202"/>
        <v>48166.474999999999</v>
      </c>
      <c r="BJ76" s="156">
        <v>7.86</v>
      </c>
      <c r="BK76" s="158">
        <f t="shared" si="203"/>
        <v>30879.975000000002</v>
      </c>
      <c r="BL76" s="156">
        <v>46.25</v>
      </c>
      <c r="BM76" s="159">
        <f t="shared" si="204"/>
        <v>181704.6875</v>
      </c>
      <c r="BN76" s="157">
        <v>3226</v>
      </c>
      <c r="BO76" s="159">
        <f t="shared" si="205"/>
        <v>12674147.5</v>
      </c>
      <c r="BP76" s="160"/>
      <c r="BQ76" s="156">
        <v>7.26</v>
      </c>
      <c r="BR76" s="158">
        <f t="shared" si="206"/>
        <v>28522.724999999999</v>
      </c>
      <c r="BS76" s="156">
        <v>46.55</v>
      </c>
      <c r="BT76" s="159">
        <f t="shared" si="207"/>
        <v>182883.3125</v>
      </c>
      <c r="BU76" s="157">
        <v>3247</v>
      </c>
      <c r="BV76" s="161">
        <f t="shared" si="208"/>
        <v>12756651.25</v>
      </c>
      <c r="BW76" s="157" t="s">
        <v>193</v>
      </c>
      <c r="BX76" s="157">
        <f t="shared" si="209"/>
        <v>3072</v>
      </c>
      <c r="BY76" s="161">
        <f t="shared" si="210"/>
        <v>12069120</v>
      </c>
      <c r="BZ76" s="157">
        <f t="shared" si="211"/>
        <v>44.04</v>
      </c>
      <c r="CA76" s="161">
        <f t="shared" si="212"/>
        <v>173022.15</v>
      </c>
      <c r="CB76" s="156">
        <f t="shared" si="213"/>
        <v>5</v>
      </c>
      <c r="CC76" s="161">
        <f t="shared" si="214"/>
        <v>19643.75</v>
      </c>
      <c r="CD76" s="162">
        <f t="shared" si="215"/>
        <v>3928.75</v>
      </c>
      <c r="CE76" s="163">
        <v>3</v>
      </c>
      <c r="CF76" s="164">
        <v>9.5399999999999991</v>
      </c>
      <c r="CG76" s="165">
        <f>CE76+CF76*(1-CE76/100)</f>
        <v>12.253799999999998</v>
      </c>
      <c r="CH76" s="166">
        <f t="shared" si="217"/>
        <v>48142.116749999994</v>
      </c>
      <c r="CI76" s="167">
        <v>47.66</v>
      </c>
      <c r="CJ76" s="166">
        <f t="shared" si="218"/>
        <v>187244.22499999998</v>
      </c>
      <c r="CK76" s="168">
        <v>5.52</v>
      </c>
      <c r="CL76" s="166">
        <f t="shared" si="219"/>
        <v>21686.699999999997</v>
      </c>
      <c r="CM76" s="167">
        <v>22.07</v>
      </c>
      <c r="CN76" s="166">
        <f t="shared" si="220"/>
        <v>86707.512499999997</v>
      </c>
      <c r="CO76" s="169">
        <f t="shared" si="221"/>
        <v>3266.7862000000005</v>
      </c>
      <c r="CP76" s="166">
        <f t="shared" si="222"/>
        <v>12834386.283250002</v>
      </c>
      <c r="CQ76" s="167">
        <v>3128</v>
      </c>
      <c r="CR76" s="166">
        <f t="shared" si="223"/>
        <v>12289130</v>
      </c>
      <c r="CS76" s="170">
        <f t="shared" si="224"/>
        <v>48.552868331922099</v>
      </c>
      <c r="CT76" s="166">
        <f t="shared" si="225"/>
        <v>190752.08145903895</v>
      </c>
      <c r="CU76" s="168">
        <v>3.75</v>
      </c>
      <c r="CV76" s="166">
        <f t="shared" si="226"/>
        <v>14732.8125</v>
      </c>
      <c r="CW76" s="170">
        <f>((100-CU76)/(100-CK76))*CM76</f>
        <v>22.483462108382728</v>
      </c>
      <c r="CX76" s="166">
        <f t="shared" si="227"/>
        <v>88331.901758308639</v>
      </c>
      <c r="CY76" s="171">
        <f>((100-CU76)/(100-CK76))*CQ76</f>
        <v>3186.6003386960206</v>
      </c>
      <c r="CZ76" s="166">
        <f t="shared" si="228"/>
        <v>12519356.080651991</v>
      </c>
      <c r="DA76" s="170" t="str">
        <f>IF(CY76&gt;=7000,"G1",IF(CY76&gt;=6700,"G2",IF(CY76&gt;=6400,"G3",IF(CY76&gt;=6100,"G4",IF(CY76&gt;=5800,"G5",IF(CY76&gt;=5500,"G6",IF(CY76&gt;=5200,"G7",IF(CY76&gt;=4900,"G8",IF(CY76&gt;=4600,"G9",IF(CY76&gt;=4300,"G10",IF(CY76&gt;=4000,"G11",IF(CY76&gt;=3700,"G12",IF(CY76&gt;=3400,"G13",IF(CY76&gt;=3100,"G14",IF(CY76&gt;=2800,"G15",IF(CY76&gt;=2500,"G16",IF(CY76&gt;=2200,"G17")))))))))))))))))</f>
        <v>G14</v>
      </c>
      <c r="DB76" s="171">
        <f t="shared" si="229"/>
        <v>2905.0604741744282</v>
      </c>
      <c r="DC76" s="166">
        <f t="shared" si="230"/>
        <v>11413256.337912785</v>
      </c>
      <c r="DD76" s="170">
        <f t="shared" si="231"/>
        <v>44.263165664690938</v>
      </c>
      <c r="DE76" s="221">
        <f t="shared" si="232"/>
        <v>173898.91210515451</v>
      </c>
      <c r="DF76" s="222">
        <f t="shared" si="233"/>
        <v>8.5037999999999982</v>
      </c>
      <c r="DG76" s="221">
        <f t="shared" si="234"/>
        <v>33409.304249999994</v>
      </c>
      <c r="DH76" s="172">
        <f t="shared" si="235"/>
        <v>0</v>
      </c>
      <c r="DI76" s="173">
        <f t="shared" si="236"/>
        <v>-60.399661303979428</v>
      </c>
      <c r="DJ76" s="174">
        <f t="shared" si="237"/>
        <v>0</v>
      </c>
      <c r="DK76" s="175">
        <f t="shared" si="238"/>
        <v>3</v>
      </c>
      <c r="DL76" s="176">
        <f t="shared" si="239"/>
        <v>0</v>
      </c>
      <c r="DM76" s="175" t="e">
        <f t="shared" si="240"/>
        <v>#VALUE!</v>
      </c>
      <c r="DN76" s="177"/>
      <c r="DO76" s="178">
        <f t="shared" si="120"/>
        <v>166.93952582557176</v>
      </c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80"/>
      <c r="EC76" s="181">
        <f t="shared" si="179"/>
        <v>60.399661303979428</v>
      </c>
      <c r="EE76" s="181"/>
    </row>
    <row r="77" spans="1:138" s="182" customFormat="1" ht="30">
      <c r="A77" s="74">
        <v>7</v>
      </c>
      <c r="B77" s="74">
        <v>64</v>
      </c>
      <c r="C77" s="138">
        <v>45821</v>
      </c>
      <c r="D77" s="139">
        <v>162001318</v>
      </c>
      <c r="E77" s="138">
        <v>45819</v>
      </c>
      <c r="F77" s="138"/>
      <c r="G77" s="138"/>
      <c r="H77" s="140">
        <v>3953.55</v>
      </c>
      <c r="I77" s="141">
        <v>3953.55</v>
      </c>
      <c r="J77" s="142"/>
      <c r="K77" s="568"/>
      <c r="L77" s="337">
        <v>57</v>
      </c>
      <c r="M77" s="571"/>
      <c r="N77" s="144">
        <v>3953.55</v>
      </c>
      <c r="O77" s="522" t="s">
        <v>202</v>
      </c>
      <c r="P77" s="145" t="s">
        <v>73</v>
      </c>
      <c r="Q77" s="146" t="s">
        <v>66</v>
      </c>
      <c r="R77" s="145"/>
      <c r="S77" s="145" t="s">
        <v>181</v>
      </c>
      <c r="T77" s="145"/>
      <c r="U77" s="147" t="s">
        <v>198</v>
      </c>
      <c r="V77" s="147" t="s">
        <v>199</v>
      </c>
      <c r="W77" s="147">
        <v>3450</v>
      </c>
      <c r="X77" s="519">
        <v>4007.25</v>
      </c>
      <c r="Y77" s="148"/>
      <c r="Z77" s="150"/>
      <c r="AA77" s="149"/>
      <c r="AB77" s="150"/>
      <c r="AC77" s="151"/>
      <c r="AD77" s="151"/>
      <c r="AE77" s="152">
        <f t="shared" si="187"/>
        <v>0</v>
      </c>
      <c r="AF77" s="151"/>
      <c r="AG77" s="152">
        <f t="shared" si="188"/>
        <v>0</v>
      </c>
      <c r="AH77" s="151"/>
      <c r="AI77" s="152">
        <f t="shared" si="189"/>
        <v>0</v>
      </c>
      <c r="AJ77" s="149"/>
      <c r="AK77" s="152">
        <f t="shared" si="190"/>
        <v>0</v>
      </c>
      <c r="AL77" s="149"/>
      <c r="AM77" s="151"/>
      <c r="AN77" s="152">
        <f t="shared" si="191"/>
        <v>0</v>
      </c>
      <c r="AO77" s="151"/>
      <c r="AP77" s="152">
        <f t="shared" si="192"/>
        <v>0</v>
      </c>
      <c r="AQ77" s="174">
        <f t="shared" si="193"/>
        <v>3450</v>
      </c>
      <c r="AR77" s="152">
        <f t="shared" si="194"/>
        <v>13639747.5</v>
      </c>
      <c r="AS77" s="149"/>
      <c r="AT77" s="149">
        <f t="shared" si="195"/>
        <v>3450</v>
      </c>
      <c r="AU77" s="152">
        <f t="shared" si="196"/>
        <v>0</v>
      </c>
      <c r="AV77" s="149">
        <f t="shared" ref="AV77" si="245">ROUND(((100-AD77)/(100-AM77)*AO77),2)</f>
        <v>0</v>
      </c>
      <c r="AW77" s="152">
        <f t="shared" si="197"/>
        <v>0</v>
      </c>
      <c r="AX77" s="151">
        <f t="shared" si="198"/>
        <v>0</v>
      </c>
      <c r="AY77" s="152">
        <f t="shared" si="199"/>
        <v>0</v>
      </c>
      <c r="AZ77" s="153">
        <v>2.4</v>
      </c>
      <c r="BA77" s="153">
        <v>8.09</v>
      </c>
      <c r="BB77" s="153"/>
      <c r="BC77" s="154">
        <f t="shared" si="200"/>
        <v>10.29584</v>
      </c>
      <c r="BD77" s="155">
        <f t="shared" si="201"/>
        <v>40705.118232000001</v>
      </c>
      <c r="BE77" s="156">
        <f t="shared" si="244"/>
        <v>3953.55</v>
      </c>
      <c r="BF77" s="157">
        <v>510</v>
      </c>
      <c r="BG77" s="157" t="s">
        <v>247</v>
      </c>
      <c r="BH77" s="156">
        <v>10.26</v>
      </c>
      <c r="BI77" s="158">
        <f t="shared" si="202"/>
        <v>40563.423000000003</v>
      </c>
      <c r="BJ77" s="156">
        <v>7.77</v>
      </c>
      <c r="BK77" s="158">
        <f t="shared" si="203"/>
        <v>30719.083500000001</v>
      </c>
      <c r="BL77" s="156">
        <v>41.29</v>
      </c>
      <c r="BM77" s="159">
        <f t="shared" si="204"/>
        <v>163242.07949999999</v>
      </c>
      <c r="BN77" s="157">
        <v>3276</v>
      </c>
      <c r="BO77" s="159">
        <f t="shared" si="205"/>
        <v>12951829.800000001</v>
      </c>
      <c r="BP77" s="160"/>
      <c r="BQ77" s="156">
        <v>7.38</v>
      </c>
      <c r="BR77" s="158">
        <f t="shared" si="206"/>
        <v>29177.199000000001</v>
      </c>
      <c r="BS77" s="156">
        <v>41.46</v>
      </c>
      <c r="BT77" s="159">
        <f t="shared" si="207"/>
        <v>163914.18300000002</v>
      </c>
      <c r="BU77" s="157">
        <v>3290</v>
      </c>
      <c r="BV77" s="161">
        <f t="shared" si="208"/>
        <v>13007179.5</v>
      </c>
      <c r="BW77" s="157" t="s">
        <v>193</v>
      </c>
      <c r="BX77" s="157">
        <f t="shared" si="209"/>
        <v>3188</v>
      </c>
      <c r="BY77" s="161">
        <f t="shared" si="210"/>
        <v>12603917.4</v>
      </c>
      <c r="BZ77" s="157">
        <f t="shared" si="211"/>
        <v>40.17</v>
      </c>
      <c r="CA77" s="161">
        <f t="shared" si="212"/>
        <v>158814.10350000003</v>
      </c>
      <c r="CB77" s="156">
        <f t="shared" si="213"/>
        <v>2.88</v>
      </c>
      <c r="CC77" s="161">
        <f t="shared" si="214"/>
        <v>11386.224</v>
      </c>
      <c r="CD77" s="162">
        <f t="shared" si="215"/>
        <v>3953.55</v>
      </c>
      <c r="CE77" s="163">
        <v>2.4</v>
      </c>
      <c r="CF77" s="164">
        <v>8.09</v>
      </c>
      <c r="CG77" s="165">
        <f t="shared" ref="CG77" si="246">CE77+CF77*(1-CE77/100)</f>
        <v>10.29584</v>
      </c>
      <c r="CH77" s="166">
        <f t="shared" si="217"/>
        <v>40705.118232000001</v>
      </c>
      <c r="CI77" s="167">
        <v>45.66</v>
      </c>
      <c r="CJ77" s="166">
        <f t="shared" si="218"/>
        <v>180519.09299999999</v>
      </c>
      <c r="CK77" s="168">
        <v>5.48</v>
      </c>
      <c r="CL77" s="166">
        <f t="shared" si="219"/>
        <v>21665.454000000002</v>
      </c>
      <c r="CM77" s="167">
        <v>23.34</v>
      </c>
      <c r="CN77" s="166">
        <f t="shared" si="220"/>
        <v>92275.857000000004</v>
      </c>
      <c r="CO77" s="169">
        <f t="shared" si="221"/>
        <v>3460.8285999999998</v>
      </c>
      <c r="CP77" s="166">
        <f t="shared" si="222"/>
        <v>13682558.911529999</v>
      </c>
      <c r="CQ77" s="174">
        <v>3700</v>
      </c>
      <c r="CR77" s="166">
        <f t="shared" si="223"/>
        <v>14628135</v>
      </c>
      <c r="CS77" s="170">
        <f t="shared" si="224"/>
        <v>46.123749471011429</v>
      </c>
      <c r="CT77" s="166">
        <f t="shared" si="225"/>
        <v>182352.54972111725</v>
      </c>
      <c r="CU77" s="168">
        <v>4.5199999999999996</v>
      </c>
      <c r="CV77" s="166">
        <f t="shared" si="226"/>
        <v>17870.045999999998</v>
      </c>
      <c r="CW77" s="170">
        <f t="shared" ref="CW77" si="247">((100-CU77)/(100-CK77))*CM77</f>
        <v>23.577054591620822</v>
      </c>
      <c r="CX77" s="166">
        <f t="shared" si="227"/>
        <v>93213.064180702509</v>
      </c>
      <c r="CY77" s="171">
        <f t="shared" ref="CY77" si="248">((100-CU77)/(100-CK77))*CQ77</f>
        <v>3737.5793482860772</v>
      </c>
      <c r="CZ77" s="166">
        <f t="shared" si="228"/>
        <v>14776706.832416421</v>
      </c>
      <c r="DA77" s="170" t="str">
        <f t="shared" ref="DA77:DA78" si="249">IF(CY77&gt;=7000,"G1",IF(CY77&gt;=6700,"G2",IF(CY77&gt;=6400,"G3",IF(CY77&gt;=6100,"G4",IF(CY77&gt;=5800,"G5",IF(CY77&gt;=5500,"G6",IF(CY77&gt;=5200,"G7",IF(CY77&gt;=4900,"G8",IF(CY77&gt;=4600,"G9",IF(CY77&gt;=4300,"G10",IF(CY77&gt;=4000,"G11",IF(CY77&gt;=3700,"G12",IF(CY77&gt;=3400,"G13",IF(CY77&gt;=3100,"G14",IF(CY77&gt;=2800,"G15",IF(CY77&gt;=2500,"G16",IF(CY77&gt;=2200,"G17")))))))))))))))))</f>
        <v>G12</v>
      </c>
      <c r="DB77" s="171">
        <f t="shared" si="229"/>
        <v>3511.483199322895</v>
      </c>
      <c r="DC77" s="166">
        <f t="shared" si="230"/>
        <v>13882824.402683033</v>
      </c>
      <c r="DD77" s="170">
        <f t="shared" si="231"/>
        <v>43.333600778671183</v>
      </c>
      <c r="DE77" s="221">
        <f t="shared" si="232"/>
        <v>171321.55735851548</v>
      </c>
      <c r="DF77" s="222">
        <f t="shared" si="233"/>
        <v>5.7758400000000005</v>
      </c>
      <c r="DG77" s="221">
        <f t="shared" si="234"/>
        <v>22835.072232000002</v>
      </c>
      <c r="DH77" s="172">
        <f t="shared" si="235"/>
        <v>2</v>
      </c>
      <c r="DI77" s="173">
        <f t="shared" si="236"/>
        <v>447.57934828607722</v>
      </c>
      <c r="DJ77" s="174">
        <f t="shared" si="237"/>
        <v>0</v>
      </c>
      <c r="DK77" s="175">
        <f t="shared" si="238"/>
        <v>160</v>
      </c>
      <c r="DL77" s="176">
        <f t="shared" si="239"/>
        <v>0</v>
      </c>
      <c r="DM77" s="175" t="e">
        <f t="shared" si="240"/>
        <v>#VALUE!</v>
      </c>
      <c r="DN77" s="177"/>
      <c r="DO77" s="178">
        <f t="shared" si="120"/>
        <v>-323.48319932289496</v>
      </c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80"/>
      <c r="EC77" s="181">
        <f t="shared" si="179"/>
        <v>-447.57934828607722</v>
      </c>
      <c r="EE77" s="181"/>
    </row>
    <row r="78" spans="1:138" s="248" customFormat="1" ht="15.75">
      <c r="A78" s="239" t="s">
        <v>204</v>
      </c>
      <c r="B78" s="240"/>
      <c r="C78" s="240"/>
      <c r="D78" s="240"/>
      <c r="E78" s="240"/>
      <c r="F78" s="240"/>
      <c r="G78" s="240"/>
      <c r="H78" s="226">
        <f>SUM(H72:H77)</f>
        <v>23921.600000000002</v>
      </c>
      <c r="I78" s="226">
        <f>SUM(I72:I77)</f>
        <v>23921.600000000002</v>
      </c>
      <c r="J78" s="226"/>
      <c r="K78" s="226"/>
      <c r="L78" s="241"/>
      <c r="M78" s="240"/>
      <c r="N78" s="226">
        <f>SUM(N72:N77)</f>
        <v>23921.600000000002</v>
      </c>
      <c r="O78" s="239"/>
      <c r="P78" s="240"/>
      <c r="Q78" s="240"/>
      <c r="R78" s="240"/>
      <c r="S78" s="240"/>
      <c r="T78" s="240"/>
      <c r="U78" s="240"/>
      <c r="V78" s="240"/>
      <c r="W78" s="227">
        <f>SUMPRODUCT(W72:W77,I72:I77)/I78</f>
        <v>3283.0542271419968</v>
      </c>
      <c r="X78" s="226">
        <f>SUM(X72:X77)</f>
        <v>24484.25</v>
      </c>
      <c r="Y78" s="226"/>
      <c r="Z78" s="226"/>
      <c r="AA78" s="240"/>
      <c r="AB78" s="242"/>
      <c r="AC78" s="226">
        <f>SUM(AC72:AC77)</f>
        <v>0</v>
      </c>
      <c r="AD78" s="243" t="e">
        <f>AE78/$AC78</f>
        <v>#DIV/0!</v>
      </c>
      <c r="AE78" s="226">
        <f>SUM(AE72:AE77)</f>
        <v>0</v>
      </c>
      <c r="AF78" s="243" t="e">
        <f>AG78/$AC78</f>
        <v>#DIV/0!</v>
      </c>
      <c r="AG78" s="226">
        <f>SUM(AG72:AG77)</f>
        <v>0</v>
      </c>
      <c r="AH78" s="243" t="e">
        <f>AI78/$AC78</f>
        <v>#DIV/0!</v>
      </c>
      <c r="AI78" s="226">
        <f>SUM(AI72:AI77)</f>
        <v>0</v>
      </c>
      <c r="AJ78" s="243" t="e">
        <f>AK78/$AC78</f>
        <v>#DIV/0!</v>
      </c>
      <c r="AK78" s="226">
        <f>SUM(AK72:AK77)</f>
        <v>0</v>
      </c>
      <c r="AL78" s="240"/>
      <c r="AM78" s="243" t="e">
        <f>AN78/$AC78</f>
        <v>#DIV/0!</v>
      </c>
      <c r="AN78" s="226">
        <f>SUM(AN72:AN77)</f>
        <v>0</v>
      </c>
      <c r="AO78" s="243" t="e">
        <f>AP78/$AC78</f>
        <v>#DIV/0!</v>
      </c>
      <c r="AP78" s="226">
        <f>SUM(AP72:AP77)</f>
        <v>0</v>
      </c>
      <c r="AQ78" s="243">
        <f>AR78/$I78</f>
        <v>3283.0542271419968</v>
      </c>
      <c r="AR78" s="226">
        <f>SUM(AR72:AR77)</f>
        <v>78535910</v>
      </c>
      <c r="AS78" s="230" t="str">
        <f t="shared" ref="AS78" si="250">IF(AQ78&gt;=7000,"G1",IF(AQ78&gt;=6700,"G2",IF(AQ78&gt;=6400,"G3",IF(AQ78&gt;=6100,"G4",IF(AQ78&gt;=5800,"G5",IF(AQ78&gt;=5500,"G6",IF(AQ78&gt;=5200,"G7",IF(AQ78&gt;=4900,"G8",IF(AQ78&gt;=4600,"G9",IF(AQ78&gt;=4300,"G10",IF(AQ78&gt;=4000,"G11",IF(AQ78&gt;=3700,"G12",IF(AQ78&gt;=3400,"G13",IF(AQ78&gt;=3100,"G14",IF(AQ78&gt;=2800,"G15",IF(AQ78&gt;=2500,"G16",IF(AQ78&gt;=2200,"G17")))))))))))))))))</f>
        <v>G14</v>
      </c>
      <c r="AT78" s="243" t="e">
        <f>AU78/$AC78</f>
        <v>#DIV/0!</v>
      </c>
      <c r="AU78" s="226">
        <f>SUM(AU72:AU77)</f>
        <v>0</v>
      </c>
      <c r="AV78" s="243" t="e">
        <f>AW78/$AC78</f>
        <v>#DIV/0!</v>
      </c>
      <c r="AW78" s="226">
        <f>SUM(AW72:AW77)</f>
        <v>0</v>
      </c>
      <c r="AX78" s="243" t="e">
        <f>AY78/$AC78</f>
        <v>#DIV/0!</v>
      </c>
      <c r="AY78" s="226">
        <f>SUM(AY72:AY77)</f>
        <v>0</v>
      </c>
      <c r="AZ78" s="240"/>
      <c r="BA78" s="240"/>
      <c r="BB78" s="240"/>
      <c r="BC78" s="240">
        <f>BD78/$I78</f>
        <v>12.527625926733577</v>
      </c>
      <c r="BD78" s="226">
        <f>SUM(BD72:BD77)</f>
        <v>299680.85636894999</v>
      </c>
      <c r="BE78" s="226">
        <f>SUM(BE72:BE77)</f>
        <v>23921.600000000002</v>
      </c>
      <c r="BF78" s="240"/>
      <c r="BG78" s="240"/>
      <c r="BH78" s="241">
        <f>BI78/$BE78</f>
        <v>12.522371225168884</v>
      </c>
      <c r="BI78" s="226">
        <f>SUM(BI72:BI77)</f>
        <v>299555.15549999999</v>
      </c>
      <c r="BJ78" s="241">
        <f>BK78/$BE78</f>
        <v>7.3789316350076923</v>
      </c>
      <c r="BK78" s="226">
        <f>SUM(BK72:BK77)</f>
        <v>176515.85100000002</v>
      </c>
      <c r="BL78" s="241">
        <f>BM78/$BE78</f>
        <v>46.166292304862544</v>
      </c>
      <c r="BM78" s="226">
        <f>SUM(BM72:BM77)</f>
        <v>1104371.578</v>
      </c>
      <c r="BN78" s="241">
        <f>BO78/$BE78</f>
        <v>3081.239425874523</v>
      </c>
      <c r="BO78" s="226">
        <f>SUM(BO72:BO77)</f>
        <v>73708177.049999997</v>
      </c>
      <c r="BP78" s="241"/>
      <c r="BQ78" s="241">
        <f>BR78/$BE78</f>
        <v>6.9872558691726301</v>
      </c>
      <c r="BR78" s="226">
        <f>SUM(BR72:BR77)</f>
        <v>167146.34</v>
      </c>
      <c r="BS78" s="241">
        <f>BT78/$BE78</f>
        <v>46.363314096883144</v>
      </c>
      <c r="BT78" s="226">
        <f>SUM(BT72:BT77)</f>
        <v>1109084.6544999999</v>
      </c>
      <c r="BU78" s="241">
        <f>BV78/$BE78</f>
        <v>3094.3873821149086</v>
      </c>
      <c r="BV78" s="226">
        <f>SUM(BV72:BV77)</f>
        <v>74022697.200000003</v>
      </c>
      <c r="BW78" s="230" t="str">
        <f t="shared" ref="BW78" si="251">IF(BU78&gt;=7000,"G1",IF(BU78&gt;=6700,"G2",IF(BU78&gt;=6400,"G3",IF(BU78&gt;=6100,"G4",IF(BU78&gt;=5800,"G5",IF(BU78&gt;=5500,"G6",IF(BU78&gt;=5200,"G7",IF(BU78&gt;=4900,"G8",IF(BU78&gt;=4600,"G9",IF(BU78&gt;=4300,"G10",IF(BU78&gt;=4000,"G11",IF(BU78&gt;=3700,"G12",IF(BU78&gt;=3400,"G13",IF(BU78&gt;=3100,"G14",IF(BU78&gt;=2800,"G15",IF(BU78&gt;=2500,"G16",IF(BU78&gt;=2200,"G17")))))))))))))))))</f>
        <v>G15</v>
      </c>
      <c r="BX78" s="244">
        <f>BY78/$BE78</f>
        <v>2915.925126245736</v>
      </c>
      <c r="BY78" s="226">
        <f>SUM(BY72:BY77)</f>
        <v>69753594.5</v>
      </c>
      <c r="BZ78" s="241">
        <f>CA78/$BE78</f>
        <v>43.536321337201521</v>
      </c>
      <c r="CA78" s="226">
        <f>SUM(CA72:CA77)</f>
        <v>1041458.4645</v>
      </c>
      <c r="CB78" s="241">
        <f>CC78/$BE78</f>
        <v>5.535115355996254</v>
      </c>
      <c r="CC78" s="226">
        <f>SUM(CC72:CC77)</f>
        <v>132408.8155</v>
      </c>
      <c r="CD78" s="226">
        <f>SUM(CD72:CD77)</f>
        <v>23921.600000000002</v>
      </c>
      <c r="CE78" s="245"/>
      <c r="CF78" s="240"/>
      <c r="CG78" s="241">
        <f>CH78/$CD78</f>
        <v>11.185653633222691</v>
      </c>
      <c r="CH78" s="226">
        <f>SUM(CH72:CH77)</f>
        <v>267578.73195249995</v>
      </c>
      <c r="CI78" s="241">
        <f>CJ78/$CD78</f>
        <v>48.191747186643028</v>
      </c>
      <c r="CJ78" s="226">
        <f>SUM(CJ72:CJ77)</f>
        <v>1152823.6994999999</v>
      </c>
      <c r="CK78" s="241">
        <f>CL78/$CD78</f>
        <v>4.7738980879205402</v>
      </c>
      <c r="CL78" s="226">
        <f>SUM(CL72:CL77)</f>
        <v>114199.28049999999</v>
      </c>
      <c r="CM78" s="241">
        <f>CN78/$CD78</f>
        <v>24.346088681359106</v>
      </c>
      <c r="CN78" s="226">
        <f>SUM(CN72:CN77)</f>
        <v>582397.39500000002</v>
      </c>
      <c r="CO78" s="244">
        <f>CP78/$CD78</f>
        <v>3325.3460665873099</v>
      </c>
      <c r="CP78" s="226">
        <f>SUM(CP72:CP77)</f>
        <v>79547598.466474995</v>
      </c>
      <c r="CQ78" s="241">
        <f>CR78/$CD78</f>
        <v>3164.725975687245</v>
      </c>
      <c r="CR78" s="226">
        <f>SUM(CR72:CR77)</f>
        <v>75705308.900000006</v>
      </c>
      <c r="CS78" s="241">
        <f>CT78/$CD78</f>
        <v>48.713709116617792</v>
      </c>
      <c r="CT78" s="226">
        <f>SUM(CT72:CT77)</f>
        <v>1165309.8640040844</v>
      </c>
      <c r="CU78" s="241">
        <f>CV78/$CD78</f>
        <v>3.7858630275566854</v>
      </c>
      <c r="CV78" s="226">
        <f>SUM(CV72:CV77)</f>
        <v>90563.901000000013</v>
      </c>
      <c r="CW78" s="241">
        <f>CX78/$CD78</f>
        <v>24.575503371309885</v>
      </c>
      <c r="CX78" s="226">
        <f>SUM(CX72:CX77)</f>
        <v>587885.3614471266</v>
      </c>
      <c r="CY78" s="244">
        <f>CZ78/$CD78</f>
        <v>3195.4719491310179</v>
      </c>
      <c r="CZ78" s="226">
        <f>SUM(CZ72:CZ77)</f>
        <v>76440801.778332561</v>
      </c>
      <c r="DA78" s="230" t="str">
        <f t="shared" si="249"/>
        <v>G14</v>
      </c>
      <c r="DB78" s="244">
        <f>DC78/$CD78</f>
        <v>2956.368176089612</v>
      </c>
      <c r="DC78" s="226">
        <f>SUM(DC72:DC77)</f>
        <v>70721056.961145267</v>
      </c>
      <c r="DD78" s="226">
        <f>DE78/CD78</f>
        <v>44.904301895592489</v>
      </c>
      <c r="DE78" s="226">
        <f>SUM(DE72:DE77)</f>
        <v>1074182.7482256053</v>
      </c>
      <c r="DF78" s="226">
        <f>DG78/CD78</f>
        <v>7.3997906056660083</v>
      </c>
      <c r="DG78" s="226">
        <f>SUM(DG72:DG77)</f>
        <v>177014.83095249999</v>
      </c>
      <c r="DH78" s="172"/>
      <c r="DI78" s="246"/>
      <c r="DJ78" s="247"/>
      <c r="DK78" s="246"/>
      <c r="DL78" s="176"/>
      <c r="DM78" s="175"/>
      <c r="DN78" s="240"/>
      <c r="DO78" s="178">
        <f t="shared" si="120"/>
        <v>-40.443049843875997</v>
      </c>
      <c r="EB78" s="249"/>
      <c r="EC78" s="181">
        <f t="shared" si="179"/>
        <v>-101.0845670161093</v>
      </c>
    </row>
    <row r="79" spans="1:138" s="266" customFormat="1" ht="15.75">
      <c r="A79" s="250" t="s">
        <v>205</v>
      </c>
      <c r="B79" s="251"/>
      <c r="C79" s="251"/>
      <c r="D79" s="251"/>
      <c r="E79" s="251"/>
      <c r="F79" s="251"/>
      <c r="G79" s="251"/>
      <c r="H79" s="252">
        <f>H63+H69+H78+H71</f>
        <v>231600.15</v>
      </c>
      <c r="I79" s="252">
        <f>I63+I69+I78+I71</f>
        <v>231350.15</v>
      </c>
      <c r="J79" s="252"/>
      <c r="K79" s="252"/>
      <c r="L79" s="252"/>
      <c r="M79" s="251"/>
      <c r="N79" s="252">
        <f>N63+N69+N78+N71</f>
        <v>231600.15</v>
      </c>
      <c r="O79" s="250"/>
      <c r="P79" s="251"/>
      <c r="Q79" s="251"/>
      <c r="R79" s="251"/>
      <c r="S79" s="251"/>
      <c r="T79" s="251"/>
      <c r="U79" s="251"/>
      <c r="V79" s="251"/>
      <c r="W79" s="253" t="e">
        <f>(W63*I63+W69*I69+W78*I78+W71*I71)/I79</f>
        <v>#VALUE!</v>
      </c>
      <c r="X79" s="252">
        <f>X63+X69+X78+X71</f>
        <v>237673.83000000002</v>
      </c>
      <c r="Y79" s="252"/>
      <c r="Z79" s="252"/>
      <c r="AA79" s="251"/>
      <c r="AB79" s="254"/>
      <c r="AC79" s="252">
        <f>AC63+AC69+AC78+AC71</f>
        <v>95543.75</v>
      </c>
      <c r="AD79" s="255">
        <f>AE79/$AC79</f>
        <v>11.693285521030941</v>
      </c>
      <c r="AE79" s="252">
        <f>AE63+AE69+AE78+AE71</f>
        <v>1117220.3484999998</v>
      </c>
      <c r="AF79" s="255" t="e">
        <f>AG79/$AC79</f>
        <v>#REF!</v>
      </c>
      <c r="AG79" s="252" t="e">
        <f>AG63+AG69+AG78+AG71</f>
        <v>#REF!</v>
      </c>
      <c r="AH79" s="255" t="e">
        <f>AI79/$AC79</f>
        <v>#REF!</v>
      </c>
      <c r="AI79" s="252" t="e">
        <f>AI63+AI69+AI78+AI71</f>
        <v>#REF!</v>
      </c>
      <c r="AJ79" s="256" t="e">
        <f>AK79/$AC79</f>
        <v>#REF!</v>
      </c>
      <c r="AK79" s="252" t="e">
        <f>AK63+AK69+AK78+AK71</f>
        <v>#REF!</v>
      </c>
      <c r="AL79" s="251"/>
      <c r="AM79" s="255" t="e">
        <f>AN79/$AC79</f>
        <v>#REF!</v>
      </c>
      <c r="AN79" s="252" t="e">
        <f>AN63+AN69+AN78+AN71</f>
        <v>#REF!</v>
      </c>
      <c r="AO79" s="255">
        <f>AP79/$AC79</f>
        <v>38.683490399947672</v>
      </c>
      <c r="AP79" s="252">
        <f>AP63+AP69+AP78+AP71</f>
        <v>3695965.7359000002</v>
      </c>
      <c r="AQ79" s="256">
        <f>AR79/$I79</f>
        <v>3899.2802283897377</v>
      </c>
      <c r="AR79" s="252">
        <f>AR63+AR69+AR78+AR71</f>
        <v>902099065.73000002</v>
      </c>
      <c r="AS79" s="257" t="str">
        <f t="shared" si="182"/>
        <v>G12</v>
      </c>
      <c r="AT79" s="256">
        <f>AU79/$AC79</f>
        <v>3602.0528020932829</v>
      </c>
      <c r="AU79" s="252">
        <f>AU63+AU69+AU78+AU71</f>
        <v>344153632.41000009</v>
      </c>
      <c r="AV79" s="255" t="e">
        <f>AW79/$AC79</f>
        <v>#REF!</v>
      </c>
      <c r="AW79" s="252" t="e">
        <f>AW63+AW69+AW78+AW71</f>
        <v>#REF!</v>
      </c>
      <c r="AX79" s="255">
        <f>AY79/$AC79</f>
        <v>4.1842113921632755</v>
      </c>
      <c r="AY79" s="252">
        <f>AY63+AY69+AY78+AY71</f>
        <v>399775.24719999998</v>
      </c>
      <c r="AZ79" s="251"/>
      <c r="BA79" s="251"/>
      <c r="BB79" s="251"/>
      <c r="BC79" s="251" t="e">
        <f>BD79/$I79</f>
        <v>#REF!</v>
      </c>
      <c r="BD79" s="252" t="e">
        <f>BD63+BD69+BD78+BD71</f>
        <v>#REF!</v>
      </c>
      <c r="BE79" s="252">
        <f>BE63+BE69+BE78+BE71</f>
        <v>179389.75</v>
      </c>
      <c r="BF79" s="251"/>
      <c r="BG79" s="251"/>
      <c r="BH79" s="258">
        <f>BI79/$BE79</f>
        <v>12.370928946464335</v>
      </c>
      <c r="BI79" s="252">
        <f>BI63+BI69+BI78+BI71</f>
        <v>2219217.8509740005</v>
      </c>
      <c r="BJ79" s="258">
        <f>BK79/$BE79</f>
        <v>7.2867845626631409</v>
      </c>
      <c r="BK79" s="252">
        <f>BK63+BK69+BK78+BK71</f>
        <v>1307174.4610000001</v>
      </c>
      <c r="BL79" s="241">
        <f>BM79/$BE79</f>
        <v>44.313500213919681</v>
      </c>
      <c r="BM79" s="252">
        <f>BM63+BM69+BM78+BM71</f>
        <v>7949387.7249999987</v>
      </c>
      <c r="BN79" s="259">
        <f>BO79/$BE79</f>
        <v>3260.3025677331061</v>
      </c>
      <c r="BO79" s="252">
        <f>BO63+BO69+BO78+BO71</f>
        <v>584864862.54999995</v>
      </c>
      <c r="BP79" s="258">
        <f>BQ79/$BE79</f>
        <v>3.7250509417768572E-5</v>
      </c>
      <c r="BQ79" s="258">
        <f>BR79/$BE79</f>
        <v>6.6823595718261499</v>
      </c>
      <c r="BR79" s="252">
        <f>BR63+BR69+BR78+BR71</f>
        <v>1198746.8130000001</v>
      </c>
      <c r="BS79" s="258">
        <f>BT79/$BE79</f>
        <v>44.606665784973785</v>
      </c>
      <c r="BT79" s="252">
        <f>BT63+BT69+BT78+BT71</f>
        <v>8001978.6235000007</v>
      </c>
      <c r="BU79" s="259">
        <f>BV79/$BE79</f>
        <v>4269.3298014072388</v>
      </c>
      <c r="BV79" s="252">
        <f>BV63+BV69+BV78+BV71</f>
        <v>765874005.74199426</v>
      </c>
      <c r="BW79" s="257" t="str">
        <f t="shared" si="183"/>
        <v>G11</v>
      </c>
      <c r="BX79" s="259">
        <f>BY79/$BE79</f>
        <v>3977.9100512601872</v>
      </c>
      <c r="BY79" s="252">
        <f>BY63+BY69+BY78+BY71</f>
        <v>713596289.61805212</v>
      </c>
      <c r="BZ79" s="258">
        <f>CA79/$BE79</f>
        <v>41.884158398124761</v>
      </c>
      <c r="CA79" s="252">
        <f>CA63+CA69+CA78+CA71</f>
        <v>7513588.7040000008</v>
      </c>
      <c r="CB79" s="258">
        <f>CC79/$BE79</f>
        <v>5.5214275173135592</v>
      </c>
      <c r="CC79" s="252">
        <f>CC63+CC69+CC78+CC71</f>
        <v>990487.50197400013</v>
      </c>
      <c r="CD79" s="252">
        <f>CD63+CD69+CD78+CD71</f>
        <v>231600.15</v>
      </c>
      <c r="CE79" s="260"/>
      <c r="CF79" s="251"/>
      <c r="CG79" s="258" t="e">
        <f>CH79/$CD79</f>
        <v>#REF!</v>
      </c>
      <c r="CH79" s="252" t="e">
        <f>CH63+CH69+CH78+CH71</f>
        <v>#REF!</v>
      </c>
      <c r="CI79" s="258">
        <f>CJ79/$CD79</f>
        <v>44.990676178318537</v>
      </c>
      <c r="CJ79" s="252">
        <f>CJ63+CJ69+CJ78+CJ71</f>
        <v>10419847.351499999</v>
      </c>
      <c r="CK79" s="258">
        <f>CL79/$CD79</f>
        <v>5.0232723057390078</v>
      </c>
      <c r="CL79" s="252">
        <f>CL63+CL69+CL78+CL71</f>
        <v>1163390.6195</v>
      </c>
      <c r="CM79" s="258">
        <f>CN79/$CD79</f>
        <v>24.424945353014671</v>
      </c>
      <c r="CN79" s="252">
        <f>CN63+CN69+CN78+CN71</f>
        <v>5656821.0075000003</v>
      </c>
      <c r="CO79" s="259">
        <f>CP79/$CD79</f>
        <v>3590.2999480350736</v>
      </c>
      <c r="CP79" s="252">
        <f>CP63+CP69+CP78+CP71</f>
        <v>831514006.50991523</v>
      </c>
      <c r="CQ79" s="258">
        <f>CR79/$CD79</f>
        <v>3405.5490000330306</v>
      </c>
      <c r="CR79" s="252">
        <f>CR63+CR69+CR78+CR71</f>
        <v>788725659.23999989</v>
      </c>
      <c r="CS79" s="258">
        <f>CT79/$CD79</f>
        <v>45.206864174299447</v>
      </c>
      <c r="CT79" s="252">
        <f>CT63+CT69+CT78+CT71</f>
        <v>10469916.523797378</v>
      </c>
      <c r="CU79" s="258" t="e">
        <f>CV79/$CD79</f>
        <v>#REF!</v>
      </c>
      <c r="CV79" s="252" t="e">
        <f>CV63+CV69+CV78+CV71</f>
        <v>#REF!</v>
      </c>
      <c r="CW79" s="258" t="e">
        <f>CX79/$CD79</f>
        <v>#REF!</v>
      </c>
      <c r="CX79" s="252" t="e">
        <f>CX63+CX69+CX78+CX71</f>
        <v>#REF!</v>
      </c>
      <c r="CY79" s="259" t="e">
        <f>CZ79/$CD79</f>
        <v>#REF!</v>
      </c>
      <c r="CZ79" s="252" t="e">
        <f>CZ63+CZ69+CZ78+CZ71</f>
        <v>#REF!</v>
      </c>
      <c r="DA79" s="257" t="e">
        <f t="shared" si="184"/>
        <v>#REF!</v>
      </c>
      <c r="DB79" s="259" t="e">
        <f>DC79/$CD79</f>
        <v>#REF!</v>
      </c>
      <c r="DC79" s="252" t="e">
        <f>DC63+DC69+DC78+DC71</f>
        <v>#REF!</v>
      </c>
      <c r="DD79" s="226">
        <f>DE79/CD79</f>
        <v>41.44676179375351</v>
      </c>
      <c r="DE79" s="252">
        <f>DE63+DE69+DE78+DE71</f>
        <v>9599076.2484475821</v>
      </c>
      <c r="DF79" s="226">
        <f>DG79/CD79</f>
        <v>7.99997718521987</v>
      </c>
      <c r="DG79" s="252">
        <f>DG63+DG69+DG78+DG71</f>
        <v>1852795.9160934996</v>
      </c>
      <c r="DH79" s="261"/>
      <c r="DI79" s="262"/>
      <c r="DJ79" s="263"/>
      <c r="DK79" s="262"/>
      <c r="DL79" s="264"/>
      <c r="DM79" s="265"/>
      <c r="DN79" s="251"/>
      <c r="DO79" s="178" t="e">
        <f t="shared" si="120"/>
        <v>#REF!</v>
      </c>
      <c r="EB79" s="249"/>
      <c r="EC79" s="181" t="e">
        <f t="shared" si="179"/>
        <v>#REF!</v>
      </c>
    </row>
    <row r="80" spans="1:138" s="291" customFormat="1" ht="28.5">
      <c r="A80" s="267" t="s">
        <v>206</v>
      </c>
      <c r="B80" s="268"/>
      <c r="C80" s="268"/>
      <c r="D80" s="268"/>
      <c r="E80" s="268"/>
      <c r="F80" s="268"/>
      <c r="G80" s="268"/>
      <c r="H80" s="268"/>
      <c r="I80" s="269"/>
      <c r="J80" s="269"/>
      <c r="K80" s="269"/>
      <c r="L80" s="268"/>
      <c r="M80" s="268"/>
      <c r="N80" s="269"/>
      <c r="O80" s="267"/>
      <c r="P80" s="268"/>
      <c r="Q80" s="268"/>
      <c r="R80" s="268"/>
      <c r="S80" s="268"/>
      <c r="T80" s="268"/>
      <c r="U80" s="268"/>
      <c r="V80" s="268"/>
      <c r="W80" s="270"/>
      <c r="X80" s="269"/>
      <c r="Y80" s="269"/>
      <c r="Z80" s="269"/>
      <c r="AA80" s="268"/>
      <c r="AB80" s="271"/>
      <c r="AC80" s="269"/>
      <c r="AD80" s="272"/>
      <c r="AE80" s="269"/>
      <c r="AF80" s="272"/>
      <c r="AG80" s="269"/>
      <c r="AH80" s="272"/>
      <c r="AI80" s="269"/>
      <c r="AJ80" s="272"/>
      <c r="AK80" s="269"/>
      <c r="AL80" s="268"/>
      <c r="AM80" s="272"/>
      <c r="AN80" s="269"/>
      <c r="AO80" s="272"/>
      <c r="AP80" s="269"/>
      <c r="AQ80" s="270"/>
      <c r="AR80" s="269"/>
      <c r="AS80" s="268"/>
      <c r="AT80" s="273"/>
      <c r="AU80" s="269"/>
      <c r="AV80" s="272"/>
      <c r="AW80" s="269"/>
      <c r="AX80" s="272"/>
      <c r="AY80" s="274"/>
      <c r="AZ80" s="275"/>
      <c r="BA80" s="276"/>
      <c r="BB80" s="276"/>
      <c r="BC80" s="276"/>
      <c r="BD80" s="277"/>
      <c r="BE80" s="278"/>
      <c r="BF80" s="279" t="s">
        <v>207</v>
      </c>
      <c r="BG80" s="279" t="s">
        <v>208</v>
      </c>
      <c r="BH80" s="280"/>
      <c r="BI80" s="280"/>
      <c r="BJ80" s="280"/>
      <c r="BK80" s="280"/>
      <c r="BL80" s="280"/>
      <c r="BM80" s="280"/>
      <c r="BN80" s="280"/>
      <c r="BO80" s="280"/>
      <c r="BP80" s="280"/>
      <c r="BQ80" s="280"/>
      <c r="BR80" s="280"/>
      <c r="BS80" s="280"/>
      <c r="BT80" s="280"/>
      <c r="BU80" s="280"/>
      <c r="BV80" s="280"/>
      <c r="BW80" s="280"/>
      <c r="BX80" s="280"/>
      <c r="BY80" s="280"/>
      <c r="BZ80" s="280"/>
      <c r="CA80" s="280"/>
      <c r="CB80" s="280"/>
      <c r="CC80" s="281"/>
      <c r="CD80" s="282"/>
      <c r="CE80" s="268"/>
      <c r="CF80" s="268"/>
      <c r="CG80" s="282"/>
      <c r="CH80" s="282"/>
      <c r="CI80" s="282"/>
      <c r="CJ80" s="269"/>
      <c r="CK80" s="283"/>
      <c r="CL80" s="269"/>
      <c r="CM80" s="282"/>
      <c r="CN80" s="269"/>
      <c r="CO80" s="284"/>
      <c r="CP80" s="269"/>
      <c r="CQ80" s="270"/>
      <c r="CR80" s="269"/>
      <c r="CS80" s="282"/>
      <c r="CT80" s="269"/>
      <c r="CU80" s="282"/>
      <c r="CV80" s="269"/>
      <c r="CW80" s="282"/>
      <c r="CX80" s="269"/>
      <c r="CY80" s="270"/>
      <c r="CZ80" s="269"/>
      <c r="DA80" s="285"/>
      <c r="DB80" s="270"/>
      <c r="DC80" s="269"/>
      <c r="DD80" s="269"/>
      <c r="DE80" s="269"/>
      <c r="DF80" s="269"/>
      <c r="DG80" s="269"/>
      <c r="DH80" s="274"/>
      <c r="DI80" s="286"/>
      <c r="DJ80" s="287"/>
      <c r="DK80" s="288"/>
      <c r="DL80" s="289"/>
      <c r="DM80" s="290"/>
      <c r="DN80" s="268"/>
      <c r="DO80" s="178">
        <f t="shared" si="120"/>
        <v>0</v>
      </c>
      <c r="EC80" s="181">
        <f t="shared" si="179"/>
        <v>0</v>
      </c>
    </row>
    <row r="81" spans="1:135" s="182" customFormat="1" ht="30">
      <c r="A81" s="74">
        <v>1</v>
      </c>
      <c r="B81" s="74">
        <v>3</v>
      </c>
      <c r="C81" s="138">
        <v>45810</v>
      </c>
      <c r="D81" s="139">
        <v>461000394</v>
      </c>
      <c r="E81" s="138">
        <v>45808</v>
      </c>
      <c r="F81" s="138"/>
      <c r="G81" s="138"/>
      <c r="H81" s="140">
        <v>3917.9</v>
      </c>
      <c r="I81" s="141">
        <v>3917.9</v>
      </c>
      <c r="J81" s="142"/>
      <c r="K81" s="568"/>
      <c r="L81" s="337">
        <v>58</v>
      </c>
      <c r="M81" s="571"/>
      <c r="N81" s="144">
        <v>3917.9</v>
      </c>
      <c r="O81" s="522" t="s">
        <v>209</v>
      </c>
      <c r="P81" s="145" t="s">
        <v>210</v>
      </c>
      <c r="Q81" s="145" t="s">
        <v>53</v>
      </c>
      <c r="R81" s="145"/>
      <c r="S81" s="145" t="s">
        <v>74</v>
      </c>
      <c r="T81" s="145"/>
      <c r="U81" s="147" t="s">
        <v>184</v>
      </c>
      <c r="V81" s="147" t="s">
        <v>195</v>
      </c>
      <c r="W81" s="147">
        <v>3850</v>
      </c>
      <c r="X81" s="519">
        <v>3936.2</v>
      </c>
      <c r="Y81" s="148"/>
      <c r="Z81" s="150"/>
      <c r="AA81" s="149"/>
      <c r="AB81" s="150"/>
      <c r="AC81" s="151"/>
      <c r="AD81" s="151"/>
      <c r="AE81" s="152">
        <f>AD81*$AC81</f>
        <v>0</v>
      </c>
      <c r="AF81" s="151"/>
      <c r="AG81" s="152">
        <f>AF81*$AC81</f>
        <v>0</v>
      </c>
      <c r="AH81" s="151"/>
      <c r="AI81" s="152">
        <f>AH81*$AC81</f>
        <v>0</v>
      </c>
      <c r="AJ81" s="149"/>
      <c r="AK81" s="152">
        <f>AJ81*$AC81</f>
        <v>0</v>
      </c>
      <c r="AL81" s="149"/>
      <c r="AM81" s="151"/>
      <c r="AN81" s="152">
        <f>AM81*$AC81</f>
        <v>0</v>
      </c>
      <c r="AO81" s="151"/>
      <c r="AP81" s="152">
        <f>AO81*$AC81</f>
        <v>0</v>
      </c>
      <c r="AQ81" s="174">
        <v>3850</v>
      </c>
      <c r="AR81" s="152">
        <f t="shared" ref="AR81:AR86" si="252">AQ81*$I81</f>
        <v>15083915</v>
      </c>
      <c r="AS81" s="149"/>
      <c r="AT81" s="149">
        <f t="shared" ref="AT81:AT86" si="253">ROUND(((100-AD81)/(100-AM81)*AQ81),0)</f>
        <v>3850</v>
      </c>
      <c r="AU81" s="152">
        <f>AT81*$AC81</f>
        <v>0</v>
      </c>
      <c r="AV81" s="149">
        <f t="shared" ref="AV81:AV83" si="254">ROUND(((100-AD81)/(100-AM81)*AO81),2)</f>
        <v>0</v>
      </c>
      <c r="AW81" s="152">
        <f>AV81*$AC81</f>
        <v>0</v>
      </c>
      <c r="AX81" s="151">
        <f>$AD81-$AM81</f>
        <v>0</v>
      </c>
      <c r="AY81" s="152">
        <f>AX81*$AC81</f>
        <v>0</v>
      </c>
      <c r="AZ81" s="153">
        <v>5.4</v>
      </c>
      <c r="BA81" s="153">
        <v>6.8949999999999996</v>
      </c>
      <c r="BB81" s="153"/>
      <c r="BC81" s="154">
        <f>AZ81+BA81*(1-(AZ81/100))+BB81*(1-(AZ81+BA81)/100)</f>
        <v>11.92267</v>
      </c>
      <c r="BD81" s="155">
        <f t="shared" ref="BD81:BD86" si="255">BC81*$CD81</f>
        <v>46711.828793000001</v>
      </c>
      <c r="BE81" s="156">
        <f>CD81</f>
        <v>3917.9</v>
      </c>
      <c r="BF81" s="157">
        <v>498</v>
      </c>
      <c r="BG81" s="157" t="s">
        <v>253</v>
      </c>
      <c r="BH81" s="156">
        <v>11.92</v>
      </c>
      <c r="BI81" s="158">
        <f>BH81*$BE81</f>
        <v>46701.368000000002</v>
      </c>
      <c r="BJ81" s="156">
        <v>5.56</v>
      </c>
      <c r="BK81" s="158">
        <f>BJ81*$BE81</f>
        <v>21783.523999999998</v>
      </c>
      <c r="BL81" s="156">
        <v>40.32</v>
      </c>
      <c r="BM81" s="159">
        <f>BL81*$BE81</f>
        <v>157969.728</v>
      </c>
      <c r="BN81" s="157">
        <v>3954</v>
      </c>
      <c r="BO81" s="159">
        <f>BN81*$BE81</f>
        <v>15491376.6</v>
      </c>
      <c r="BP81" s="160"/>
      <c r="BQ81" s="156">
        <v>4.18</v>
      </c>
      <c r="BR81" s="158">
        <f>BQ81*$BE81</f>
        <v>16376.822</v>
      </c>
      <c r="BS81" s="156">
        <v>40.909999999999997</v>
      </c>
      <c r="BT81" s="159">
        <f>BS81*$BE81</f>
        <v>160281.28899999999</v>
      </c>
      <c r="BU81" s="157">
        <v>4012</v>
      </c>
      <c r="BV81" s="161">
        <f>BU81*$I81</f>
        <v>15718614.800000001</v>
      </c>
      <c r="BW81" s="157" t="s">
        <v>185</v>
      </c>
      <c r="BX81" s="157">
        <f t="shared" ref="BX81:BX86" si="256">ROUND(((100-BH81)/(100-BQ81)*BU81),0)</f>
        <v>3688</v>
      </c>
      <c r="BY81" s="161">
        <f>BX81*$I81</f>
        <v>14449215.200000001</v>
      </c>
      <c r="BZ81" s="157">
        <f t="shared" ref="BZ81:BZ86" si="257">ROUND(((100-BH81)/(100-BQ81)*BS81),2)</f>
        <v>37.61</v>
      </c>
      <c r="CA81" s="161">
        <f>BZ81*$BE81</f>
        <v>147352.21900000001</v>
      </c>
      <c r="CB81" s="156">
        <f t="shared" ref="CB81:CB86" si="258">BH81-BQ81</f>
        <v>7.74</v>
      </c>
      <c r="CC81" s="161">
        <f>CB81*$BE81</f>
        <v>30324.546000000002</v>
      </c>
      <c r="CD81" s="162">
        <f>N81</f>
        <v>3917.9</v>
      </c>
      <c r="CE81" s="163">
        <v>4</v>
      </c>
      <c r="CF81" s="164">
        <v>7.46</v>
      </c>
      <c r="CG81" s="165">
        <f t="shared" ref="CG81:CG83" si="259">CE81+CF81*(1-CE81/100)</f>
        <v>11.1616</v>
      </c>
      <c r="CH81" s="166">
        <f>CG81*$CD81</f>
        <v>43730.032639999998</v>
      </c>
      <c r="CI81" s="167">
        <v>41.72</v>
      </c>
      <c r="CJ81" s="166">
        <f>CI81*$CD81</f>
        <v>163454.788</v>
      </c>
      <c r="CK81" s="168">
        <v>4.07</v>
      </c>
      <c r="CL81" s="166">
        <f>CK81*$CD81</f>
        <v>15945.853000000001</v>
      </c>
      <c r="CM81" s="167">
        <v>27.72</v>
      </c>
      <c r="CN81" s="166">
        <f>CM81*$CD81</f>
        <v>108604.18799999999</v>
      </c>
      <c r="CO81" s="169">
        <f t="shared" ref="CO81:CO87" si="260">8555.56-(145.56*CK81+94.11*CI81)</f>
        <v>4036.8616000000002</v>
      </c>
      <c r="CP81" s="166">
        <f>CO81*$CD81</f>
        <v>15816020.062640002</v>
      </c>
      <c r="CQ81" s="167">
        <v>3723</v>
      </c>
      <c r="CR81" s="166">
        <f>CQ81*$CD81</f>
        <v>14586341.700000001</v>
      </c>
      <c r="CS81" s="170">
        <f t="shared" ref="CS81:CS87" si="261">((100-CU81)/(100-CK81))*CI81</f>
        <v>42.311464609611171</v>
      </c>
      <c r="CT81" s="166">
        <f>CS81*$CD81</f>
        <v>165772.0871939956</v>
      </c>
      <c r="CU81" s="168">
        <v>2.71</v>
      </c>
      <c r="CV81" s="166">
        <f>CU81*$CD81</f>
        <v>10617.509</v>
      </c>
      <c r="CW81" s="170">
        <f>((100-CU81)/(100-CK81))*CM81</f>
        <v>28.112986552694668</v>
      </c>
      <c r="CX81" s="166">
        <f>CW81*$CD81</f>
        <v>110143.87001480244</v>
      </c>
      <c r="CY81" s="171">
        <f>((100-CU81)/(100-CK81))*CQ81</f>
        <v>3775.7809861357237</v>
      </c>
      <c r="CZ81" s="166">
        <f>CY81*$CD81</f>
        <v>14793132.325581152</v>
      </c>
      <c r="DA81" s="170" t="str">
        <f>IF(CY81&gt;=7000,"G1",IF(CY81&gt;=6700,"G2",IF(CY81&gt;=6400,"G3",IF(CY81&gt;=6100,"G4",IF(CY81&gt;=5800,"G5",IF(CY81&gt;=5500,"G6",IF(CY81&gt;=5200,"G7",IF(CY81&gt;=4900,"G8",IF(CY81&gt;=4600,"G9",IF(CY81&gt;=4300,"G10",IF(CY81&gt;=4000,"G11",IF(CY81&gt;=3700,"G12",IF(CY81&gt;=3400,"G13",IF(CY81&gt;=3100,"G14",IF(CY81&gt;=2800,"G15",IF(CY81&gt;=2500,"G16",IF(CY81&gt;=2200,"G17")))))))))))))))))</f>
        <v>G12</v>
      </c>
      <c r="DB81" s="171">
        <f t="shared" ref="DB81:DB86" si="262">((100-CG81)/(100-CK81))*CQ81</f>
        <v>3447.778204941103</v>
      </c>
      <c r="DC81" s="166">
        <f t="shared" ref="DC81:DC86" si="263">DB81*$CD81</f>
        <v>13508050.229138749</v>
      </c>
      <c r="DD81" s="170">
        <f t="shared" ref="DD81:DD86" si="264">((100-CG81)/(100-CK81))*CI81</f>
        <v>38.635859981236322</v>
      </c>
      <c r="DE81" s="221">
        <f t="shared" ref="DE81:DE86" si="265">DD81*$CD81</f>
        <v>151371.43582048579</v>
      </c>
      <c r="DF81" s="222">
        <f t="shared" ref="DF81:DF86" si="266">CG81-CU81</f>
        <v>8.4515999999999991</v>
      </c>
      <c r="DG81" s="221">
        <f t="shared" ref="DG81:DG86" si="267">DF81*$CD81</f>
        <v>33112.523639999999</v>
      </c>
      <c r="DH81" s="172">
        <f t="shared" ref="DH81:DH86" si="268">MID(U81,2,LEN(U81))-MID(DA81,2,LEN(DA81))</f>
        <v>0</v>
      </c>
      <c r="DI81" s="173">
        <f t="shared" ref="DI81:DI86" si="269">$CY81-$BU81</f>
        <v>-236.21901386427635</v>
      </c>
      <c r="DJ81" s="174">
        <f t="shared" ref="DJ81:DJ86" si="270">MID(U81,2,LEN(U81))-MID(BW81,2,LEN(BW81))</f>
        <v>1</v>
      </c>
      <c r="DK81" s="175">
        <f t="shared" ref="DK81:DK86" si="271">$AQ81-$BU81</f>
        <v>-162</v>
      </c>
      <c r="DL81" s="176">
        <f t="shared" ref="DL81:DL86" si="272">MID(U81,2,LEN(U81))-MID(BW81,2,LEN(BW81))</f>
        <v>1</v>
      </c>
      <c r="DM81" s="175" t="e">
        <f t="shared" ref="DM81:DM86" si="273">MID(U81,2,LEN(U81))-MID(AS81,2,LEN(AS81))</f>
        <v>#VALUE!</v>
      </c>
      <c r="DN81" s="177"/>
      <c r="DO81" s="178">
        <f t="shared" si="120"/>
        <v>240.22179505889699</v>
      </c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80"/>
      <c r="EC81" s="181">
        <f t="shared" si="179"/>
        <v>236.21901386427635</v>
      </c>
      <c r="EE81" s="181">
        <f t="shared" ref="EE81:EE83" si="274">BX81-DB81</f>
        <v>240.22179505889699</v>
      </c>
    </row>
    <row r="82" spans="1:135" s="182" customFormat="1" ht="30">
      <c r="A82" s="74">
        <v>4</v>
      </c>
      <c r="B82" s="74">
        <v>13</v>
      </c>
      <c r="C82" s="138">
        <v>45811</v>
      </c>
      <c r="D82" s="139">
        <v>451000347</v>
      </c>
      <c r="E82" s="138">
        <v>45810</v>
      </c>
      <c r="F82" s="138"/>
      <c r="G82" s="138"/>
      <c r="H82" s="140">
        <v>3878.5</v>
      </c>
      <c r="I82" s="141">
        <v>3878.5</v>
      </c>
      <c r="J82" s="142"/>
      <c r="K82" s="568"/>
      <c r="L82" s="337">
        <v>56</v>
      </c>
      <c r="M82" s="571"/>
      <c r="N82" s="144">
        <v>3878.5</v>
      </c>
      <c r="O82" s="522" t="s">
        <v>209</v>
      </c>
      <c r="P82" s="145" t="s">
        <v>210</v>
      </c>
      <c r="Q82" s="145" t="s">
        <v>53</v>
      </c>
      <c r="R82" s="145"/>
      <c r="S82" s="145" t="s">
        <v>74</v>
      </c>
      <c r="T82" s="145"/>
      <c r="U82" s="147" t="s">
        <v>184</v>
      </c>
      <c r="V82" s="147" t="s">
        <v>195</v>
      </c>
      <c r="W82" s="147">
        <v>3850</v>
      </c>
      <c r="X82" s="519">
        <v>3893.4</v>
      </c>
      <c r="Y82" s="148"/>
      <c r="Z82" s="150"/>
      <c r="AA82" s="149"/>
      <c r="AB82" s="150"/>
      <c r="AC82" s="151"/>
      <c r="AD82" s="151"/>
      <c r="AE82" s="152">
        <f t="shared" ref="AE82:AE86" si="275">AD82*$AC82</f>
        <v>0</v>
      </c>
      <c r="AF82" s="151"/>
      <c r="AG82" s="152">
        <f t="shared" ref="AG82:AG86" si="276">AF82*$AC82</f>
        <v>0</v>
      </c>
      <c r="AH82" s="151"/>
      <c r="AI82" s="152">
        <f t="shared" ref="AI82:AI86" si="277">AH82*$AC82</f>
        <v>0</v>
      </c>
      <c r="AJ82" s="149"/>
      <c r="AK82" s="152">
        <f t="shared" ref="AK82:AK86" si="278">AJ82*$AC82</f>
        <v>0</v>
      </c>
      <c r="AL82" s="149"/>
      <c r="AM82" s="151"/>
      <c r="AN82" s="152">
        <f t="shared" ref="AN82:AN86" si="279">AM82*$AC82</f>
        <v>0</v>
      </c>
      <c r="AO82" s="151"/>
      <c r="AP82" s="152">
        <f t="shared" ref="AP82:AP86" si="280">AO82*$AC82</f>
        <v>0</v>
      </c>
      <c r="AQ82" s="174">
        <v>3850</v>
      </c>
      <c r="AR82" s="152">
        <f t="shared" si="252"/>
        <v>14932225</v>
      </c>
      <c r="AS82" s="149"/>
      <c r="AT82" s="149">
        <f t="shared" si="253"/>
        <v>3850</v>
      </c>
      <c r="AU82" s="152">
        <f t="shared" ref="AU82:AU86" si="281">AT82*$AC82</f>
        <v>0</v>
      </c>
      <c r="AV82" s="149">
        <f t="shared" si="254"/>
        <v>0</v>
      </c>
      <c r="AW82" s="152">
        <f t="shared" ref="AW82:AW86" si="282">AV82*$AC82</f>
        <v>0</v>
      </c>
      <c r="AX82" s="151">
        <f t="shared" ref="AX82:AX86" si="283">$AD82-$AM82</f>
        <v>0</v>
      </c>
      <c r="AY82" s="152">
        <f t="shared" ref="AY82:AY86" si="284">AX82*$AC82</f>
        <v>0</v>
      </c>
      <c r="AZ82" s="153">
        <v>4.5999999999999996</v>
      </c>
      <c r="BA82" s="153">
        <v>7.6909999999999998</v>
      </c>
      <c r="BB82" s="153"/>
      <c r="BC82" s="154">
        <f t="shared" ref="BC82:BC86" si="285">AZ82+BA82*(1-(AZ82/100))+BB82*(1-(AZ82+BA82)/100)</f>
        <v>11.937213999999999</v>
      </c>
      <c r="BD82" s="155">
        <f t="shared" si="255"/>
        <v>46298.484498999998</v>
      </c>
      <c r="BE82" s="156">
        <f t="shared" ref="BE82:BE86" si="286">CD82</f>
        <v>3878.5</v>
      </c>
      <c r="BF82" s="157">
        <v>501</v>
      </c>
      <c r="BG82" s="157" t="s">
        <v>238</v>
      </c>
      <c r="BH82" s="156">
        <v>11.94</v>
      </c>
      <c r="BI82" s="158">
        <f t="shared" ref="BI82:BI84" si="287">BH82*$BE82</f>
        <v>46309.29</v>
      </c>
      <c r="BJ82" s="156">
        <v>6.02</v>
      </c>
      <c r="BK82" s="158">
        <f t="shared" ref="BK82:BK84" si="288">BJ82*$BE82</f>
        <v>23348.57</v>
      </c>
      <c r="BL82" s="156">
        <v>39.17</v>
      </c>
      <c r="BM82" s="159">
        <f t="shared" ref="BM82:BM84" si="289">BL82*$BE82</f>
        <v>151920.845</v>
      </c>
      <c r="BN82" s="157">
        <v>3801</v>
      </c>
      <c r="BO82" s="159">
        <f t="shared" ref="BO82:BO86" si="290">BN82*$BE82</f>
        <v>14742178.5</v>
      </c>
      <c r="BP82" s="160"/>
      <c r="BQ82" s="156">
        <v>5.57</v>
      </c>
      <c r="BR82" s="158">
        <f t="shared" ref="BR82:BR86" si="291">BQ82*$BE82</f>
        <v>21603.245000000003</v>
      </c>
      <c r="BS82" s="156">
        <v>39.36</v>
      </c>
      <c r="BT82" s="159">
        <f t="shared" ref="BT82:BT86" si="292">BS82*$BE82</f>
        <v>152657.76</v>
      </c>
      <c r="BU82" s="157">
        <v>3819</v>
      </c>
      <c r="BV82" s="161">
        <f t="shared" ref="BV82:BV86" si="293">BU82*$I82</f>
        <v>14811991.5</v>
      </c>
      <c r="BW82" s="157" t="s">
        <v>184</v>
      </c>
      <c r="BX82" s="157">
        <f t="shared" si="256"/>
        <v>3561</v>
      </c>
      <c r="BY82" s="161">
        <f t="shared" ref="BY82:BY86" si="294">BX82*$I82</f>
        <v>13811338.5</v>
      </c>
      <c r="BZ82" s="157">
        <f t="shared" si="257"/>
        <v>36.700000000000003</v>
      </c>
      <c r="CA82" s="161">
        <f t="shared" ref="CA82:CA86" si="295">BZ82*$BE82</f>
        <v>142340.95000000001</v>
      </c>
      <c r="CB82" s="156">
        <f t="shared" si="258"/>
        <v>6.3699999999999992</v>
      </c>
      <c r="CC82" s="161">
        <f t="shared" ref="CC82:CC86" si="296">CB82*$BE82</f>
        <v>24706.044999999998</v>
      </c>
      <c r="CD82" s="162">
        <f t="shared" ref="CD82:CD86" si="297">N82</f>
        <v>3878.5</v>
      </c>
      <c r="CE82" s="163">
        <v>4.5999999999999996</v>
      </c>
      <c r="CF82" s="164">
        <v>7.45</v>
      </c>
      <c r="CG82" s="165">
        <f t="shared" si="259"/>
        <v>11.7073</v>
      </c>
      <c r="CH82" s="166">
        <f>CG82*$CD82</f>
        <v>45406.763050000001</v>
      </c>
      <c r="CI82" s="167">
        <v>39.29</v>
      </c>
      <c r="CJ82" s="166">
        <f t="shared" ref="CJ82:CJ86" si="298">CI82*$CD82</f>
        <v>152386.26499999998</v>
      </c>
      <c r="CK82" s="168">
        <v>4.28</v>
      </c>
      <c r="CL82" s="166">
        <f t="shared" ref="CL82:CL86" si="299">CK82*$CD82</f>
        <v>16599.98</v>
      </c>
      <c r="CM82" s="167">
        <v>26.78</v>
      </c>
      <c r="CN82" s="166">
        <f t="shared" ref="CN82:CN86" si="300">CM82*$CD82</f>
        <v>103866.23000000001</v>
      </c>
      <c r="CO82" s="169">
        <f t="shared" si="260"/>
        <v>4234.9812999999995</v>
      </c>
      <c r="CP82" s="166">
        <f t="shared" ref="CP82:CP86" si="301">CO82*$CD82</f>
        <v>16425374.972049998</v>
      </c>
      <c r="CQ82" s="167">
        <v>3834</v>
      </c>
      <c r="CR82" s="166">
        <f t="shared" ref="CR82:CR86" si="302">CQ82*$CD82</f>
        <v>14870169</v>
      </c>
      <c r="CS82" s="170">
        <f t="shared" si="261"/>
        <v>39.913911408274132</v>
      </c>
      <c r="CT82" s="166">
        <f t="shared" ref="CT82:CT86" si="303">CS82*$CD82</f>
        <v>154806.10539699122</v>
      </c>
      <c r="CU82" s="168">
        <v>2.76</v>
      </c>
      <c r="CV82" s="166">
        <f t="shared" ref="CV82:CV86" si="304">CU82*$CD82</f>
        <v>10704.66</v>
      </c>
      <c r="CW82" s="170">
        <f t="shared" ref="CW82:CW83" si="305">((100-CU82)/(100-CK82))*CM82</f>
        <v>27.205256999582115</v>
      </c>
      <c r="CX82" s="166">
        <f t="shared" ref="CX82:CX86" si="306">CW82*$CD82</f>
        <v>105515.58927287924</v>
      </c>
      <c r="CY82" s="171">
        <f t="shared" ref="CY82:CY83" si="307">((100-CU82)/(100-CK82))*CQ82</f>
        <v>3894.8825741746764</v>
      </c>
      <c r="CZ82" s="166">
        <f t="shared" ref="CZ82:CZ86" si="308">CY82*$CD82</f>
        <v>15106302.063936483</v>
      </c>
      <c r="DA82" s="170" t="str">
        <f t="shared" ref="DA82:DA83" si="309">IF(CY82&gt;=7000,"G1",IF(CY82&gt;=6700,"G2",IF(CY82&gt;=6400,"G3",IF(CY82&gt;=6100,"G4",IF(CY82&gt;=5800,"G5",IF(CY82&gt;=5500,"G6",IF(CY82&gt;=5200,"G7",IF(CY82&gt;=4900,"G8",IF(CY82&gt;=4600,"G9",IF(CY82&gt;=4300,"G10",IF(CY82&gt;=4000,"G11",IF(CY82&gt;=3700,"G12",IF(CY82&gt;=3400,"G13",IF(CY82&gt;=3100,"G14",IF(CY82&gt;=2800,"G15",IF(CY82&gt;=2500,"G16",IF(CY82&gt;=2200,"G17")))))))))))))))))</f>
        <v>G12</v>
      </c>
      <c r="DB82" s="171">
        <f t="shared" si="262"/>
        <v>3536.5045110739657</v>
      </c>
      <c r="DC82" s="166">
        <f t="shared" si="263"/>
        <v>13716332.746200375</v>
      </c>
      <c r="DD82" s="170">
        <f t="shared" si="264"/>
        <v>36.241330787714169</v>
      </c>
      <c r="DE82" s="221">
        <f t="shared" si="265"/>
        <v>140562.00146014942</v>
      </c>
      <c r="DF82" s="222">
        <f t="shared" si="266"/>
        <v>8.9473000000000003</v>
      </c>
      <c r="DG82" s="221">
        <f t="shared" si="267"/>
        <v>34702.103049999998</v>
      </c>
      <c r="DH82" s="172">
        <f t="shared" si="268"/>
        <v>0</v>
      </c>
      <c r="DI82" s="173">
        <f t="shared" si="269"/>
        <v>75.882574174676392</v>
      </c>
      <c r="DJ82" s="174">
        <f t="shared" si="270"/>
        <v>0</v>
      </c>
      <c r="DK82" s="175">
        <f t="shared" si="271"/>
        <v>31</v>
      </c>
      <c r="DL82" s="176">
        <f t="shared" si="272"/>
        <v>0</v>
      </c>
      <c r="DM82" s="175" t="e">
        <f t="shared" si="273"/>
        <v>#VALUE!</v>
      </c>
      <c r="DN82" s="177"/>
      <c r="DO82" s="178">
        <f t="shared" si="120"/>
        <v>24.495488926034341</v>
      </c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80"/>
      <c r="EC82" s="181">
        <f t="shared" si="179"/>
        <v>-75.882574174676392</v>
      </c>
      <c r="EE82" s="181">
        <f t="shared" si="274"/>
        <v>24.495488926034341</v>
      </c>
    </row>
    <row r="83" spans="1:135" s="182" customFormat="1" ht="30">
      <c r="A83" s="74">
        <v>8</v>
      </c>
      <c r="B83" s="74">
        <v>32</v>
      </c>
      <c r="C83" s="138">
        <v>45816</v>
      </c>
      <c r="D83" s="139">
        <v>461000398</v>
      </c>
      <c r="E83" s="138">
        <v>45814</v>
      </c>
      <c r="F83" s="138"/>
      <c r="G83" s="138"/>
      <c r="H83" s="140">
        <v>3683.6</v>
      </c>
      <c r="I83" s="141">
        <v>3683.6</v>
      </c>
      <c r="J83" s="142"/>
      <c r="K83" s="568"/>
      <c r="L83" s="337">
        <v>56</v>
      </c>
      <c r="M83" s="571"/>
      <c r="N83" s="144">
        <v>3683.6</v>
      </c>
      <c r="O83" s="522" t="s">
        <v>209</v>
      </c>
      <c r="P83" s="145" t="s">
        <v>210</v>
      </c>
      <c r="Q83" s="145" t="s">
        <v>53</v>
      </c>
      <c r="R83" s="145"/>
      <c r="S83" s="145" t="s">
        <v>74</v>
      </c>
      <c r="T83" s="145"/>
      <c r="U83" s="147" t="s">
        <v>184</v>
      </c>
      <c r="V83" s="147" t="s">
        <v>195</v>
      </c>
      <c r="W83" s="147">
        <v>3850</v>
      </c>
      <c r="X83" s="519">
        <v>3696.21</v>
      </c>
      <c r="Y83" s="148"/>
      <c r="Z83" s="150"/>
      <c r="AA83" s="149"/>
      <c r="AB83" s="150"/>
      <c r="AC83" s="151"/>
      <c r="AD83" s="151"/>
      <c r="AE83" s="152">
        <f t="shared" si="275"/>
        <v>0</v>
      </c>
      <c r="AF83" s="151"/>
      <c r="AG83" s="152">
        <f t="shared" si="276"/>
        <v>0</v>
      </c>
      <c r="AH83" s="151"/>
      <c r="AI83" s="152">
        <f t="shared" si="277"/>
        <v>0</v>
      </c>
      <c r="AJ83" s="149"/>
      <c r="AK83" s="152">
        <f t="shared" si="278"/>
        <v>0</v>
      </c>
      <c r="AL83" s="149"/>
      <c r="AM83" s="151"/>
      <c r="AN83" s="152">
        <f t="shared" si="279"/>
        <v>0</v>
      </c>
      <c r="AO83" s="151"/>
      <c r="AP83" s="152">
        <f t="shared" si="280"/>
        <v>0</v>
      </c>
      <c r="AQ83" s="174">
        <v>3850</v>
      </c>
      <c r="AR83" s="152">
        <f t="shared" si="252"/>
        <v>14181860</v>
      </c>
      <c r="AS83" s="149"/>
      <c r="AT83" s="149">
        <f t="shared" si="253"/>
        <v>3850</v>
      </c>
      <c r="AU83" s="152">
        <f t="shared" si="281"/>
        <v>0</v>
      </c>
      <c r="AV83" s="149">
        <f t="shared" si="254"/>
        <v>0</v>
      </c>
      <c r="AW83" s="152">
        <f t="shared" si="282"/>
        <v>0</v>
      </c>
      <c r="AX83" s="151">
        <f t="shared" si="283"/>
        <v>0</v>
      </c>
      <c r="AY83" s="152">
        <f t="shared" si="284"/>
        <v>0</v>
      </c>
      <c r="AZ83" s="153">
        <v>5.6</v>
      </c>
      <c r="BA83" s="153">
        <v>7.0279999999999996</v>
      </c>
      <c r="BB83" s="153"/>
      <c r="BC83" s="154">
        <f t="shared" si="285"/>
        <v>12.234431999999998</v>
      </c>
      <c r="BD83" s="155">
        <f t="shared" si="255"/>
        <v>45066.753715199993</v>
      </c>
      <c r="BE83" s="156">
        <f t="shared" si="286"/>
        <v>3683.6</v>
      </c>
      <c r="BF83" s="157">
        <v>504</v>
      </c>
      <c r="BG83" s="157" t="s">
        <v>244</v>
      </c>
      <c r="BH83" s="156">
        <v>12.23</v>
      </c>
      <c r="BI83" s="158">
        <f t="shared" si="287"/>
        <v>45050.428</v>
      </c>
      <c r="BJ83" s="156">
        <v>8.5299999999999994</v>
      </c>
      <c r="BK83" s="158">
        <f t="shared" si="288"/>
        <v>31421.107999999997</v>
      </c>
      <c r="BL83" s="156">
        <v>40.869999999999997</v>
      </c>
      <c r="BM83" s="159">
        <f t="shared" si="289"/>
        <v>150548.73199999999</v>
      </c>
      <c r="BN83" s="157">
        <v>3720</v>
      </c>
      <c r="BO83" s="159">
        <f t="shared" si="290"/>
        <v>13702992</v>
      </c>
      <c r="BP83" s="160"/>
      <c r="BQ83" s="156">
        <v>8.23</v>
      </c>
      <c r="BR83" s="158">
        <f t="shared" si="291"/>
        <v>30316.028000000002</v>
      </c>
      <c r="BS83" s="156">
        <v>41</v>
      </c>
      <c r="BT83" s="159">
        <f t="shared" si="292"/>
        <v>151027.6</v>
      </c>
      <c r="BU83" s="157">
        <v>3732</v>
      </c>
      <c r="BV83" s="161">
        <f t="shared" si="293"/>
        <v>13747195.199999999</v>
      </c>
      <c r="BW83" s="157" t="s">
        <v>184</v>
      </c>
      <c r="BX83" s="157">
        <f t="shared" si="256"/>
        <v>3569</v>
      </c>
      <c r="BY83" s="161">
        <f t="shared" si="294"/>
        <v>13146768.4</v>
      </c>
      <c r="BZ83" s="157">
        <f t="shared" si="257"/>
        <v>39.21</v>
      </c>
      <c r="CA83" s="161">
        <f t="shared" si="295"/>
        <v>144433.95600000001</v>
      </c>
      <c r="CB83" s="156">
        <f t="shared" si="258"/>
        <v>4</v>
      </c>
      <c r="CC83" s="161">
        <f t="shared" si="296"/>
        <v>14734.4</v>
      </c>
      <c r="CD83" s="162">
        <f t="shared" si="297"/>
        <v>3683.6</v>
      </c>
      <c r="CE83" s="163">
        <v>5.3</v>
      </c>
      <c r="CF83" s="164">
        <v>7.16</v>
      </c>
      <c r="CG83" s="165">
        <f t="shared" si="259"/>
        <v>12.08052</v>
      </c>
      <c r="CH83" s="166">
        <f t="shared" ref="CH83:CH86" si="310">CG83*$CD83</f>
        <v>44499.803472</v>
      </c>
      <c r="CI83" s="167">
        <v>42.09</v>
      </c>
      <c r="CJ83" s="166">
        <f t="shared" si="298"/>
        <v>155042.72400000002</v>
      </c>
      <c r="CK83" s="168">
        <v>3.44</v>
      </c>
      <c r="CL83" s="166">
        <f t="shared" si="299"/>
        <v>12671.583999999999</v>
      </c>
      <c r="CM83" s="167">
        <v>27.03</v>
      </c>
      <c r="CN83" s="166">
        <f t="shared" si="300"/>
        <v>99567.707999999999</v>
      </c>
      <c r="CO83" s="169">
        <f t="shared" si="260"/>
        <v>4093.7436999999991</v>
      </c>
      <c r="CP83" s="166">
        <f t="shared" si="301"/>
        <v>15079714.293319996</v>
      </c>
      <c r="CQ83" s="167">
        <v>3779</v>
      </c>
      <c r="CR83" s="166">
        <f t="shared" si="302"/>
        <v>13920324.4</v>
      </c>
      <c r="CS83" s="170">
        <f t="shared" si="261"/>
        <v>42.246922120961067</v>
      </c>
      <c r="CT83" s="166">
        <f t="shared" si="303"/>
        <v>155620.76232477219</v>
      </c>
      <c r="CU83" s="168">
        <v>3.08</v>
      </c>
      <c r="CV83" s="166">
        <f t="shared" si="304"/>
        <v>11345.487999999999</v>
      </c>
      <c r="CW83" s="170">
        <f t="shared" si="305"/>
        <v>27.130774647887325</v>
      </c>
      <c r="CX83" s="166">
        <f t="shared" si="306"/>
        <v>99938.921492957743</v>
      </c>
      <c r="CY83" s="171">
        <f t="shared" si="307"/>
        <v>3793.0890637945322</v>
      </c>
      <c r="CZ83" s="166">
        <f t="shared" si="308"/>
        <v>13972222.875393538</v>
      </c>
      <c r="DA83" s="170" t="str">
        <f t="shared" si="309"/>
        <v>G12</v>
      </c>
      <c r="DB83" s="171">
        <f t="shared" si="262"/>
        <v>3440.8421180613086</v>
      </c>
      <c r="DC83" s="166">
        <f t="shared" si="263"/>
        <v>12674686.026090637</v>
      </c>
      <c r="DD83" s="170">
        <f t="shared" si="264"/>
        <v>38.323642431648715</v>
      </c>
      <c r="DE83" s="221">
        <f t="shared" si="265"/>
        <v>141168.96926122121</v>
      </c>
      <c r="DF83" s="222">
        <f t="shared" si="266"/>
        <v>9.0005199999999999</v>
      </c>
      <c r="DG83" s="221">
        <f t="shared" si="267"/>
        <v>33154.315472000002</v>
      </c>
      <c r="DH83" s="172">
        <f t="shared" si="268"/>
        <v>0</v>
      </c>
      <c r="DI83" s="173">
        <f t="shared" si="269"/>
        <v>61.089063794532194</v>
      </c>
      <c r="DJ83" s="174">
        <f t="shared" si="270"/>
        <v>0</v>
      </c>
      <c r="DK83" s="175">
        <f t="shared" si="271"/>
        <v>118</v>
      </c>
      <c r="DL83" s="176">
        <f t="shared" si="272"/>
        <v>0</v>
      </c>
      <c r="DM83" s="175" t="e">
        <f t="shared" si="273"/>
        <v>#VALUE!</v>
      </c>
      <c r="DN83" s="177"/>
      <c r="DO83" s="178">
        <f t="shared" si="120"/>
        <v>128.15788193869139</v>
      </c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80"/>
      <c r="EC83" s="181">
        <f t="shared" si="179"/>
        <v>-61.089063794532194</v>
      </c>
      <c r="EE83" s="181">
        <f t="shared" si="274"/>
        <v>128.15788193869139</v>
      </c>
    </row>
    <row r="84" spans="1:135" s="182" customFormat="1" ht="30">
      <c r="A84" s="74">
        <v>14</v>
      </c>
      <c r="B84" s="74">
        <v>68</v>
      </c>
      <c r="C84" s="138">
        <v>45822</v>
      </c>
      <c r="D84" s="139">
        <v>461000403</v>
      </c>
      <c r="E84" s="138">
        <v>45820</v>
      </c>
      <c r="F84" s="138"/>
      <c r="G84" s="138"/>
      <c r="H84" s="140">
        <v>3624.25</v>
      </c>
      <c r="I84" s="141">
        <v>3624.25</v>
      </c>
      <c r="J84" s="142"/>
      <c r="K84" s="568"/>
      <c r="L84" s="337">
        <v>54</v>
      </c>
      <c r="M84" s="571"/>
      <c r="N84" s="144">
        <v>3624.25</v>
      </c>
      <c r="O84" s="522" t="s">
        <v>209</v>
      </c>
      <c r="P84" s="145" t="s">
        <v>210</v>
      </c>
      <c r="Q84" s="145" t="s">
        <v>53</v>
      </c>
      <c r="R84" s="145"/>
      <c r="S84" s="145" t="s">
        <v>74</v>
      </c>
      <c r="T84" s="145"/>
      <c r="U84" s="147" t="s">
        <v>184</v>
      </c>
      <c r="V84" s="147" t="s">
        <v>195</v>
      </c>
      <c r="W84" s="147">
        <v>3850</v>
      </c>
      <c r="X84" s="519">
        <v>3631.89</v>
      </c>
      <c r="Y84" s="148"/>
      <c r="Z84" s="150"/>
      <c r="AA84" s="149"/>
      <c r="AB84" s="150"/>
      <c r="AC84" s="151"/>
      <c r="AD84" s="151"/>
      <c r="AE84" s="152">
        <f t="shared" si="275"/>
        <v>0</v>
      </c>
      <c r="AF84" s="151"/>
      <c r="AG84" s="152">
        <f t="shared" si="276"/>
        <v>0</v>
      </c>
      <c r="AH84" s="151"/>
      <c r="AI84" s="152">
        <f t="shared" si="277"/>
        <v>0</v>
      </c>
      <c r="AJ84" s="149"/>
      <c r="AK84" s="152">
        <f t="shared" si="278"/>
        <v>0</v>
      </c>
      <c r="AL84" s="149"/>
      <c r="AM84" s="151"/>
      <c r="AN84" s="152">
        <f t="shared" si="279"/>
        <v>0</v>
      </c>
      <c r="AO84" s="151"/>
      <c r="AP84" s="152">
        <f t="shared" si="280"/>
        <v>0</v>
      </c>
      <c r="AQ84" s="174">
        <v>3850</v>
      </c>
      <c r="AR84" s="152">
        <f t="shared" si="252"/>
        <v>13953362.5</v>
      </c>
      <c r="AS84" s="149"/>
      <c r="AT84" s="149">
        <f t="shared" si="253"/>
        <v>3850</v>
      </c>
      <c r="AU84" s="152">
        <f t="shared" si="281"/>
        <v>0</v>
      </c>
      <c r="AV84" s="149">
        <f>ROUND(((100-AD84)/(100-AM84)*AO84),2)</f>
        <v>0</v>
      </c>
      <c r="AW84" s="152">
        <f t="shared" si="282"/>
        <v>0</v>
      </c>
      <c r="AX84" s="151">
        <f t="shared" si="283"/>
        <v>0</v>
      </c>
      <c r="AY84" s="152">
        <f t="shared" si="284"/>
        <v>0</v>
      </c>
      <c r="AZ84" s="153">
        <v>4.7</v>
      </c>
      <c r="BA84" s="153">
        <v>7.19</v>
      </c>
      <c r="BB84" s="153"/>
      <c r="BC84" s="154">
        <f t="shared" si="285"/>
        <v>11.552070000000001</v>
      </c>
      <c r="BD84" s="155">
        <f t="shared" si="255"/>
        <v>41867.5896975</v>
      </c>
      <c r="BE84" s="156">
        <f t="shared" si="286"/>
        <v>3624.25</v>
      </c>
      <c r="BF84" s="157">
        <v>510</v>
      </c>
      <c r="BG84" s="157" t="s">
        <v>247</v>
      </c>
      <c r="BH84" s="156">
        <v>11.55</v>
      </c>
      <c r="BI84" s="158">
        <f t="shared" si="287"/>
        <v>41860.087500000001</v>
      </c>
      <c r="BJ84" s="156">
        <v>8</v>
      </c>
      <c r="BK84" s="158">
        <f t="shared" si="288"/>
        <v>28994</v>
      </c>
      <c r="BL84" s="156">
        <v>37.29</v>
      </c>
      <c r="BM84" s="159">
        <f t="shared" si="289"/>
        <v>135148.2825</v>
      </c>
      <c r="BN84" s="157">
        <v>3975</v>
      </c>
      <c r="BO84" s="159">
        <f t="shared" si="290"/>
        <v>14406393.75</v>
      </c>
      <c r="BP84" s="160"/>
      <c r="BQ84" s="156">
        <v>7.51</v>
      </c>
      <c r="BR84" s="158">
        <f t="shared" si="291"/>
        <v>27218.1175</v>
      </c>
      <c r="BS84" s="156">
        <v>37.49</v>
      </c>
      <c r="BT84" s="159">
        <f t="shared" si="292"/>
        <v>135873.13250000001</v>
      </c>
      <c r="BU84" s="157">
        <v>3996</v>
      </c>
      <c r="BV84" s="161">
        <f t="shared" si="293"/>
        <v>14482503</v>
      </c>
      <c r="BW84" s="157" t="s">
        <v>184</v>
      </c>
      <c r="BX84" s="157">
        <f t="shared" si="256"/>
        <v>3821</v>
      </c>
      <c r="BY84" s="161">
        <f t="shared" si="294"/>
        <v>13848259.25</v>
      </c>
      <c r="BZ84" s="157">
        <f t="shared" si="257"/>
        <v>35.85</v>
      </c>
      <c r="CA84" s="161">
        <f t="shared" si="295"/>
        <v>129929.3625</v>
      </c>
      <c r="CB84" s="156">
        <f t="shared" si="258"/>
        <v>4.0400000000000009</v>
      </c>
      <c r="CC84" s="161">
        <f t="shared" si="296"/>
        <v>14641.970000000003</v>
      </c>
      <c r="CD84" s="162">
        <f t="shared" si="297"/>
        <v>3624.25</v>
      </c>
      <c r="CE84" s="163">
        <v>4.7</v>
      </c>
      <c r="CF84" s="164">
        <v>7.19</v>
      </c>
      <c r="CG84" s="165">
        <f>CE84+CF84*(1-CE84/100)</f>
        <v>11.552070000000001</v>
      </c>
      <c r="CH84" s="166">
        <f t="shared" si="310"/>
        <v>41867.5896975</v>
      </c>
      <c r="CI84" s="167">
        <v>39.67</v>
      </c>
      <c r="CJ84" s="166">
        <f t="shared" si="298"/>
        <v>143773.9975</v>
      </c>
      <c r="CK84" s="168">
        <v>5.51</v>
      </c>
      <c r="CL84" s="166">
        <f t="shared" si="299"/>
        <v>19969.6175</v>
      </c>
      <c r="CM84" s="167">
        <v>26.96</v>
      </c>
      <c r="CN84" s="166">
        <f t="shared" si="300"/>
        <v>97709.78</v>
      </c>
      <c r="CO84" s="169">
        <f t="shared" si="260"/>
        <v>4020.180699999999</v>
      </c>
      <c r="CP84" s="166">
        <f t="shared" si="301"/>
        <v>14570139.901974997</v>
      </c>
      <c r="CQ84" s="167">
        <v>3818</v>
      </c>
      <c r="CR84" s="166">
        <f t="shared" si="302"/>
        <v>13837386.5</v>
      </c>
      <c r="CS84" s="170">
        <f t="shared" si="261"/>
        <v>40.933696687480165</v>
      </c>
      <c r="CT84" s="166">
        <f t="shared" si="303"/>
        <v>148353.9502196</v>
      </c>
      <c r="CU84" s="168">
        <v>2.5</v>
      </c>
      <c r="CV84" s="166">
        <f t="shared" si="304"/>
        <v>9060.625</v>
      </c>
      <c r="CW84" s="170">
        <f>((100-CU84)/(100-CK84))*CM84</f>
        <v>27.818816806011224</v>
      </c>
      <c r="CX84" s="166">
        <f t="shared" si="306"/>
        <v>100822.34680918617</v>
      </c>
      <c r="CY84" s="171">
        <f>((100-CU84)/(100-CK84))*CQ84</f>
        <v>3939.6232405545566</v>
      </c>
      <c r="CZ84" s="166">
        <f t="shared" si="308"/>
        <v>14278179.529579852</v>
      </c>
      <c r="DA84" s="170" t="str">
        <f>IF(CY84&gt;=7000,"G1",IF(CY84&gt;=6700,"G2",IF(CY84&gt;=6400,"G3",IF(CY84&gt;=6100,"G4",IF(CY84&gt;=5800,"G5",IF(CY84&gt;=5500,"G6",IF(CY84&gt;=5200,"G7",IF(CY84&gt;=4900,"G8",IF(CY84&gt;=4600,"G9",IF(CY84&gt;=4300,"G10",IF(CY84&gt;=4000,"G11",IF(CY84&gt;=3700,"G12",IF(CY84&gt;=3400,"G13",IF(CY84&gt;=3100,"G14",IF(CY84&gt;=2800,"G15",IF(CY84&gt;=2500,"G16",IF(CY84&gt;=2200,"G17")))))))))))))))))</f>
        <v>G12</v>
      </c>
      <c r="DB84" s="171">
        <f t="shared" si="262"/>
        <v>3573.8617498147955</v>
      </c>
      <c r="DC84" s="166">
        <f t="shared" si="263"/>
        <v>12952568.446766272</v>
      </c>
      <c r="DD84" s="170">
        <f t="shared" si="264"/>
        <v>37.13334091544079</v>
      </c>
      <c r="DE84" s="221">
        <f t="shared" si="265"/>
        <v>134580.51081278629</v>
      </c>
      <c r="DF84" s="222">
        <f t="shared" si="266"/>
        <v>9.0520700000000005</v>
      </c>
      <c r="DG84" s="221">
        <f t="shared" si="267"/>
        <v>32806.9646975</v>
      </c>
      <c r="DH84" s="172">
        <f t="shared" si="268"/>
        <v>0</v>
      </c>
      <c r="DI84" s="173">
        <f t="shared" si="269"/>
        <v>-56.37675944544344</v>
      </c>
      <c r="DJ84" s="174">
        <f t="shared" si="270"/>
        <v>0</v>
      </c>
      <c r="DK84" s="175">
        <f t="shared" si="271"/>
        <v>-146</v>
      </c>
      <c r="DL84" s="176">
        <f t="shared" si="272"/>
        <v>0</v>
      </c>
      <c r="DM84" s="175" t="e">
        <f t="shared" si="273"/>
        <v>#VALUE!</v>
      </c>
      <c r="DN84" s="177"/>
      <c r="DO84" s="178">
        <f t="shared" si="120"/>
        <v>247.13825018520447</v>
      </c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80"/>
      <c r="EC84" s="181">
        <f t="shared" si="179"/>
        <v>56.37675944544344</v>
      </c>
      <c r="EE84" s="181"/>
    </row>
    <row r="85" spans="1:135" s="182" customFormat="1" ht="30">
      <c r="A85" s="74">
        <v>17</v>
      </c>
      <c r="B85" s="74">
        <v>81</v>
      </c>
      <c r="C85" s="138">
        <v>45824</v>
      </c>
      <c r="D85" s="139">
        <v>451000351</v>
      </c>
      <c r="E85" s="138">
        <v>45822</v>
      </c>
      <c r="F85" s="138"/>
      <c r="G85" s="138"/>
      <c r="H85" s="140">
        <v>3907.8</v>
      </c>
      <c r="I85" s="141">
        <v>3907.8</v>
      </c>
      <c r="J85" s="142"/>
      <c r="K85" s="568"/>
      <c r="L85" s="337">
        <v>57</v>
      </c>
      <c r="M85" s="571"/>
      <c r="N85" s="144">
        <v>3907.8</v>
      </c>
      <c r="O85" s="522" t="s">
        <v>209</v>
      </c>
      <c r="P85" s="145" t="s">
        <v>210</v>
      </c>
      <c r="Q85" s="145" t="s">
        <v>53</v>
      </c>
      <c r="R85" s="145"/>
      <c r="S85" s="145" t="s">
        <v>74</v>
      </c>
      <c r="T85" s="145"/>
      <c r="U85" s="147" t="s">
        <v>184</v>
      </c>
      <c r="V85" s="147" t="s">
        <v>195</v>
      </c>
      <c r="W85" s="147">
        <v>3850</v>
      </c>
      <c r="X85" s="519">
        <v>3919.21</v>
      </c>
      <c r="Y85" s="148"/>
      <c r="Z85" s="150"/>
      <c r="AA85" s="149"/>
      <c r="AB85" s="150"/>
      <c r="AC85" s="151"/>
      <c r="AD85" s="151"/>
      <c r="AE85" s="152">
        <f t="shared" si="275"/>
        <v>0</v>
      </c>
      <c r="AF85" s="151"/>
      <c r="AG85" s="152">
        <f t="shared" si="276"/>
        <v>0</v>
      </c>
      <c r="AH85" s="151"/>
      <c r="AI85" s="152">
        <f t="shared" si="277"/>
        <v>0</v>
      </c>
      <c r="AJ85" s="149"/>
      <c r="AK85" s="152">
        <f t="shared" si="278"/>
        <v>0</v>
      </c>
      <c r="AL85" s="149"/>
      <c r="AM85" s="151"/>
      <c r="AN85" s="152">
        <f t="shared" si="279"/>
        <v>0</v>
      </c>
      <c r="AO85" s="151"/>
      <c r="AP85" s="152">
        <f t="shared" si="280"/>
        <v>0</v>
      </c>
      <c r="AQ85" s="174">
        <f t="shared" ref="AQ85:AQ86" si="311">W85</f>
        <v>3850</v>
      </c>
      <c r="AR85" s="152">
        <f t="shared" si="252"/>
        <v>15045030</v>
      </c>
      <c r="AS85" s="149"/>
      <c r="AT85" s="149">
        <f t="shared" si="253"/>
        <v>3850</v>
      </c>
      <c r="AU85" s="152">
        <f t="shared" si="281"/>
        <v>0</v>
      </c>
      <c r="AV85" s="149">
        <f>ROUND(((100-AD85)/(100-AM85)*AO85),2)</f>
        <v>0</v>
      </c>
      <c r="AW85" s="152">
        <f t="shared" si="282"/>
        <v>0</v>
      </c>
      <c r="AX85" s="151">
        <f t="shared" si="283"/>
        <v>0</v>
      </c>
      <c r="AY85" s="152">
        <f t="shared" si="284"/>
        <v>0</v>
      </c>
      <c r="AZ85" s="153">
        <v>4.8</v>
      </c>
      <c r="BA85" s="153">
        <v>7.6539999999999999</v>
      </c>
      <c r="BB85" s="153"/>
      <c r="BC85" s="154">
        <f t="shared" si="285"/>
        <v>12.086607999999998</v>
      </c>
      <c r="BD85" s="155">
        <f t="shared" si="255"/>
        <v>47232.046742399994</v>
      </c>
      <c r="BE85" s="156">
        <f t="shared" si="286"/>
        <v>3907.8</v>
      </c>
      <c r="BF85" s="157">
        <v>513</v>
      </c>
      <c r="BG85" s="157" t="s">
        <v>286</v>
      </c>
      <c r="BH85" s="156">
        <v>12.09</v>
      </c>
      <c r="BI85" s="158"/>
      <c r="BJ85" s="156">
        <v>7.51</v>
      </c>
      <c r="BK85" s="158"/>
      <c r="BL85" s="156">
        <v>40.49</v>
      </c>
      <c r="BM85" s="159"/>
      <c r="BN85" s="157">
        <v>3574</v>
      </c>
      <c r="BO85" s="159">
        <f t="shared" si="290"/>
        <v>13966477.200000001</v>
      </c>
      <c r="BP85" s="160"/>
      <c r="BQ85" s="156">
        <v>6.28</v>
      </c>
      <c r="BR85" s="158">
        <f t="shared" si="291"/>
        <v>24540.984</v>
      </c>
      <c r="BS85" s="156">
        <v>41.03</v>
      </c>
      <c r="BT85" s="159">
        <f t="shared" si="292"/>
        <v>160337.03400000001</v>
      </c>
      <c r="BU85" s="157">
        <v>3622</v>
      </c>
      <c r="BV85" s="161">
        <f t="shared" si="293"/>
        <v>14154051.600000001</v>
      </c>
      <c r="BW85" s="157" t="s">
        <v>190</v>
      </c>
      <c r="BX85" s="157">
        <f t="shared" si="256"/>
        <v>3397</v>
      </c>
      <c r="BY85" s="161">
        <f t="shared" si="294"/>
        <v>13274796.600000001</v>
      </c>
      <c r="BZ85" s="157">
        <f t="shared" si="257"/>
        <v>38.49</v>
      </c>
      <c r="CA85" s="161">
        <f t="shared" si="295"/>
        <v>150411.22200000001</v>
      </c>
      <c r="CB85" s="156">
        <f t="shared" si="258"/>
        <v>5.81</v>
      </c>
      <c r="CC85" s="161">
        <f t="shared" si="296"/>
        <v>22704.317999999999</v>
      </c>
      <c r="CD85" s="162">
        <f t="shared" si="297"/>
        <v>3907.8</v>
      </c>
      <c r="CE85" s="163">
        <v>4.8</v>
      </c>
      <c r="CF85" s="164">
        <v>7.65</v>
      </c>
      <c r="CG85" s="165">
        <f>CE85+CF85*(1-CE85/100)</f>
        <v>12.082799999999999</v>
      </c>
      <c r="CH85" s="166">
        <f t="shared" si="310"/>
        <v>47217.165839999994</v>
      </c>
      <c r="CI85" s="167">
        <v>40.08</v>
      </c>
      <c r="CJ85" s="166">
        <f t="shared" si="298"/>
        <v>156624.62400000001</v>
      </c>
      <c r="CK85" s="168">
        <v>5.96</v>
      </c>
      <c r="CL85" s="166">
        <f t="shared" si="299"/>
        <v>23290.488000000001</v>
      </c>
      <c r="CM85" s="167">
        <v>25.56</v>
      </c>
      <c r="CN85" s="166">
        <f t="shared" si="300"/>
        <v>99883.368000000002</v>
      </c>
      <c r="CO85" s="169">
        <f t="shared" si="260"/>
        <v>3916.0936000000002</v>
      </c>
      <c r="CP85" s="166">
        <f t="shared" si="301"/>
        <v>15303310.570080001</v>
      </c>
      <c r="CQ85" s="167">
        <v>3590</v>
      </c>
      <c r="CR85" s="166">
        <f t="shared" si="302"/>
        <v>14029002</v>
      </c>
      <c r="CS85" s="170">
        <f t="shared" si="261"/>
        <v>40.033117822203316</v>
      </c>
      <c r="CT85" s="166">
        <f t="shared" si="303"/>
        <v>156441.41782560613</v>
      </c>
      <c r="CU85" s="168">
        <v>6.07</v>
      </c>
      <c r="CV85" s="166">
        <f t="shared" si="304"/>
        <v>23720.346000000001</v>
      </c>
      <c r="CW85" s="170">
        <f t="shared" ref="CW85:CW86" si="312">((100-CU85)/(100-CK85))*CM85</f>
        <v>25.530102084219479</v>
      </c>
      <c r="CX85" s="166">
        <f t="shared" si="306"/>
        <v>99766.532924712883</v>
      </c>
      <c r="CY85" s="171">
        <f t="shared" ref="CY85:CY86" si="313">((100-CU85)/(100-CK85))*CQ85</f>
        <v>3585.8007230965545</v>
      </c>
      <c r="CZ85" s="166">
        <f t="shared" si="308"/>
        <v>14012592.065716716</v>
      </c>
      <c r="DA85" s="170" t="str">
        <f t="shared" ref="DA85:DA88" si="314">IF(CY85&gt;=7000,"G1",IF(CY85&gt;=6700,"G2",IF(CY85&gt;=6400,"G3",IF(CY85&gt;=6100,"G4",IF(CY85&gt;=5800,"G5",IF(CY85&gt;=5500,"G6",IF(CY85&gt;=5200,"G7",IF(CY85&gt;=4900,"G8",IF(CY85&gt;=4600,"G9",IF(CY85&gt;=4300,"G10",IF(CY85&gt;=4000,"G11",IF(CY85&gt;=3700,"G12",IF(CY85&gt;=3400,"G13",IF(CY85&gt;=3100,"G14",IF(CY85&gt;=2800,"G15",IF(CY85&gt;=2500,"G16",IF(CY85&gt;=2200,"G17")))))))))))))))))</f>
        <v>G13</v>
      </c>
      <c r="DB85" s="171">
        <f t="shared" si="262"/>
        <v>3356.2606125053171</v>
      </c>
      <c r="DC85" s="166">
        <f t="shared" si="263"/>
        <v>13115595.22154828</v>
      </c>
      <c r="DD85" s="170">
        <f t="shared" si="264"/>
        <v>37.470452743513398</v>
      </c>
      <c r="DE85" s="221">
        <f t="shared" si="265"/>
        <v>146427.03523110168</v>
      </c>
      <c r="DF85" s="222">
        <f t="shared" si="266"/>
        <v>6.0127999999999986</v>
      </c>
      <c r="DG85" s="221">
        <f t="shared" si="267"/>
        <v>23496.819839999996</v>
      </c>
      <c r="DH85" s="172">
        <f t="shared" si="268"/>
        <v>-1</v>
      </c>
      <c r="DI85" s="173">
        <f t="shared" si="269"/>
        <v>-36.19927690344548</v>
      </c>
      <c r="DJ85" s="174">
        <f t="shared" si="270"/>
        <v>-1</v>
      </c>
      <c r="DK85" s="175">
        <f t="shared" si="271"/>
        <v>228</v>
      </c>
      <c r="DL85" s="176">
        <f t="shared" si="272"/>
        <v>-1</v>
      </c>
      <c r="DM85" s="175" t="e">
        <f t="shared" si="273"/>
        <v>#VALUE!</v>
      </c>
      <c r="DN85" s="177"/>
      <c r="DO85" s="178">
        <f t="shared" si="120"/>
        <v>40.739387494682887</v>
      </c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80"/>
      <c r="EC85" s="181">
        <f t="shared" si="179"/>
        <v>36.19927690344548</v>
      </c>
      <c r="EE85" s="181"/>
    </row>
    <row r="86" spans="1:135" s="182" customFormat="1" ht="30">
      <c r="A86" s="74">
        <v>21</v>
      </c>
      <c r="B86" s="74">
        <v>92</v>
      </c>
      <c r="C86" s="138">
        <v>45826</v>
      </c>
      <c r="D86" s="139">
        <v>451000352</v>
      </c>
      <c r="E86" s="138">
        <v>45825</v>
      </c>
      <c r="F86" s="138"/>
      <c r="G86" s="138"/>
      <c r="H86" s="140">
        <v>4097.8500000000004</v>
      </c>
      <c r="I86" s="141">
        <v>4097.8500000000004</v>
      </c>
      <c r="J86" s="142"/>
      <c r="K86" s="568"/>
      <c r="L86" s="337">
        <v>59</v>
      </c>
      <c r="M86" s="571"/>
      <c r="N86" s="144">
        <v>4097.8500000000004</v>
      </c>
      <c r="O86" s="522" t="s">
        <v>209</v>
      </c>
      <c r="P86" s="145" t="s">
        <v>210</v>
      </c>
      <c r="Q86" s="145" t="s">
        <v>53</v>
      </c>
      <c r="R86" s="145"/>
      <c r="S86" s="145" t="s">
        <v>74</v>
      </c>
      <c r="T86" s="145"/>
      <c r="U86" s="147" t="s">
        <v>184</v>
      </c>
      <c r="V86" s="147" t="s">
        <v>195</v>
      </c>
      <c r="W86" s="147">
        <v>3850</v>
      </c>
      <c r="X86" s="519">
        <v>4110.6000000000004</v>
      </c>
      <c r="Y86" s="148"/>
      <c r="Z86" s="150"/>
      <c r="AA86" s="149"/>
      <c r="AB86" s="150"/>
      <c r="AC86" s="151"/>
      <c r="AD86" s="151"/>
      <c r="AE86" s="152">
        <f t="shared" si="275"/>
        <v>0</v>
      </c>
      <c r="AF86" s="151"/>
      <c r="AG86" s="152">
        <f t="shared" si="276"/>
        <v>0</v>
      </c>
      <c r="AH86" s="151"/>
      <c r="AI86" s="152">
        <f t="shared" si="277"/>
        <v>0</v>
      </c>
      <c r="AJ86" s="149"/>
      <c r="AK86" s="152">
        <f t="shared" si="278"/>
        <v>0</v>
      </c>
      <c r="AL86" s="149"/>
      <c r="AM86" s="151"/>
      <c r="AN86" s="152">
        <f t="shared" si="279"/>
        <v>0</v>
      </c>
      <c r="AO86" s="151"/>
      <c r="AP86" s="152">
        <f t="shared" si="280"/>
        <v>0</v>
      </c>
      <c r="AQ86" s="174">
        <f t="shared" si="311"/>
        <v>3850</v>
      </c>
      <c r="AR86" s="152">
        <f t="shared" si="252"/>
        <v>15776722.500000002</v>
      </c>
      <c r="AS86" s="149"/>
      <c r="AT86" s="149">
        <f t="shared" si="253"/>
        <v>3850</v>
      </c>
      <c r="AU86" s="152">
        <f t="shared" si="281"/>
        <v>0</v>
      </c>
      <c r="AV86" s="149">
        <f t="shared" ref="AV86" si="315">ROUND(((100-AD86)/(100-AM86)*AO86),2)</f>
        <v>0</v>
      </c>
      <c r="AW86" s="152">
        <f t="shared" si="282"/>
        <v>0</v>
      </c>
      <c r="AX86" s="151">
        <f t="shared" si="283"/>
        <v>0</v>
      </c>
      <c r="AY86" s="152">
        <f t="shared" si="284"/>
        <v>0</v>
      </c>
      <c r="AZ86" s="153">
        <v>4.5999999999999996</v>
      </c>
      <c r="BA86" s="153">
        <v>8.6270000000000007</v>
      </c>
      <c r="BB86" s="153"/>
      <c r="BC86" s="154">
        <f t="shared" si="285"/>
        <v>12.830157999999999</v>
      </c>
      <c r="BD86" s="155">
        <f t="shared" si="255"/>
        <v>52576.062960299998</v>
      </c>
      <c r="BE86" s="156">
        <f t="shared" si="286"/>
        <v>4097.8500000000004</v>
      </c>
      <c r="BF86" s="573">
        <v>3130</v>
      </c>
      <c r="BG86" s="157" t="s">
        <v>250</v>
      </c>
      <c r="BH86" s="574">
        <v>12.83</v>
      </c>
      <c r="BI86" s="158">
        <f t="shared" ref="BI86" si="316">BH86*$BE86</f>
        <v>52575.415500000003</v>
      </c>
      <c r="BJ86" s="574">
        <v>7.81</v>
      </c>
      <c r="BK86" s="158">
        <f t="shared" ref="BK86" si="317">BJ86*$BE86</f>
        <v>32004.208500000001</v>
      </c>
      <c r="BL86" s="574">
        <v>39.880000000000003</v>
      </c>
      <c r="BM86" s="159">
        <f t="shared" ref="BM86" si="318">BL86*$BE86</f>
        <v>163422.25800000003</v>
      </c>
      <c r="BN86" s="574">
        <v>3602</v>
      </c>
      <c r="BO86" s="159">
        <f t="shared" si="290"/>
        <v>14760455.700000001</v>
      </c>
      <c r="BP86" s="160"/>
      <c r="BQ86" s="574">
        <v>6.47</v>
      </c>
      <c r="BR86" s="158">
        <f t="shared" si="291"/>
        <v>26513.089500000002</v>
      </c>
      <c r="BS86" s="574">
        <v>40.46</v>
      </c>
      <c r="BT86" s="159">
        <f t="shared" si="292"/>
        <v>165799.01100000003</v>
      </c>
      <c r="BU86" s="157">
        <v>3654</v>
      </c>
      <c r="BV86" s="161">
        <f t="shared" si="293"/>
        <v>14973543.900000002</v>
      </c>
      <c r="BW86" s="157" t="s">
        <v>190</v>
      </c>
      <c r="BX86" s="157">
        <f t="shared" si="256"/>
        <v>3406</v>
      </c>
      <c r="BY86" s="161">
        <f t="shared" si="294"/>
        <v>13957277.100000001</v>
      </c>
      <c r="BZ86" s="157">
        <f t="shared" si="257"/>
        <v>37.71</v>
      </c>
      <c r="CA86" s="161">
        <f t="shared" si="295"/>
        <v>154529.9235</v>
      </c>
      <c r="CB86" s="156">
        <f t="shared" si="258"/>
        <v>6.36</v>
      </c>
      <c r="CC86" s="161">
        <f t="shared" si="296"/>
        <v>26062.326000000005</v>
      </c>
      <c r="CD86" s="162">
        <f t="shared" si="297"/>
        <v>4097.8500000000004</v>
      </c>
      <c r="CE86" s="163">
        <v>4.5999999999999996</v>
      </c>
      <c r="CF86" s="164">
        <v>7.633</v>
      </c>
      <c r="CG86" s="165">
        <f t="shared" ref="CG86" si="319">CE86+CF86*(1-CE86/100)</f>
        <v>11.881881999999999</v>
      </c>
      <c r="CH86" s="166">
        <f t="shared" si="310"/>
        <v>48690.170153700004</v>
      </c>
      <c r="CI86" s="167">
        <v>40.46</v>
      </c>
      <c r="CJ86" s="166">
        <f t="shared" si="298"/>
        <v>165799.01100000003</v>
      </c>
      <c r="CK86" s="168">
        <v>5.49</v>
      </c>
      <c r="CL86" s="166">
        <f t="shared" si="299"/>
        <v>22497.196500000002</v>
      </c>
      <c r="CM86" s="167">
        <v>26.27</v>
      </c>
      <c r="CN86" s="166">
        <f t="shared" si="300"/>
        <v>107650.51950000001</v>
      </c>
      <c r="CO86" s="169">
        <f t="shared" si="260"/>
        <v>3948.7449999999999</v>
      </c>
      <c r="CP86" s="166">
        <f t="shared" si="301"/>
        <v>16181364.698250001</v>
      </c>
      <c r="CQ86" s="167">
        <v>3701</v>
      </c>
      <c r="CR86" s="166">
        <f t="shared" si="302"/>
        <v>15166142.850000001</v>
      </c>
      <c r="CS86" s="170">
        <f t="shared" si="261"/>
        <v>40.626960110041267</v>
      </c>
      <c r="CT86" s="166">
        <f t="shared" si="303"/>
        <v>166483.18848693263</v>
      </c>
      <c r="CU86" s="168">
        <v>5.0999999999999996</v>
      </c>
      <c r="CV86" s="166">
        <f t="shared" si="304"/>
        <v>20899.035</v>
      </c>
      <c r="CW86" s="170">
        <f t="shared" si="312"/>
        <v>26.37840440165062</v>
      </c>
      <c r="CX86" s="166">
        <f t="shared" si="306"/>
        <v>108094.744477304</v>
      </c>
      <c r="CY86" s="171">
        <f t="shared" si="313"/>
        <v>3716.2723521320499</v>
      </c>
      <c r="CZ86" s="166">
        <f t="shared" si="308"/>
        <v>15228726.658184322</v>
      </c>
      <c r="DA86" s="170" t="str">
        <f t="shared" si="314"/>
        <v>G12</v>
      </c>
      <c r="DB86" s="171">
        <f t="shared" si="262"/>
        <v>3450.694685408951</v>
      </c>
      <c r="DC86" s="166">
        <f t="shared" si="263"/>
        <v>14140429.21660307</v>
      </c>
      <c r="DD86" s="170">
        <f t="shared" si="264"/>
        <v>37.723617122844139</v>
      </c>
      <c r="DE86" s="221">
        <f t="shared" si="265"/>
        <v>154585.72442684686</v>
      </c>
      <c r="DF86" s="222">
        <f t="shared" si="266"/>
        <v>6.7818819999999995</v>
      </c>
      <c r="DG86" s="221">
        <f t="shared" si="267"/>
        <v>27791.135153700001</v>
      </c>
      <c r="DH86" s="172">
        <f t="shared" si="268"/>
        <v>0</v>
      </c>
      <c r="DI86" s="173">
        <f t="shared" si="269"/>
        <v>62.272352132049946</v>
      </c>
      <c r="DJ86" s="174">
        <f t="shared" si="270"/>
        <v>-1</v>
      </c>
      <c r="DK86" s="175">
        <f t="shared" si="271"/>
        <v>196</v>
      </c>
      <c r="DL86" s="176">
        <f t="shared" si="272"/>
        <v>-1</v>
      </c>
      <c r="DM86" s="175" t="e">
        <f t="shared" si="273"/>
        <v>#VALUE!</v>
      </c>
      <c r="DN86" s="177"/>
      <c r="DO86" s="178">
        <f t="shared" si="120"/>
        <v>-44.694685408951045</v>
      </c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80"/>
      <c r="EC86" s="181">
        <f t="shared" si="179"/>
        <v>-62.272352132049946</v>
      </c>
      <c r="EE86" s="181"/>
    </row>
    <row r="87" spans="1:135" s="298" customFormat="1" ht="18.75">
      <c r="A87" s="575" t="s">
        <v>257</v>
      </c>
      <c r="B87" s="293"/>
      <c r="C87" s="293"/>
      <c r="D87" s="293"/>
      <c r="E87" s="293"/>
      <c r="F87" s="293"/>
      <c r="G87" s="293"/>
      <c r="H87" s="294">
        <f>SUM(H81:H86)</f>
        <v>23109.9</v>
      </c>
      <c r="I87" s="294">
        <f>SUM(I81:I86)</f>
        <v>23109.9</v>
      </c>
      <c r="J87" s="293"/>
      <c r="K87" s="293"/>
      <c r="L87" s="294"/>
      <c r="M87" s="293"/>
      <c r="N87" s="294">
        <f>SUM(N81:N86)</f>
        <v>23109.9</v>
      </c>
      <c r="O87" s="293"/>
      <c r="P87" s="293"/>
      <c r="Q87" s="293"/>
      <c r="R87" s="293"/>
      <c r="S87" s="293"/>
      <c r="T87" s="293"/>
      <c r="U87" s="293"/>
      <c r="V87" s="293"/>
      <c r="W87" s="231">
        <f>SUMPRODUCT(W81:W86,I81:I86)/I87</f>
        <v>3849.9999999999995</v>
      </c>
      <c r="X87" s="294">
        <f>SUM(X81:X86)</f>
        <v>23187.510000000002</v>
      </c>
      <c r="Y87" s="294"/>
      <c r="Z87" s="294"/>
      <c r="AA87" s="293"/>
      <c r="AB87" s="295"/>
      <c r="AC87" s="294">
        <f>SUM(AC81:AC86)</f>
        <v>0</v>
      </c>
      <c r="AD87" s="294" t="e">
        <f>AE87/$AC87</f>
        <v>#DIV/0!</v>
      </c>
      <c r="AE87" s="294">
        <f>SUM(AE81:AE86)</f>
        <v>0</v>
      </c>
      <c r="AF87" s="294" t="e">
        <f>AG87/$AC87</f>
        <v>#DIV/0!</v>
      </c>
      <c r="AG87" s="294">
        <f>SUM(AG81:AG86)</f>
        <v>0</v>
      </c>
      <c r="AH87" s="294" t="e">
        <f>AI87/$AC87</f>
        <v>#DIV/0!</v>
      </c>
      <c r="AI87" s="294">
        <f>SUM(AI81:AI86)</f>
        <v>0</v>
      </c>
      <c r="AJ87" s="294" t="e">
        <f>AK87/$AC87</f>
        <v>#DIV/0!</v>
      </c>
      <c r="AK87" s="294">
        <f>SUM(AK81:AK86)</f>
        <v>0</v>
      </c>
      <c r="AL87" s="293"/>
      <c r="AM87" s="294" t="e">
        <f>AN87/$AC87</f>
        <v>#DIV/0!</v>
      </c>
      <c r="AN87" s="294">
        <f>SUM(AN81:AN86)</f>
        <v>0</v>
      </c>
      <c r="AO87" s="294" t="e">
        <f>AP87/$AC87</f>
        <v>#DIV/0!</v>
      </c>
      <c r="AP87" s="294">
        <f>SUM(AP81:AP86)</f>
        <v>0</v>
      </c>
      <c r="AQ87" s="294">
        <f>AR87/$I87</f>
        <v>3849.9999999999995</v>
      </c>
      <c r="AR87" s="294">
        <f>SUM(AR81:AR86)</f>
        <v>88973115</v>
      </c>
      <c r="AS87" s="293"/>
      <c r="AT87" s="294" t="e">
        <f>AU87/$AC87</f>
        <v>#DIV/0!</v>
      </c>
      <c r="AU87" s="294">
        <f>SUM(AU81:AU86)</f>
        <v>0</v>
      </c>
      <c r="AV87" s="294" t="e">
        <f>AW87/$AC87</f>
        <v>#DIV/0!</v>
      </c>
      <c r="AW87" s="294">
        <f>SUM(AW81:AW86)</f>
        <v>0</v>
      </c>
      <c r="AX87" s="294" t="e">
        <f>AY87/$AC87</f>
        <v>#DIV/0!</v>
      </c>
      <c r="AY87" s="294">
        <f>SUM(AY81:AY86)</f>
        <v>0</v>
      </c>
      <c r="AZ87" s="293"/>
      <c r="BA87" s="293"/>
      <c r="BB87" s="293"/>
      <c r="BC87" s="293">
        <f>BD87/$I87</f>
        <v>12.105321373411396</v>
      </c>
      <c r="BD87" s="294">
        <f>SUM(BD81:BD86)</f>
        <v>279752.76640740002</v>
      </c>
      <c r="BE87" s="294">
        <f>SUM(BE81:BE86)</f>
        <v>23109.9</v>
      </c>
      <c r="BF87" s="293"/>
      <c r="BG87" s="293"/>
      <c r="BH87" s="294">
        <f>BI87/$BE87</f>
        <v>10.060475770124492</v>
      </c>
      <c r="BI87" s="294">
        <f>SUM(BI81:BI86)</f>
        <v>232496.58900000001</v>
      </c>
      <c r="BJ87" s="294">
        <f>BK87/$BE87</f>
        <v>5.9520556341654434</v>
      </c>
      <c r="BK87" s="294">
        <f>SUM(BK81:BK86)</f>
        <v>137551.4105</v>
      </c>
      <c r="BL87" s="294">
        <f>BM87/$BE87</f>
        <v>32.843493286427027</v>
      </c>
      <c r="BM87" s="294">
        <f>SUM(BM81:BM86)</f>
        <v>759009.84549999994</v>
      </c>
      <c r="BN87" s="296">
        <f>BO87/$BE87</f>
        <v>3767.643899367803</v>
      </c>
      <c r="BO87" s="294">
        <f>SUM(BO81:BO86)</f>
        <v>87069873.75</v>
      </c>
      <c r="BP87" s="293"/>
      <c r="BQ87" s="294">
        <f>BR87/$BE87</f>
        <v>6.3422293475956186</v>
      </c>
      <c r="BR87" s="294">
        <f>SUM(BR81:BR86)</f>
        <v>146568.28599999999</v>
      </c>
      <c r="BS87" s="294">
        <f>BT87/$BE87</f>
        <v>40.068361459807271</v>
      </c>
      <c r="BT87" s="294">
        <f>SUM(BT81:BT86)</f>
        <v>925975.82650000008</v>
      </c>
      <c r="BU87" s="296">
        <f>BV87/$I87</f>
        <v>3803.0411209048934</v>
      </c>
      <c r="BV87" s="294">
        <f>SUM(BV81:BV86)</f>
        <v>87887900</v>
      </c>
      <c r="BW87" s="528" t="str">
        <f t="shared" ref="BW87" si="320">IF(BU87&gt;=7000,"G1",IF(BU87&gt;=6700,"G2",IF(BU87&gt;=6400,"G3",IF(BU87&gt;=6100,"G4",IF(BU87&gt;=5800,"G5",IF(BU87&gt;=5500,"G6",IF(BU87&gt;=5200,"G7",IF(BU87&gt;=4900,"G8",IF(BU87&gt;=4600,"G9",IF(BU87&gt;=4300,"G10",IF(BU87&gt;=4000,"G11",IF(BU87&gt;=3700,"G12",IF(BU87&gt;=3400,"G13",IF(BU87&gt;=3100,"G14",IF(BU87&gt;=2800,"G15",IF(BU87&gt;=2500,"G16",IF(BU87&gt;=2200,"G17")))))))))))))))))</f>
        <v>G12</v>
      </c>
      <c r="BX87" s="296">
        <f>BY87/$I87</f>
        <v>3569.3644303956316</v>
      </c>
      <c r="BY87" s="294">
        <f>SUM(BY81:BY86)</f>
        <v>82487655.050000012</v>
      </c>
      <c r="BZ87" s="294">
        <f>CA87/$BE87</f>
        <v>37.6028296530924</v>
      </c>
      <c r="CA87" s="294">
        <f>SUM(CA81:CA86)</f>
        <v>868997.63300000015</v>
      </c>
      <c r="CB87" s="294">
        <f>CC87/$BE87</f>
        <v>5.7626214306422785</v>
      </c>
      <c r="CC87" s="294">
        <f>SUM(CC81:CC86)</f>
        <v>133173.60500000001</v>
      </c>
      <c r="CD87" s="294">
        <f>SUM(CD81:CD86)</f>
        <v>23109.9</v>
      </c>
      <c r="CE87" s="293"/>
      <c r="CF87" s="293"/>
      <c r="CG87" s="294">
        <f>CH87/$CD87</f>
        <v>11.744383353160334</v>
      </c>
      <c r="CH87" s="294">
        <f>SUM(CH81:CH86)</f>
        <v>271411.52485320001</v>
      </c>
      <c r="CI87" s="294">
        <f>CJ87/$CD87</f>
        <v>40.548916676402762</v>
      </c>
      <c r="CJ87" s="294">
        <f>SUM(CJ81:CJ86)</f>
        <v>937081.40950000018</v>
      </c>
      <c r="CK87" s="294">
        <f>CL87/$CD87</f>
        <v>4.8020423714511962</v>
      </c>
      <c r="CL87" s="294">
        <f>SUM(CL81:CL86)</f>
        <v>110974.71900000001</v>
      </c>
      <c r="CM87" s="294">
        <f>CN87/$CD87</f>
        <v>26.710708116434947</v>
      </c>
      <c r="CN87" s="294">
        <f>SUM(CN81:CN86)</f>
        <v>617281.79350000003</v>
      </c>
      <c r="CO87" s="293">
        <f t="shared" si="260"/>
        <v>4040.5161639952994</v>
      </c>
      <c r="CP87" s="294">
        <f>SUM(CP81:CP86)</f>
        <v>93375924.498314992</v>
      </c>
      <c r="CQ87" s="293">
        <f>CR87/$CD87</f>
        <v>3739.062758817649</v>
      </c>
      <c r="CR87" s="294">
        <f>SUM(CR81:CR86)</f>
        <v>86409366.449999988</v>
      </c>
      <c r="CS87" s="293">
        <f t="shared" si="261"/>
        <v>41.002822815307027</v>
      </c>
      <c r="CT87" s="294">
        <f>SUM(CT81:CT86)</f>
        <v>947477.51144789776</v>
      </c>
      <c r="CU87" s="293">
        <f>CV87/$CD87</f>
        <v>3.736392758082034</v>
      </c>
      <c r="CV87" s="294">
        <f>SUM(CV81:CV86)</f>
        <v>86347.663</v>
      </c>
      <c r="CW87" s="293">
        <f>CX87/$CD87</f>
        <v>27.013617756539077</v>
      </c>
      <c r="CX87" s="294">
        <f>SUM(CX81:CX86)</f>
        <v>624282.00499184243</v>
      </c>
      <c r="CY87" s="293">
        <f>CZ87/$CD87</f>
        <v>3781.5462428825763</v>
      </c>
      <c r="CZ87" s="294">
        <f>SUM(CZ81:CZ86)</f>
        <v>87391155.518392056</v>
      </c>
      <c r="DA87" s="293" t="str">
        <f t="shared" si="314"/>
        <v>G12</v>
      </c>
      <c r="DB87" s="293">
        <f>DC87/$CD87</f>
        <v>3466.3785601126519</v>
      </c>
      <c r="DC87" s="294">
        <f>SUM(DC81:DC86)</f>
        <v>80107661.886347383</v>
      </c>
      <c r="DD87" s="328">
        <f>DE87/CD87</f>
        <v>37.589763565077789</v>
      </c>
      <c r="DE87" s="294">
        <f>SUM(DE81:DE86)</f>
        <v>868695.67701259127</v>
      </c>
      <c r="DF87" s="328">
        <f>DG87/CD87</f>
        <v>8.007990595078299</v>
      </c>
      <c r="DG87" s="294">
        <f>SUM(DG81:DG86)</f>
        <v>185063.86185320001</v>
      </c>
      <c r="DH87" s="297"/>
      <c r="DI87" s="293"/>
      <c r="DJ87" s="293"/>
      <c r="DK87" s="293"/>
      <c r="DL87" s="293"/>
      <c r="DM87" s="293"/>
      <c r="DN87" s="293"/>
      <c r="DO87" s="178">
        <f t="shared" si="120"/>
        <v>102.9858702829797</v>
      </c>
      <c r="EC87" s="181">
        <f t="shared" si="179"/>
        <v>21.494878022317152</v>
      </c>
    </row>
    <row r="88" spans="1:135" s="585" customFormat="1" ht="18.75">
      <c r="A88" s="576" t="s">
        <v>258</v>
      </c>
      <c r="B88" s="577"/>
      <c r="C88" s="577"/>
      <c r="D88" s="577"/>
      <c r="E88" s="577"/>
      <c r="F88" s="577"/>
      <c r="G88" s="577"/>
      <c r="H88" s="578">
        <f>H87+H69</f>
        <v>42065.350000000006</v>
      </c>
      <c r="I88" s="578">
        <f>I87+I69</f>
        <v>41915.350000000006</v>
      </c>
      <c r="J88" s="577"/>
      <c r="K88" s="577"/>
      <c r="L88" s="577"/>
      <c r="M88" s="577"/>
      <c r="N88" s="578">
        <f>N87+N69</f>
        <v>42065.350000000006</v>
      </c>
      <c r="O88" s="577"/>
      <c r="P88" s="577"/>
      <c r="Q88" s="577"/>
      <c r="R88" s="577"/>
      <c r="S88" s="577"/>
      <c r="T88" s="577"/>
      <c r="U88" s="577"/>
      <c r="V88" s="577"/>
      <c r="W88" s="579"/>
      <c r="X88" s="578">
        <f>X87+X69</f>
        <v>42765.100000000006</v>
      </c>
      <c r="Y88" s="578"/>
      <c r="Z88" s="578"/>
      <c r="AA88" s="577"/>
      <c r="AB88" s="580"/>
      <c r="AC88" s="578"/>
      <c r="AD88" s="578"/>
      <c r="AE88" s="578"/>
      <c r="AF88" s="578"/>
      <c r="AG88" s="578"/>
      <c r="AH88" s="578"/>
      <c r="AI88" s="578"/>
      <c r="AJ88" s="578"/>
      <c r="AK88" s="578"/>
      <c r="AL88" s="577"/>
      <c r="AM88" s="578"/>
      <c r="AN88" s="578"/>
      <c r="AO88" s="578"/>
      <c r="AP88" s="578"/>
      <c r="AQ88" s="578"/>
      <c r="AR88" s="578"/>
      <c r="AS88" s="577"/>
      <c r="AT88" s="578"/>
      <c r="AU88" s="578"/>
      <c r="AV88" s="578"/>
      <c r="AW88" s="578"/>
      <c r="AX88" s="578"/>
      <c r="AY88" s="578"/>
      <c r="AZ88" s="577"/>
      <c r="BA88" s="577"/>
      <c r="BB88" s="577"/>
      <c r="BC88" s="577"/>
      <c r="BD88" s="578"/>
      <c r="BE88" s="578"/>
      <c r="BF88" s="577"/>
      <c r="BG88" s="577"/>
      <c r="BH88" s="578"/>
      <c r="BI88" s="578"/>
      <c r="BJ88" s="578"/>
      <c r="BK88" s="578"/>
      <c r="BL88" s="578"/>
      <c r="BM88" s="578"/>
      <c r="BN88" s="581"/>
      <c r="BO88" s="578"/>
      <c r="BP88" s="577"/>
      <c r="BQ88" s="578"/>
      <c r="BR88" s="578"/>
      <c r="BS88" s="578"/>
      <c r="BT88" s="578"/>
      <c r="BU88" s="581"/>
      <c r="BV88" s="578"/>
      <c r="BW88" s="578"/>
      <c r="BX88" s="581"/>
      <c r="BY88" s="578"/>
      <c r="BZ88" s="578"/>
      <c r="CA88" s="578"/>
      <c r="CB88" s="578"/>
      <c r="CC88" s="578"/>
      <c r="CD88" s="578">
        <f>CD87+CD69</f>
        <v>42065.350000000006</v>
      </c>
      <c r="CE88" s="577"/>
      <c r="CF88" s="577"/>
      <c r="CG88" s="578">
        <f>CH88/$CD88</f>
        <v>12.041895816442747</v>
      </c>
      <c r="CH88" s="578">
        <f>CH87+CH69</f>
        <v>506546.56218219997</v>
      </c>
      <c r="CI88" s="577">
        <f>CJ88/$CD88</f>
        <v>42.330415650886053</v>
      </c>
      <c r="CJ88" s="578">
        <f>CJ87+CJ69</f>
        <v>1780643.75</v>
      </c>
      <c r="CK88" s="577">
        <f>CL88/$CD88</f>
        <v>4.875959798266269</v>
      </c>
      <c r="CL88" s="578">
        <f>CL87+CL69</f>
        <v>205108.95550000001</v>
      </c>
      <c r="CM88" s="577">
        <f>CN88/$CD88</f>
        <v>26.271805595341529</v>
      </c>
      <c r="CN88" s="578">
        <f>CN87+CN69</f>
        <v>1105132.6975</v>
      </c>
      <c r="CO88" s="577">
        <f>CP88/$CD88</f>
        <v>3862.0998748594734</v>
      </c>
      <c r="CP88" s="578">
        <f>CP87+CP69</f>
        <v>162460582.97091997</v>
      </c>
      <c r="CQ88" s="577">
        <f>CR88/$CD88</f>
        <v>3553.6766436033449</v>
      </c>
      <c r="CR88" s="578">
        <f>CR87+CR69</f>
        <v>149486651.79999998</v>
      </c>
      <c r="CS88" s="577">
        <f>CT88/$CD88</f>
        <v>42.342753311365271</v>
      </c>
      <c r="CT88" s="578">
        <f>CT87+CT69</f>
        <v>1781162.7380062393</v>
      </c>
      <c r="CU88" s="577">
        <f>CV88/$CD88</f>
        <v>4.7643549144367032</v>
      </c>
      <c r="CV88" s="578">
        <f>CV87+CV69</f>
        <v>200414.25700000001</v>
      </c>
      <c r="CW88" s="577">
        <f>CX88/$CD88</f>
        <v>26.313056536010961</v>
      </c>
      <c r="CX88" s="578">
        <f>CX87+CX69</f>
        <v>1106867.9327570889</v>
      </c>
      <c r="CY88" s="577">
        <f>CZ88/$CD88</f>
        <v>3560.9019855711745</v>
      </c>
      <c r="CZ88" s="578">
        <f>CZ87+CZ69</f>
        <v>149790588.33874643</v>
      </c>
      <c r="DA88" s="577" t="str">
        <f t="shared" si="314"/>
        <v>G13</v>
      </c>
      <c r="DB88" s="581">
        <f>DC88/$CD88</f>
        <v>3285.2303199469407</v>
      </c>
      <c r="DC88" s="582">
        <f>DC87+DC69</f>
        <v>138194363.23918006</v>
      </c>
      <c r="DD88" s="328">
        <f>DE88/CD88</f>
        <v>39.146385646323793</v>
      </c>
      <c r="DE88" s="582">
        <f>DE87+DE69</f>
        <v>1646706.4134475868</v>
      </c>
      <c r="DF88" s="328">
        <f>DG88/CD88</f>
        <v>7.2775409020060442</v>
      </c>
      <c r="DG88" s="582">
        <f>DG87+DG69</f>
        <v>306132.30518219998</v>
      </c>
      <c r="DH88" s="583"/>
      <c r="DI88" s="584"/>
      <c r="DJ88" s="584"/>
      <c r="DK88" s="584"/>
      <c r="DL88" s="584"/>
      <c r="DM88" s="584"/>
      <c r="DN88" s="584"/>
      <c r="DO88" s="178">
        <f t="shared" si="120"/>
        <v>-3285.2303199469407</v>
      </c>
      <c r="EC88" s="181">
        <f t="shared" si="179"/>
        <v>-3560.9019855711745</v>
      </c>
    </row>
    <row r="89" spans="1:135" s="315" customFormat="1" ht="30">
      <c r="A89" s="586" t="s">
        <v>259</v>
      </c>
      <c r="B89" s="299"/>
      <c r="C89" s="299"/>
      <c r="D89" s="145" t="s">
        <v>260</v>
      </c>
      <c r="E89" s="299" t="s">
        <v>261</v>
      </c>
      <c r="F89" s="299"/>
      <c r="G89" s="299"/>
      <c r="H89" s="299"/>
      <c r="I89" s="300"/>
      <c r="J89" s="300"/>
      <c r="K89" s="300"/>
      <c r="L89" s="299"/>
      <c r="M89" s="299"/>
      <c r="N89" s="300"/>
      <c r="O89" s="299"/>
      <c r="P89" s="299"/>
      <c r="Q89" s="299"/>
      <c r="R89" s="299"/>
      <c r="S89" s="299"/>
      <c r="T89" s="299"/>
      <c r="U89" s="299"/>
      <c r="V89" s="299"/>
      <c r="W89" s="301"/>
      <c r="X89" s="300"/>
      <c r="Y89" s="300"/>
      <c r="Z89" s="300"/>
      <c r="AA89" s="299"/>
      <c r="AB89" s="302"/>
      <c r="AC89" s="300"/>
      <c r="AD89" s="303"/>
      <c r="AE89" s="300"/>
      <c r="AF89" s="303"/>
      <c r="AG89" s="300"/>
      <c r="AH89" s="303"/>
      <c r="AI89" s="300"/>
      <c r="AJ89" s="303"/>
      <c r="AK89" s="300"/>
      <c r="AL89" s="299"/>
      <c r="AM89" s="303"/>
      <c r="AN89" s="300"/>
      <c r="AO89" s="303"/>
      <c r="AP89" s="300"/>
      <c r="AQ89" s="301"/>
      <c r="AR89" s="300"/>
      <c r="AS89" s="299"/>
      <c r="AT89" s="304"/>
      <c r="AU89" s="300"/>
      <c r="AV89" s="303"/>
      <c r="AW89" s="300"/>
      <c r="AX89" s="303"/>
      <c r="AY89" s="305"/>
      <c r="AZ89" s="299"/>
      <c r="BA89" s="299"/>
      <c r="BB89" s="299"/>
      <c r="BC89" s="299"/>
      <c r="BD89" s="305"/>
      <c r="BE89" s="300"/>
      <c r="BF89" s="299"/>
      <c r="BG89" s="299"/>
      <c r="BH89" s="306"/>
      <c r="BI89" s="300"/>
      <c r="BJ89" s="299"/>
      <c r="BK89" s="300"/>
      <c r="BL89" s="299"/>
      <c r="BM89" s="300"/>
      <c r="BN89" s="299"/>
      <c r="BO89" s="300"/>
      <c r="BP89" s="299"/>
      <c r="BQ89" s="306"/>
      <c r="BR89" s="300"/>
      <c r="BS89" s="306"/>
      <c r="BT89" s="300"/>
      <c r="BU89" s="301"/>
      <c r="BV89" s="300"/>
      <c r="BW89" s="299"/>
      <c r="BX89" s="301"/>
      <c r="BY89" s="300"/>
      <c r="BZ89" s="306"/>
      <c r="CA89" s="300"/>
      <c r="CB89" s="306"/>
      <c r="CC89" s="300"/>
      <c r="CD89" s="306"/>
      <c r="CE89" s="299"/>
      <c r="CF89" s="299"/>
      <c r="CG89" s="306"/>
      <c r="CH89" s="306"/>
      <c r="CI89" s="306"/>
      <c r="CJ89" s="300"/>
      <c r="CK89" s="307"/>
      <c r="CL89" s="300"/>
      <c r="CM89" s="306"/>
      <c r="CN89" s="300"/>
      <c r="CO89" s="308"/>
      <c r="CP89" s="300"/>
      <c r="CQ89" s="301"/>
      <c r="CR89" s="300"/>
      <c r="CS89" s="306"/>
      <c r="CT89" s="300"/>
      <c r="CU89" s="306"/>
      <c r="CV89" s="300"/>
      <c r="CW89" s="306"/>
      <c r="CX89" s="300"/>
      <c r="CY89" s="301"/>
      <c r="CZ89" s="300"/>
      <c r="DA89" s="309"/>
      <c r="DB89" s="301"/>
      <c r="DC89" s="310"/>
      <c r="DD89" s="310"/>
      <c r="DE89" s="310"/>
      <c r="DF89" s="310"/>
      <c r="DG89" s="310"/>
      <c r="DH89" s="311"/>
      <c r="DI89" s="312"/>
      <c r="DJ89" s="313"/>
      <c r="DK89" s="314"/>
      <c r="DL89" s="176" t="e">
        <f>MID(U89,2,LEN(U89))-MID(BW89,2,LEN(BW89))</f>
        <v>#VALUE!</v>
      </c>
      <c r="DM89" s="175" t="e">
        <f t="shared" ref="DM89:DM93" si="321">MID(U89,2,LEN(U89))-MID(AS89,2,LEN(AS89))</f>
        <v>#VALUE!</v>
      </c>
      <c r="DN89" s="200"/>
      <c r="DO89" s="178">
        <f t="shared" si="120"/>
        <v>0</v>
      </c>
      <c r="EB89" s="249"/>
      <c r="EC89" s="181">
        <f t="shared" si="179"/>
        <v>0</v>
      </c>
    </row>
    <row r="90" spans="1:135" s="223" customFormat="1" ht="45">
      <c r="A90" s="74">
        <v>1</v>
      </c>
      <c r="B90" s="74">
        <v>12</v>
      </c>
      <c r="C90" s="138">
        <v>45811</v>
      </c>
      <c r="D90" s="139">
        <v>451000001</v>
      </c>
      <c r="E90" s="138">
        <v>45808</v>
      </c>
      <c r="F90" s="138" t="s">
        <v>240</v>
      </c>
      <c r="G90" s="138" t="s">
        <v>284</v>
      </c>
      <c r="H90" s="545">
        <v>3221.5</v>
      </c>
      <c r="I90" s="141">
        <v>3221.5</v>
      </c>
      <c r="J90" s="142"/>
      <c r="K90" s="143"/>
      <c r="L90" s="522">
        <v>58</v>
      </c>
      <c r="M90" s="522"/>
      <c r="N90" s="144">
        <v>3221.5</v>
      </c>
      <c r="O90" s="522" t="s">
        <v>263</v>
      </c>
      <c r="P90" s="145" t="s">
        <v>264</v>
      </c>
      <c r="Q90" s="145" t="s">
        <v>265</v>
      </c>
      <c r="R90" s="145" t="s">
        <v>260</v>
      </c>
      <c r="S90" s="145" t="s">
        <v>211</v>
      </c>
      <c r="T90" s="145"/>
      <c r="U90" s="147" t="s">
        <v>188</v>
      </c>
      <c r="V90" s="147" t="s">
        <v>189</v>
      </c>
      <c r="W90" s="147">
        <v>4450</v>
      </c>
      <c r="X90" s="542">
        <v>3222</v>
      </c>
      <c r="Y90" s="148"/>
      <c r="Z90" s="148"/>
      <c r="AA90" s="149"/>
      <c r="AB90" s="150"/>
      <c r="AC90" s="151"/>
      <c r="AD90" s="151"/>
      <c r="AE90" s="152">
        <f>AD90*$AC90</f>
        <v>0</v>
      </c>
      <c r="AF90" s="151"/>
      <c r="AG90" s="152">
        <f>AF90*$AC90</f>
        <v>0</v>
      </c>
      <c r="AH90" s="151"/>
      <c r="AI90" s="152">
        <f>AH90*$AC90</f>
        <v>0</v>
      </c>
      <c r="AJ90" s="149"/>
      <c r="AK90" s="152">
        <f>AJ90*$AC90</f>
        <v>0</v>
      </c>
      <c r="AL90" s="149"/>
      <c r="AM90" s="151"/>
      <c r="AN90" s="152">
        <f>AM90*$AC90</f>
        <v>0</v>
      </c>
      <c r="AO90" s="151"/>
      <c r="AP90" s="152">
        <f>AO90*$AC90</f>
        <v>0</v>
      </c>
      <c r="AQ90" s="174">
        <f t="shared" ref="AQ90:AQ91" si="322">W90</f>
        <v>4450</v>
      </c>
      <c r="AR90" s="152">
        <f t="shared" ref="AR90:AR91" si="323">AQ90*$I90</f>
        <v>14335675</v>
      </c>
      <c r="AS90" s="149"/>
      <c r="AT90" s="149">
        <f t="shared" ref="AT90:AT91" si="324">ROUND(((100-AD90)/(100-AM90)*AQ90),0)</f>
        <v>4450</v>
      </c>
      <c r="AU90" s="152">
        <f>AT90*$AC90</f>
        <v>0</v>
      </c>
      <c r="AV90" s="149">
        <f t="shared" ref="AV90" si="325">ROUND(((100-AD90)/(100-AM90)*AO90),2)</f>
        <v>0</v>
      </c>
      <c r="AW90" s="152">
        <f>AV90*$AC90</f>
        <v>0</v>
      </c>
      <c r="AX90" s="151">
        <f>$AD90-$AM90</f>
        <v>0</v>
      </c>
      <c r="AY90" s="152">
        <f>AX90*$AC90</f>
        <v>0</v>
      </c>
      <c r="AZ90" s="153">
        <v>5.2</v>
      </c>
      <c r="BA90" s="153">
        <v>9.5909999999999993</v>
      </c>
      <c r="BB90" s="153"/>
      <c r="BC90" s="154">
        <f t="shared" ref="BC90:BC91" si="326">AZ90+BA90*(1-(AZ90/100))+BB90*(1-(AZ90+BA90)/100)</f>
        <v>14.292268</v>
      </c>
      <c r="BD90" s="155">
        <f t="shared" ref="BD90:BD91" si="327">BC90*$CD90</f>
        <v>46042.541361999996</v>
      </c>
      <c r="BE90" s="156">
        <f t="shared" ref="BE90:BE91" si="328">CD90</f>
        <v>3221.5</v>
      </c>
      <c r="BF90" s="157">
        <v>501</v>
      </c>
      <c r="BG90" s="157" t="s">
        <v>238</v>
      </c>
      <c r="BH90" s="156">
        <v>14.29</v>
      </c>
      <c r="BI90" s="158">
        <f>BH90*$BE90</f>
        <v>46035.235000000001</v>
      </c>
      <c r="BJ90" s="156">
        <v>7.29</v>
      </c>
      <c r="BK90" s="158">
        <f>BJ90*$BE90</f>
        <v>23484.735000000001</v>
      </c>
      <c r="BL90" s="156">
        <v>31.38</v>
      </c>
      <c r="BM90" s="159">
        <f>BL90*$BE90</f>
        <v>101090.67</v>
      </c>
      <c r="BN90" s="157">
        <v>4461</v>
      </c>
      <c r="BO90" s="159">
        <f>BN90*$BE90</f>
        <v>14371111.5</v>
      </c>
      <c r="BP90" s="160"/>
      <c r="BQ90" s="156">
        <v>7.01</v>
      </c>
      <c r="BR90" s="158">
        <f>BQ90*$BE90</f>
        <v>22582.715</v>
      </c>
      <c r="BS90" s="156">
        <v>31.47</v>
      </c>
      <c r="BT90" s="159">
        <f>BS90*$BE90</f>
        <v>101380.605</v>
      </c>
      <c r="BU90" s="157">
        <v>4474</v>
      </c>
      <c r="BV90" s="161">
        <f>BU90*$I90</f>
        <v>14412991</v>
      </c>
      <c r="BW90" s="157" t="s">
        <v>188</v>
      </c>
      <c r="BX90" s="157">
        <f t="shared" ref="BX90:BX91" si="329">ROUND(((100-BH90)/(100-BQ90)*BU90),0)</f>
        <v>4124</v>
      </c>
      <c r="BY90" s="161">
        <f>BX90*$I90</f>
        <v>13285466</v>
      </c>
      <c r="BZ90" s="157">
        <f t="shared" ref="BZ90:BZ91" si="330">ROUND(((100-BH90)/(100-BQ90)*BS90),2)</f>
        <v>29.01</v>
      </c>
      <c r="CA90" s="161">
        <f>BZ90*$BE90</f>
        <v>93455.715000000011</v>
      </c>
      <c r="CB90" s="156">
        <f t="shared" ref="CB90:CB91" si="331">BH90-BQ90</f>
        <v>7.2799999999999994</v>
      </c>
      <c r="CC90" s="161">
        <f>CB90*$BE90</f>
        <v>23452.519999999997</v>
      </c>
      <c r="CD90" s="162">
        <f t="shared" ref="CD90:CD91" si="332">N90</f>
        <v>3221.5</v>
      </c>
      <c r="CE90" s="163">
        <v>6.2</v>
      </c>
      <c r="CF90" s="164">
        <v>9.57</v>
      </c>
      <c r="CG90" s="165">
        <f t="shared" ref="CG90:CG91" si="333">CE90+CF90*(1-CE90/100)</f>
        <v>15.176659999999998</v>
      </c>
      <c r="CH90" s="166">
        <f>CG90*$CD90</f>
        <v>48891.610189999992</v>
      </c>
      <c r="CI90" s="167">
        <v>31.36</v>
      </c>
      <c r="CJ90" s="166">
        <f>CI90*$CD90</f>
        <v>101026.24000000001</v>
      </c>
      <c r="CK90" s="168">
        <v>5.8</v>
      </c>
      <c r="CL90" s="166">
        <f>CK90*$CD90</f>
        <v>18684.7</v>
      </c>
      <c r="CM90" s="168">
        <v>27.1</v>
      </c>
      <c r="CN90" s="166">
        <f>CM90*$CD90</f>
        <v>87302.650000000009</v>
      </c>
      <c r="CO90" s="169">
        <f t="shared" ref="CO90:CO91" si="334">8555.56-(145.56*CK90+94.11*CI90)</f>
        <v>4760.0223999999998</v>
      </c>
      <c r="CP90" s="166">
        <f>CO90*$CD90</f>
        <v>15334412.161599999</v>
      </c>
      <c r="CQ90" s="167">
        <v>4481</v>
      </c>
      <c r="CR90" s="166">
        <f>CQ90*$CD90</f>
        <v>14435541.5</v>
      </c>
      <c r="CS90" s="170">
        <f t="shared" ref="CS90:CS91" si="335">((100-CU90)/(100-CK90))*CI90</f>
        <v>31.94924840764331</v>
      </c>
      <c r="CT90" s="166">
        <f>CS90*$CD90</f>
        <v>102924.50374522293</v>
      </c>
      <c r="CU90" s="168">
        <v>4.03</v>
      </c>
      <c r="CV90" s="166">
        <f>CU90*$CD90</f>
        <v>12982.645</v>
      </c>
      <c r="CW90" s="170">
        <f t="shared" ref="CW90" si="336">((100-CU90)/(100-CK90))*CM90</f>
        <v>27.609203821656052</v>
      </c>
      <c r="CX90" s="166">
        <f>CW90*$CD90</f>
        <v>88943.050111464967</v>
      </c>
      <c r="CY90" s="171">
        <f t="shared" ref="CY90" si="337">((100-CU90)/(100-CK90))*CQ90</f>
        <v>4565.1971337579616</v>
      </c>
      <c r="CZ90" s="166">
        <f>CY90*$CD90</f>
        <v>14706782.566401273</v>
      </c>
      <c r="DA90" s="170" t="str">
        <f t="shared" ref="DA90" si="338">IF(CY90&gt;=7000,"G1",IF(CY90&gt;=6700,"G2",IF(CY90&gt;=6400,"G3",IF(CY90&gt;=6100,"G4",IF(CY90&gt;=5800,"G5",IF(CY90&gt;=5500,"G6",IF(CY90&gt;=5200,"G7",IF(CY90&gt;=4900,"G8",IF(CY90&gt;=4600,"G9",IF(CY90&gt;=4300,"G10",IF(CY90&gt;=4000,"G11",IF(CY90&gt;=3700,"G12",IF(CY90&gt;=3400,"G13",IF(CY90&gt;=3100,"G14",IF(CY90&gt;=2800,"G15",IF(CY90&gt;=2500,"G16",IF(CY90&gt;=2200,"G17")))))))))))))))))</f>
        <v>G10</v>
      </c>
      <c r="DB90" s="171">
        <f t="shared" ref="DB90:DB91" si="339">((100-CG90)/(100-CK90))*CQ90</f>
        <v>4034.9616405520169</v>
      </c>
      <c r="DC90" s="166">
        <f>DB90*$CD90</f>
        <v>12998628.925038323</v>
      </c>
      <c r="DD90" s="170">
        <f t="shared" ref="DD90:DD91" si="340">((100-CG90)/(100-CK90))*CI90</f>
        <v>28.238428263269636</v>
      </c>
      <c r="DE90" s="221">
        <f t="shared" ref="DE90:DE91" si="341">DD90*$CD90</f>
        <v>90970.096650123131</v>
      </c>
      <c r="DF90" s="222">
        <f t="shared" ref="DF90:DF91" si="342">CG90-CU90</f>
        <v>11.146659999999997</v>
      </c>
      <c r="DG90" s="221">
        <f t="shared" ref="DG90:DG91" si="343">DF90*$CD90</f>
        <v>35908.965189999988</v>
      </c>
      <c r="DH90" s="172">
        <f t="shared" ref="DH90:DH91" si="344">MID(U90,2,LEN(U90))-MID(DA90,2,LEN(DA90))</f>
        <v>0</v>
      </c>
      <c r="DI90" s="173">
        <f>$CY90-$BU90</f>
        <v>91.197133757961637</v>
      </c>
      <c r="DJ90" s="174">
        <f>MID(U90,2,LEN(U90))-MID(BW90,2,LEN(BW90))</f>
        <v>0</v>
      </c>
      <c r="DK90" s="175">
        <f>$AQ90-$BU90</f>
        <v>-24</v>
      </c>
      <c r="DL90" s="176">
        <f>MID(U90,2,LEN(U90))-MID(BW90,2,LEN(BW90))</f>
        <v>0</v>
      </c>
      <c r="DM90" s="175" t="e">
        <f t="shared" si="321"/>
        <v>#VALUE!</v>
      </c>
      <c r="DN90" s="177"/>
      <c r="DO90" s="178">
        <f t="shared" si="120"/>
        <v>89.038359447983112</v>
      </c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80"/>
      <c r="EC90" s="181">
        <f t="shared" si="179"/>
        <v>-91.197133757961637</v>
      </c>
    </row>
    <row r="91" spans="1:135" s="182" customFormat="1" ht="45">
      <c r="A91" s="74">
        <v>5</v>
      </c>
      <c r="B91" s="74">
        <v>74</v>
      </c>
      <c r="C91" s="138">
        <v>45823</v>
      </c>
      <c r="D91" s="139">
        <v>461000002</v>
      </c>
      <c r="E91" s="138">
        <v>45822</v>
      </c>
      <c r="F91" s="138" t="s">
        <v>287</v>
      </c>
      <c r="G91" s="138" t="s">
        <v>254</v>
      </c>
      <c r="H91" s="140">
        <v>4031.45</v>
      </c>
      <c r="I91" s="141">
        <v>4031.45</v>
      </c>
      <c r="J91" s="142"/>
      <c r="K91" s="568"/>
      <c r="L91" s="337">
        <v>58</v>
      </c>
      <c r="M91" s="571"/>
      <c r="N91" s="144">
        <v>4031.45</v>
      </c>
      <c r="O91" s="522" t="s">
        <v>263</v>
      </c>
      <c r="P91" s="145" t="s">
        <v>264</v>
      </c>
      <c r="Q91" s="145" t="s">
        <v>265</v>
      </c>
      <c r="R91" s="145" t="s">
        <v>260</v>
      </c>
      <c r="S91" s="145" t="s">
        <v>211</v>
      </c>
      <c r="T91" s="145"/>
      <c r="U91" s="147" t="s">
        <v>188</v>
      </c>
      <c r="V91" s="147" t="s">
        <v>189</v>
      </c>
      <c r="W91" s="147">
        <v>4450</v>
      </c>
      <c r="X91" s="519">
        <v>4046.92</v>
      </c>
      <c r="Y91" s="148"/>
      <c r="Z91" s="150"/>
      <c r="AA91" s="149"/>
      <c r="AB91" s="150"/>
      <c r="AC91" s="151"/>
      <c r="AD91" s="151"/>
      <c r="AE91" s="152">
        <f t="shared" ref="AE91" si="345">AD91*$AC91</f>
        <v>0</v>
      </c>
      <c r="AF91" s="151"/>
      <c r="AG91" s="152">
        <f t="shared" ref="AG91" si="346">AF91*$AC91</f>
        <v>0</v>
      </c>
      <c r="AH91" s="151"/>
      <c r="AI91" s="152">
        <f t="shared" ref="AI91" si="347">AH91*$AC91</f>
        <v>0</v>
      </c>
      <c r="AJ91" s="149"/>
      <c r="AK91" s="152">
        <f t="shared" ref="AK91" si="348">AJ91*$AC91</f>
        <v>0</v>
      </c>
      <c r="AL91" s="149"/>
      <c r="AM91" s="151"/>
      <c r="AN91" s="152">
        <f t="shared" ref="AN91" si="349">AM91*$AC91</f>
        <v>0</v>
      </c>
      <c r="AO91" s="151"/>
      <c r="AP91" s="152">
        <f t="shared" ref="AP91" si="350">AO91*$AC91</f>
        <v>0</v>
      </c>
      <c r="AQ91" s="174">
        <f t="shared" si="322"/>
        <v>4450</v>
      </c>
      <c r="AR91" s="152">
        <f t="shared" si="323"/>
        <v>17939952.5</v>
      </c>
      <c r="AS91" s="149"/>
      <c r="AT91" s="149">
        <f t="shared" si="324"/>
        <v>4450</v>
      </c>
      <c r="AU91" s="152">
        <f t="shared" ref="AU91" si="351">AT91*$AC91</f>
        <v>0</v>
      </c>
      <c r="AV91" s="149">
        <f>ROUND(((100-AD91)/(100-AM91)*AO91),2)</f>
        <v>0</v>
      </c>
      <c r="AW91" s="152">
        <f t="shared" ref="AW91" si="352">AV91*$AC91</f>
        <v>0</v>
      </c>
      <c r="AX91" s="151">
        <f t="shared" ref="AX91" si="353">$AD91-$AM91</f>
        <v>0</v>
      </c>
      <c r="AY91" s="152">
        <f t="shared" ref="AY91" si="354">AX91*$AC91</f>
        <v>0</v>
      </c>
      <c r="AZ91" s="153">
        <v>3.6</v>
      </c>
      <c r="BA91" s="153">
        <v>10.436</v>
      </c>
      <c r="BB91" s="153"/>
      <c r="BC91" s="154">
        <f t="shared" si="326"/>
        <v>13.660304</v>
      </c>
      <c r="BD91" s="155">
        <f t="shared" si="327"/>
        <v>55070.832560799994</v>
      </c>
      <c r="BE91" s="156">
        <f t="shared" si="328"/>
        <v>4031.45</v>
      </c>
      <c r="BF91" s="157">
        <v>511</v>
      </c>
      <c r="BG91" s="157" t="s">
        <v>248</v>
      </c>
      <c r="BH91" s="156">
        <v>13.66</v>
      </c>
      <c r="BI91" s="158">
        <f t="shared" ref="BI91" si="355">BH91*$BE91</f>
        <v>55069.606999999996</v>
      </c>
      <c r="BJ91" s="156">
        <v>7.92</v>
      </c>
      <c r="BK91" s="158">
        <f t="shared" ref="BK91" si="356">BJ91*$BE91</f>
        <v>31929.083999999999</v>
      </c>
      <c r="BL91" s="156">
        <v>31.39</v>
      </c>
      <c r="BM91" s="159">
        <f t="shared" ref="BM91" si="357">BL91*$BE91</f>
        <v>126547.21549999999</v>
      </c>
      <c r="BN91" s="157">
        <v>4328</v>
      </c>
      <c r="BO91" s="159">
        <f t="shared" ref="BO91" si="358">BN91*$BE91</f>
        <v>17448115.599999998</v>
      </c>
      <c r="BP91" s="160"/>
      <c r="BQ91" s="156">
        <v>6.79</v>
      </c>
      <c r="BR91" s="158">
        <f t="shared" ref="BR91" si="359">BQ91*$BE91</f>
        <v>27373.5455</v>
      </c>
      <c r="BS91" s="156">
        <v>31.78</v>
      </c>
      <c r="BT91" s="159">
        <f t="shared" ref="BT91" si="360">BS91*$BE91</f>
        <v>128119.481</v>
      </c>
      <c r="BU91" s="157">
        <v>4381</v>
      </c>
      <c r="BV91" s="161">
        <f t="shared" ref="BV91" si="361">BU91*$I91</f>
        <v>17661782.449999999</v>
      </c>
      <c r="BW91" s="157" t="s">
        <v>188</v>
      </c>
      <c r="BX91" s="157">
        <f t="shared" si="329"/>
        <v>4058</v>
      </c>
      <c r="BY91" s="161">
        <f t="shared" ref="BY91" si="362">BX91*$I91</f>
        <v>16359624.1</v>
      </c>
      <c r="BZ91" s="157">
        <f t="shared" si="330"/>
        <v>29.44</v>
      </c>
      <c r="CA91" s="161">
        <f t="shared" ref="CA91" si="363">BZ91*$BE91</f>
        <v>118685.88800000001</v>
      </c>
      <c r="CB91" s="156">
        <f t="shared" si="331"/>
        <v>6.87</v>
      </c>
      <c r="CC91" s="161"/>
      <c r="CD91" s="162">
        <f t="shared" si="332"/>
        <v>4031.45</v>
      </c>
      <c r="CE91" s="163">
        <v>3.6</v>
      </c>
      <c r="CF91" s="164">
        <v>10.44</v>
      </c>
      <c r="CG91" s="165">
        <f t="shared" si="333"/>
        <v>13.664159999999999</v>
      </c>
      <c r="CH91" s="166">
        <f t="shared" ref="CH91" si="364">CG91*$CD91</f>
        <v>55086.377831999991</v>
      </c>
      <c r="CI91" s="167">
        <v>27.92</v>
      </c>
      <c r="CJ91" s="166">
        <f t="shared" ref="CJ91" si="365">CI91*$CD91</f>
        <v>112558.084</v>
      </c>
      <c r="CK91" s="168">
        <v>6.42</v>
      </c>
      <c r="CL91" s="166">
        <f t="shared" ref="CL91" si="366">CK91*$CD91</f>
        <v>25881.909</v>
      </c>
      <c r="CM91" s="167">
        <v>31.66</v>
      </c>
      <c r="CN91" s="166">
        <f t="shared" ref="CN91" si="367">CM91*$CD91</f>
        <v>127635.70699999999</v>
      </c>
      <c r="CO91" s="169">
        <f t="shared" si="334"/>
        <v>4993.5135999999993</v>
      </c>
      <c r="CP91" s="166">
        <f t="shared" ref="CP91" si="368">CO91*$CD91</f>
        <v>20131100.402719997</v>
      </c>
      <c r="CQ91" s="167">
        <v>4750</v>
      </c>
      <c r="CR91" s="166">
        <f t="shared" ref="CR91" si="369">CQ91*$CD91</f>
        <v>19149387.5</v>
      </c>
      <c r="CS91" s="170">
        <f t="shared" si="335"/>
        <v>28.513725154947636</v>
      </c>
      <c r="CT91" s="166">
        <f t="shared" ref="CT91" si="370">CS91*$CD91</f>
        <v>114951.65727591365</v>
      </c>
      <c r="CU91" s="168">
        <v>4.43</v>
      </c>
      <c r="CV91" s="166">
        <f t="shared" ref="CV91" si="371">CU91*$CD91</f>
        <v>17859.323499999999</v>
      </c>
      <c r="CW91" s="170">
        <f>((100-CU91)/(100-CK91))*CM91</f>
        <v>32.333257106219271</v>
      </c>
      <c r="CX91" s="166">
        <f t="shared" ref="CX91" si="372">CW91*$CD91</f>
        <v>130349.90936086768</v>
      </c>
      <c r="CY91" s="171">
        <f>((100-CU91)/(100-CK91))*CQ91</f>
        <v>4851.0098311605034</v>
      </c>
      <c r="CZ91" s="166">
        <f t="shared" ref="CZ91" si="373">CY91*$CD91</f>
        <v>19556603.583832011</v>
      </c>
      <c r="DA91" s="170" t="str">
        <f>IF(CY91&gt;=7000,"G1",IF(CY91&gt;=6700,"G2",IF(CY91&gt;=6400,"G3",IF(CY91&gt;=6100,"G4",IF(CY91&gt;=5800,"G5",IF(CY91&gt;=5500,"G6",IF(CY91&gt;=5200,"G7",IF(CY91&gt;=4900,"G8",IF(CY91&gt;=4600,"G9",IF(CY91&gt;=4300,"G10",IF(CY91&gt;=4000,"G11",IF(CY91&gt;=3700,"G12",IF(CY91&gt;=3400,"G13",IF(CY91&gt;=3100,"G14",IF(CY91&gt;=2800,"G15",IF(CY91&gt;=2500,"G16",IF(CY91&gt;=2200,"G17")))))))))))))))))</f>
        <v>G9</v>
      </c>
      <c r="DB91" s="171">
        <f t="shared" si="339"/>
        <v>4382.2957896986536</v>
      </c>
      <c r="DC91" s="166">
        <f t="shared" ref="DC91" si="374">DB91*$CD91</f>
        <v>17667006.361380637</v>
      </c>
      <c r="DD91" s="170">
        <f t="shared" si="340"/>
        <v>25.758673357555036</v>
      </c>
      <c r="DE91" s="221">
        <f t="shared" si="341"/>
        <v>103844.80370731525</v>
      </c>
      <c r="DF91" s="222">
        <f t="shared" si="342"/>
        <v>9.2341599999999993</v>
      </c>
      <c r="DG91" s="221">
        <f t="shared" si="343"/>
        <v>37227.054331999992</v>
      </c>
      <c r="DH91" s="172">
        <f t="shared" si="344"/>
        <v>1</v>
      </c>
      <c r="DI91" s="173"/>
      <c r="DJ91" s="174"/>
      <c r="DK91" s="175"/>
      <c r="DL91" s="176"/>
      <c r="DM91" s="175"/>
      <c r="DN91" s="177"/>
      <c r="DO91" s="178">
        <f t="shared" si="120"/>
        <v>-324.29578969865361</v>
      </c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80"/>
      <c r="EC91" s="181">
        <f t="shared" si="179"/>
        <v>-470.00983116050338</v>
      </c>
      <c r="EE91" s="181"/>
    </row>
    <row r="92" spans="1:135" s="248" customFormat="1" ht="15.75">
      <c r="A92" s="316" t="s">
        <v>268</v>
      </c>
      <c r="B92" s="316"/>
      <c r="C92" s="316"/>
      <c r="D92" s="316"/>
      <c r="E92" s="316"/>
      <c r="F92" s="316"/>
      <c r="G92" s="316"/>
      <c r="H92" s="317">
        <f>SUM(H90:H91)</f>
        <v>7252.95</v>
      </c>
      <c r="I92" s="317">
        <f>SUM(I90:I91)</f>
        <v>7252.95</v>
      </c>
      <c r="J92" s="317"/>
      <c r="K92" s="317"/>
      <c r="L92" s="318"/>
      <c r="M92" s="318"/>
      <c r="N92" s="317">
        <f>SUM(N90:N91)</f>
        <v>7252.95</v>
      </c>
      <c r="O92" s="318"/>
      <c r="P92" s="318"/>
      <c r="Q92" s="318"/>
      <c r="R92" s="318"/>
      <c r="S92" s="318"/>
      <c r="T92" s="318"/>
      <c r="U92" s="318"/>
      <c r="V92" s="318"/>
      <c r="W92" s="231">
        <f>SUMPRODUCT(W90:W91,I90:I91)/I92</f>
        <v>4450</v>
      </c>
      <c r="X92" s="317">
        <f>SUM(X90:X91)</f>
        <v>7268.92</v>
      </c>
      <c r="Y92" s="317"/>
      <c r="Z92" s="317"/>
      <c r="AA92" s="318"/>
      <c r="AB92" s="320"/>
      <c r="AC92" s="317">
        <f>SUM(AC90:AC91)</f>
        <v>0</v>
      </c>
      <c r="AD92" s="321" t="e">
        <f>AE92/$AC92</f>
        <v>#DIV/0!</v>
      </c>
      <c r="AE92" s="317">
        <f>SUM(AE90:AE91)</f>
        <v>0</v>
      </c>
      <c r="AF92" s="321" t="e">
        <f>AG92/$AC92</f>
        <v>#DIV/0!</v>
      </c>
      <c r="AG92" s="317">
        <f>SUM(AG90:AG91)</f>
        <v>0</v>
      </c>
      <c r="AH92" s="321" t="e">
        <f>AI92/$AC92</f>
        <v>#DIV/0!</v>
      </c>
      <c r="AI92" s="317">
        <f>SUM(AI90:AI91)</f>
        <v>0</v>
      </c>
      <c r="AJ92" s="321" t="e">
        <f>AK92/$AC92</f>
        <v>#DIV/0!</v>
      </c>
      <c r="AK92" s="317">
        <f>SUM(AK90:AK91)</f>
        <v>0</v>
      </c>
      <c r="AL92" s="318"/>
      <c r="AM92" s="321" t="e">
        <f>AN92/$AC92</f>
        <v>#DIV/0!</v>
      </c>
      <c r="AN92" s="317">
        <f>SUM(AN90:AN91)</f>
        <v>0</v>
      </c>
      <c r="AO92" s="321" t="e">
        <f>AP92/$AC92</f>
        <v>#DIV/0!</v>
      </c>
      <c r="AP92" s="317">
        <f>SUM(AP90:AP91)</f>
        <v>0</v>
      </c>
      <c r="AQ92" s="319">
        <f>AR92/$I92</f>
        <v>4450</v>
      </c>
      <c r="AR92" s="317">
        <f>SUM(AR90:AR91)</f>
        <v>32275627.5</v>
      </c>
      <c r="AS92" s="318"/>
      <c r="AT92" s="322" t="e">
        <f>AU92/$AC92</f>
        <v>#DIV/0!</v>
      </c>
      <c r="AU92" s="317">
        <f>SUM(AU90:AU91)</f>
        <v>0</v>
      </c>
      <c r="AV92" s="321" t="e">
        <f>AW92/$AC92</f>
        <v>#DIV/0!</v>
      </c>
      <c r="AW92" s="317">
        <f>SUM(AW90:AW91)</f>
        <v>0</v>
      </c>
      <c r="AX92" s="321" t="e">
        <f>AY92/$AC92</f>
        <v>#DIV/0!</v>
      </c>
      <c r="AY92" s="317">
        <f>SUM(AY90:AY91)</f>
        <v>0</v>
      </c>
      <c r="AZ92" s="318"/>
      <c r="BA92" s="318"/>
      <c r="BB92" s="318"/>
      <c r="BC92" s="318">
        <f>BD92/$I92</f>
        <v>13.940999720499933</v>
      </c>
      <c r="BD92" s="317">
        <f>SUM(BD90:BD91)</f>
        <v>101113.37392279999</v>
      </c>
      <c r="BE92" s="317">
        <f>SUM(BE90:BE91)</f>
        <v>7252.95</v>
      </c>
      <c r="BF92" s="318"/>
      <c r="BG92" s="318"/>
      <c r="BH92" s="323">
        <f>BI92/$BE92</f>
        <v>13.939823382209998</v>
      </c>
      <c r="BI92" s="317">
        <f>SUM(BI90:BI91)</f>
        <v>101104.842</v>
      </c>
      <c r="BJ92" s="318">
        <f>BK92/$BE92</f>
        <v>7.6401766177900035</v>
      </c>
      <c r="BK92" s="317">
        <f>SUM(BK90:BK91)</f>
        <v>55413.819000000003</v>
      </c>
      <c r="BL92" s="324">
        <f>BM92/$BE92</f>
        <v>31.385558359012538</v>
      </c>
      <c r="BM92" s="317">
        <f>SUM(BM90:BM91)</f>
        <v>227637.88549999997</v>
      </c>
      <c r="BN92" s="319">
        <f>BO92/$BE92</f>
        <v>4387.0738251332214</v>
      </c>
      <c r="BO92" s="317">
        <f>SUM(BO90:BO91)</f>
        <v>31819227.099999998</v>
      </c>
      <c r="BP92" s="318"/>
      <c r="BQ92" s="323">
        <f>BR92/$BE92</f>
        <v>6.8877161017241271</v>
      </c>
      <c r="BR92" s="317">
        <f>SUM(BR90:BR91)</f>
        <v>49956.260500000004</v>
      </c>
      <c r="BS92" s="323">
        <f>BT92/$BE92</f>
        <v>31.642309129388735</v>
      </c>
      <c r="BT92" s="317">
        <f>SUM(BT90:BT91)</f>
        <v>229500.08600000001</v>
      </c>
      <c r="BU92" s="319">
        <f>BV92/$I92</f>
        <v>4422.3072611833804</v>
      </c>
      <c r="BV92" s="317">
        <f>SUM(BV90:BV91)</f>
        <v>32074773.449999999</v>
      </c>
      <c r="BW92" s="325" t="str">
        <f t="shared" ref="BW92" si="375">IF(BU92&gt;=7000,"G1",IF(BU92&gt;=6700,"G2",IF(BU92&gt;=6400,"G3",IF(BU92&gt;=6100,"G4",IF(BU92&gt;=5800,"G5",IF(BU92&gt;=5500,"G6",IF(BU92&gt;=5200,"G7",IF(BU92&gt;=4900,"G8",IF(BU92&gt;=4600,"G9",IF(BU92&gt;=4300,"G10",IF(BU92&gt;=4000,"G11",IF(BU92&gt;=3700,"G12",IF(BU92&gt;=3400,"G13",IF(BU92&gt;=3100,"G14",IF(BU92&gt;=2800,"G15",IF(BU92&gt;=2500,"G16",IF(BU92&gt;=2200,"G17")))))))))))))))))</f>
        <v>G10</v>
      </c>
      <c r="BX92" s="319">
        <f>BY92/$I92</f>
        <v>4087.3148305172381</v>
      </c>
      <c r="BY92" s="317">
        <f>SUM(BY90:BY91)</f>
        <v>29645090.100000001</v>
      </c>
      <c r="BZ92" s="323">
        <f>CA92/$BE92</f>
        <v>29.249009437539208</v>
      </c>
      <c r="CA92" s="317">
        <f>SUM(CA90:CA91)</f>
        <v>212141.603</v>
      </c>
      <c r="CB92" s="323">
        <f>CC92/$BE92</f>
        <v>3.2335146388710796</v>
      </c>
      <c r="CC92" s="317">
        <f>SUM(CC90:CC91)</f>
        <v>23452.519999999997</v>
      </c>
      <c r="CD92" s="317">
        <f>SUM(CD90:CD91)</f>
        <v>7252.95</v>
      </c>
      <c r="CE92" s="318"/>
      <c r="CF92" s="318"/>
      <c r="CG92" s="317">
        <f>CH92/$CD92</f>
        <v>14.335958199353364</v>
      </c>
      <c r="CH92" s="317">
        <f>SUM(CH90:CH91)</f>
        <v>103977.98802199998</v>
      </c>
      <c r="CI92" s="323">
        <f>CJ92/$CD92</f>
        <v>29.447924499686337</v>
      </c>
      <c r="CJ92" s="317">
        <f>SUM(CJ90:CJ91)</f>
        <v>213584.32400000002</v>
      </c>
      <c r="CK92" s="326">
        <f>CL92/$CD92</f>
        <v>6.1446182587774629</v>
      </c>
      <c r="CL92" s="317">
        <f>SUM(CL90:CL91)</f>
        <v>44566.608999999997</v>
      </c>
      <c r="CM92" s="323">
        <f>CN92/$CD92</f>
        <v>29.634611709718119</v>
      </c>
      <c r="CN92" s="317">
        <f>SUM(CN90:CN91)</f>
        <v>214938.35700000002</v>
      </c>
      <c r="CO92" s="327">
        <f>CP92/$CD92</f>
        <v>4889.8051915868718</v>
      </c>
      <c r="CP92" s="317">
        <f>SUM(CP90:CP91)</f>
        <v>35465512.564319998</v>
      </c>
      <c r="CQ92" s="319">
        <f t="shared" ref="CQ92" si="376">CR92/$CD92</f>
        <v>4630.5198574373189</v>
      </c>
      <c r="CR92" s="317">
        <f>SUM(CR90:CR91)</f>
        <v>33584929</v>
      </c>
      <c r="CS92" s="323">
        <f>CT92/$CD92</f>
        <v>30.039661244202229</v>
      </c>
      <c r="CT92" s="317">
        <f>SUM(CT90:CT91)</f>
        <v>217876.16102113656</v>
      </c>
      <c r="CU92" s="323">
        <f>CV92/$CD92</f>
        <v>4.2523343605015889</v>
      </c>
      <c r="CV92" s="317">
        <f>SUM(CV90:CV91)</f>
        <v>30841.968499999999</v>
      </c>
      <c r="CW92" s="323">
        <f t="shared" ref="CW92" si="377">CX92/$CD92</f>
        <v>30.235002236653038</v>
      </c>
      <c r="CX92" s="317">
        <f>SUM(CX90:CX91)</f>
        <v>219292.95947233264</v>
      </c>
      <c r="CY92" s="319">
        <f>CZ92/$CD92</f>
        <v>4724.0620920085321</v>
      </c>
      <c r="CZ92" s="317">
        <f>SUM(CZ90:CZ91)</f>
        <v>34263386.150233284</v>
      </c>
      <c r="DA92" s="325" t="str">
        <f t="shared" ref="DA92" si="378">IF(CY92&gt;=7000,"G1",IF(CY92&gt;=6700,"G2",IF(CY92&gt;=6400,"G3",IF(CY92&gt;=6100,"G4",IF(CY92&gt;=5800,"G5",IF(CY92&gt;=5500,"G6",IF(CY92&gt;=5200,"G7",IF(CY92&gt;=4900,"G8",IF(CY92&gt;=4600,"G9",IF(CY92&gt;=4300,"G10",IF(CY92&gt;=4000,"G11",IF(CY92&gt;=3700,"G12",IF(CY92&gt;=3400,"G13",IF(CY92&gt;=3100,"G14",IF(CY92&gt;=2800,"G15",IF(CY92&gt;=2500,"G16",IF(CY92&gt;=2200,"G17")))))))))))))))))</f>
        <v>G9</v>
      </c>
      <c r="DB92" s="319">
        <f>DC92/$CD92</f>
        <v>4228.0224303792193</v>
      </c>
      <c r="DC92" s="317">
        <f>SUM(DC90:DC91)</f>
        <v>30665635.286418959</v>
      </c>
      <c r="DD92" s="328">
        <f>DE92/CD92</f>
        <v>26.860091460362799</v>
      </c>
      <c r="DE92" s="317">
        <f>SUM(DE90:DE91)</f>
        <v>194814.90035743837</v>
      </c>
      <c r="DF92" s="328">
        <f>DG92/CD92</f>
        <v>10.083623838851777</v>
      </c>
      <c r="DG92" s="317">
        <f>SUM(DG90:DG91)</f>
        <v>73136.019521999988</v>
      </c>
      <c r="DH92" s="329"/>
      <c r="DI92" s="246">
        <f t="shared" ref="DI92:DI96" si="379">$CY92-$BU92</f>
        <v>301.75483082515166</v>
      </c>
      <c r="DJ92" s="247" t="e">
        <f t="shared" ref="DJ92:DJ93" si="380">MID(U92,2,LEN(U92))-MID(BW92,2,LEN(BW92))</f>
        <v>#VALUE!</v>
      </c>
      <c r="DK92" s="330"/>
      <c r="DL92" s="176" t="e">
        <f t="shared" ref="DL92:DL93" si="381">MID(U92,2,LEN(U92))-MID(BW92,2,LEN(BW92))</f>
        <v>#VALUE!</v>
      </c>
      <c r="DM92" s="175" t="e">
        <f t="shared" si="321"/>
        <v>#VALUE!</v>
      </c>
      <c r="DN92" s="240"/>
      <c r="DO92" s="178">
        <f t="shared" si="120"/>
        <v>-140.70759986198118</v>
      </c>
      <c r="EB92" s="249"/>
      <c r="EC92" s="181">
        <f t="shared" si="179"/>
        <v>-301.75483082515166</v>
      </c>
    </row>
    <row r="93" spans="1:135" s="223" customFormat="1" ht="18.75" hidden="1">
      <c r="A93" s="331"/>
      <c r="B93" s="331"/>
      <c r="C93" s="332"/>
      <c r="D93" s="333"/>
      <c r="E93" s="332"/>
      <c r="F93" s="332"/>
      <c r="G93" s="332"/>
      <c r="H93" s="334"/>
      <c r="I93" s="335"/>
      <c r="J93" s="336"/>
      <c r="K93" s="336"/>
      <c r="L93" s="337"/>
      <c r="M93" s="337"/>
      <c r="N93" s="334"/>
      <c r="O93" s="337" t="s">
        <v>209</v>
      </c>
      <c r="P93" s="338"/>
      <c r="Q93" s="362"/>
      <c r="R93" s="338"/>
      <c r="S93" s="338" t="s">
        <v>212</v>
      </c>
      <c r="T93" s="338"/>
      <c r="U93" s="339"/>
      <c r="V93" s="339"/>
      <c r="W93" s="339"/>
      <c r="X93" s="340"/>
      <c r="Y93" s="341"/>
      <c r="Z93" s="341"/>
      <c r="AA93" s="342"/>
      <c r="AB93" s="343"/>
      <c r="AC93" s="344"/>
      <c r="AD93" s="344"/>
      <c r="AE93" s="345">
        <f>AD93*$AC93</f>
        <v>0</v>
      </c>
      <c r="AF93" s="344"/>
      <c r="AG93" s="345">
        <f>AF93*$AC93</f>
        <v>0</v>
      </c>
      <c r="AH93" s="344"/>
      <c r="AI93" s="345">
        <f>AH93*$AC93</f>
        <v>0</v>
      </c>
      <c r="AJ93" s="342"/>
      <c r="AK93" s="345">
        <f>AJ93*$AC93</f>
        <v>0</v>
      </c>
      <c r="AL93" s="342"/>
      <c r="AM93" s="344"/>
      <c r="AN93" s="345">
        <f>AM93*$AC93</f>
        <v>0</v>
      </c>
      <c r="AO93" s="344"/>
      <c r="AP93" s="345">
        <f>AO93*$AC93</f>
        <v>0</v>
      </c>
      <c r="AQ93" s="342"/>
      <c r="AR93" s="345">
        <f>AQ93*$AC93</f>
        <v>0</v>
      </c>
      <c r="AS93" s="342"/>
      <c r="AT93" s="342">
        <f>ROUND(((100-AD93)/(100-AM93)*AQ93),0)</f>
        <v>0</v>
      </c>
      <c r="AU93" s="345">
        <f>AT93*$AC93</f>
        <v>0</v>
      </c>
      <c r="AV93" s="342">
        <f>ROUND(((100-AD93)/(100-AM93)*AO93),2)</f>
        <v>0</v>
      </c>
      <c r="AW93" s="345">
        <f>AV93*$AC93</f>
        <v>0</v>
      </c>
      <c r="AX93" s="344">
        <f>$AD93-$AM93</f>
        <v>0</v>
      </c>
      <c r="AY93" s="345">
        <f>AX93*$AC93</f>
        <v>0</v>
      </c>
      <c r="AZ93" s="346"/>
      <c r="BA93" s="346"/>
      <c r="BB93" s="346"/>
      <c r="BC93" s="154">
        <f t="shared" ref="BC93:BC94" si="382">AZ93+BA93*(1-(AZ93/100))+BB93*(1-(AZ93+BA93)/100)</f>
        <v>0</v>
      </c>
      <c r="BD93" s="348">
        <f>BC93*$CD93</f>
        <v>0</v>
      </c>
      <c r="BE93" s="349"/>
      <c r="BF93" s="350"/>
      <c r="BG93" s="350"/>
      <c r="BH93" s="349"/>
      <c r="BI93" s="351">
        <f>BH93*$BE93</f>
        <v>0</v>
      </c>
      <c r="BJ93" s="349"/>
      <c r="BK93" s="351">
        <f>BJ93*$BE93</f>
        <v>0</v>
      </c>
      <c r="BL93" s="349"/>
      <c r="BM93" s="351">
        <f>BL93*$BE93</f>
        <v>0</v>
      </c>
      <c r="BN93" s="350"/>
      <c r="BO93" s="351">
        <f>BN93*$BE93</f>
        <v>0</v>
      </c>
      <c r="BP93" s="349"/>
      <c r="BQ93" s="349"/>
      <c r="BR93" s="351">
        <f>BQ93*$BE93</f>
        <v>0</v>
      </c>
      <c r="BS93" s="349"/>
      <c r="BT93" s="351">
        <f>BS93*$BE93</f>
        <v>0</v>
      </c>
      <c r="BU93" s="350"/>
      <c r="BV93" s="351">
        <f>BU93*$BE93</f>
        <v>0</v>
      </c>
      <c r="BW93" s="350"/>
      <c r="BX93" s="350">
        <f>ROUND(((100-BH93)/(100-BQ93)*BU93),0)</f>
        <v>0</v>
      </c>
      <c r="BY93" s="351">
        <f>BX93*$BE93</f>
        <v>0</v>
      </c>
      <c r="BZ93" s="350">
        <f>ROUND(((100-BH93)/(100-BQ93)*BS93),2)</f>
        <v>0</v>
      </c>
      <c r="CA93" s="351">
        <f>BZ93*$BE93</f>
        <v>0</v>
      </c>
      <c r="CB93" s="349">
        <f>BH93-BQ93</f>
        <v>0</v>
      </c>
      <c r="CC93" s="351">
        <f>CB93*$BE93</f>
        <v>0</v>
      </c>
      <c r="CD93" s="352"/>
      <c r="CE93" s="353"/>
      <c r="CF93" s="354"/>
      <c r="CG93" s="540"/>
      <c r="CH93" s="355">
        <f>CG93*$CD93</f>
        <v>0</v>
      </c>
      <c r="CI93" s="356"/>
      <c r="CJ93" s="355">
        <f>CI93*$CD93</f>
        <v>0</v>
      </c>
      <c r="CK93" s="357"/>
      <c r="CL93" s="355">
        <f>CK93*$CD93</f>
        <v>0</v>
      </c>
      <c r="CM93" s="356"/>
      <c r="CN93" s="355">
        <f>CM93*$CD93</f>
        <v>0</v>
      </c>
      <c r="CO93" s="358">
        <f>8555.56-(145.56*CK93+94.11*CI93)</f>
        <v>8555.56</v>
      </c>
      <c r="CP93" s="355">
        <f>CO93*$CD93</f>
        <v>0</v>
      </c>
      <c r="CQ93" s="356"/>
      <c r="CR93" s="355">
        <f>CQ93*$CD93</f>
        <v>0</v>
      </c>
      <c r="CS93" s="359">
        <f>((100-CU93)/(100-CK93))*CI93</f>
        <v>0</v>
      </c>
      <c r="CT93" s="355">
        <f>CS93*$CD93</f>
        <v>0</v>
      </c>
      <c r="CU93" s="357"/>
      <c r="CV93" s="355">
        <f>CU93*$CD93</f>
        <v>0</v>
      </c>
      <c r="CW93" s="359">
        <f>((100-CU93)/(100-CK93))*CM93</f>
        <v>0</v>
      </c>
      <c r="CX93" s="355">
        <f>CW93*$CD93</f>
        <v>0</v>
      </c>
      <c r="CY93" s="360">
        <f>((100-CU93)/(100-CK93))*CQ93</f>
        <v>0</v>
      </c>
      <c r="CZ93" s="355">
        <f>CY93*$CD93</f>
        <v>0</v>
      </c>
      <c r="DA93" s="359" t="b">
        <f>IF(CY93&gt;=7000,"G1",IF(CY93&gt;=6700,"G2",IF(CY93&gt;=6400,"G3",IF(CY93&gt;=6100,"G4",IF(CY93&gt;=5800,"G5",IF(CY93&gt;=5500,"G6",IF(CY93&gt;=5200,"G7",IF(CY93&gt;=4900,"G8",IF(CY93&gt;=4600,"G9",IF(CY93&gt;=4300,"G10",IF(CY93&gt;=4000,"G11",IF(CY93&gt;=3700,"G12",IF(CY93&gt;=3400,"G13",IF(CY93&gt;=3100,"G14",IF(CY93&gt;=2800,"G15",IF(CY93&gt;=2500,"G16",IF(CY93&gt;=2200,"G17")))))))))))))))))</f>
        <v>0</v>
      </c>
      <c r="DB93" s="360">
        <f>((100-CG93)/(100-CK93))*CQ93</f>
        <v>0</v>
      </c>
      <c r="DC93" s="361">
        <f>DB93*$CD93</f>
        <v>0</v>
      </c>
      <c r="DD93" s="361"/>
      <c r="DE93" s="361"/>
      <c r="DF93" s="361"/>
      <c r="DG93" s="361"/>
      <c r="DH93" s="172" t="e">
        <f>MID(U93,2,LEN(U93))-MID(DA93,2,LEN(DA93))</f>
        <v>#VALUE!</v>
      </c>
      <c r="DI93" s="173">
        <f t="shared" si="379"/>
        <v>0</v>
      </c>
      <c r="DJ93" s="174" t="e">
        <f t="shared" si="380"/>
        <v>#VALUE!</v>
      </c>
      <c r="DK93" s="175">
        <f>$AQ93-$BU93</f>
        <v>0</v>
      </c>
      <c r="DL93" s="176" t="e">
        <f t="shared" si="381"/>
        <v>#VALUE!</v>
      </c>
      <c r="DM93" s="175" t="e">
        <f t="shared" si="321"/>
        <v>#VALUE!</v>
      </c>
      <c r="DN93" s="177"/>
      <c r="DO93" s="178">
        <f t="shared" si="120"/>
        <v>0</v>
      </c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80"/>
      <c r="EC93" s="181">
        <f t="shared" si="179"/>
        <v>0</v>
      </c>
    </row>
    <row r="94" spans="1:135" s="223" customFormat="1" ht="18.75" hidden="1">
      <c r="A94" s="331"/>
      <c r="B94" s="331"/>
      <c r="C94" s="332"/>
      <c r="D94" s="333"/>
      <c r="E94" s="332"/>
      <c r="F94" s="332"/>
      <c r="G94" s="332"/>
      <c r="H94" s="334"/>
      <c r="I94" s="335"/>
      <c r="J94" s="336"/>
      <c r="K94" s="336"/>
      <c r="L94" s="337"/>
      <c r="M94" s="337"/>
      <c r="N94" s="334"/>
      <c r="O94" s="337" t="s">
        <v>209</v>
      </c>
      <c r="P94" s="338"/>
      <c r="Q94" s="338"/>
      <c r="R94" s="338"/>
      <c r="S94" s="338" t="s">
        <v>212</v>
      </c>
      <c r="T94" s="338"/>
      <c r="U94" s="339"/>
      <c r="V94" s="339"/>
      <c r="W94" s="339"/>
      <c r="X94" s="340"/>
      <c r="Y94" s="341"/>
      <c r="Z94" s="341"/>
      <c r="AA94" s="342"/>
      <c r="AB94" s="343"/>
      <c r="AC94" s="344"/>
      <c r="AD94" s="344"/>
      <c r="AE94" s="345">
        <f>AD94*$AC94</f>
        <v>0</v>
      </c>
      <c r="AF94" s="344"/>
      <c r="AG94" s="345">
        <f>AF94*$AC94</f>
        <v>0</v>
      </c>
      <c r="AH94" s="344"/>
      <c r="AI94" s="345">
        <f>AH94*$AC94</f>
        <v>0</v>
      </c>
      <c r="AJ94" s="342"/>
      <c r="AK94" s="345">
        <f>AJ94*$AC94</f>
        <v>0</v>
      </c>
      <c r="AL94" s="342"/>
      <c r="AM94" s="344"/>
      <c r="AN94" s="345">
        <f>AM94*$AC94</f>
        <v>0</v>
      </c>
      <c r="AO94" s="344"/>
      <c r="AP94" s="345">
        <f>AO94*$AC94</f>
        <v>0</v>
      </c>
      <c r="AQ94" s="342"/>
      <c r="AR94" s="345">
        <f>AQ94*$AC94</f>
        <v>0</v>
      </c>
      <c r="AS94" s="342"/>
      <c r="AT94" s="342">
        <f t="shared" ref="AT94" si="383">ROUND(((100-AD94)/(100-AM94)*AQ94),0)</f>
        <v>0</v>
      </c>
      <c r="AU94" s="345">
        <f>AT94*$AC94</f>
        <v>0</v>
      </c>
      <c r="AV94" s="342">
        <f t="shared" ref="AV94" si="384">ROUND(((100-AD94)/(100-AM94)*AO94),2)</f>
        <v>0</v>
      </c>
      <c r="AW94" s="345">
        <f>AV94*$AC94</f>
        <v>0</v>
      </c>
      <c r="AX94" s="344">
        <f>$AD94-$AM94</f>
        <v>0</v>
      </c>
      <c r="AY94" s="345">
        <f>AX94*$AC94</f>
        <v>0</v>
      </c>
      <c r="AZ94" s="346"/>
      <c r="BA94" s="346"/>
      <c r="BB94" s="346"/>
      <c r="BC94" s="154">
        <f t="shared" si="382"/>
        <v>0</v>
      </c>
      <c r="BD94" s="348">
        <v>0</v>
      </c>
      <c r="BE94" s="349"/>
      <c r="BF94" s="350"/>
      <c r="BG94" s="350"/>
      <c r="BH94" s="349"/>
      <c r="BI94" s="351">
        <f>BH94*$BE94</f>
        <v>0</v>
      </c>
      <c r="BJ94" s="349"/>
      <c r="BK94" s="351">
        <f>BJ94*$BE94</f>
        <v>0</v>
      </c>
      <c r="BL94" s="349"/>
      <c r="BM94" s="351">
        <f>BL94*$BE94</f>
        <v>0</v>
      </c>
      <c r="BN94" s="350"/>
      <c r="BO94" s="351">
        <f>BN94*$BE94</f>
        <v>0</v>
      </c>
      <c r="BP94" s="349"/>
      <c r="BQ94" s="349"/>
      <c r="BR94" s="351">
        <f>BQ94*$BE94</f>
        <v>0</v>
      </c>
      <c r="BS94" s="349"/>
      <c r="BT94" s="351">
        <f>BS94*$BE94</f>
        <v>0</v>
      </c>
      <c r="BU94" s="350"/>
      <c r="BV94" s="351">
        <f>BU94*$BE94</f>
        <v>0</v>
      </c>
      <c r="BW94" s="350"/>
      <c r="BX94" s="350">
        <f>ROUND(((100-BH94)/(100-BQ94)*BU94),0)</f>
        <v>0</v>
      </c>
      <c r="BY94" s="351">
        <f>BX94*$BE94</f>
        <v>0</v>
      </c>
      <c r="BZ94" s="350">
        <f>ROUND(((100-BH94)/(100-BQ94)*BS94),2)</f>
        <v>0</v>
      </c>
      <c r="CA94" s="351">
        <f>BZ94*$BE94</f>
        <v>0</v>
      </c>
      <c r="CB94" s="349">
        <f>BH94-BQ94</f>
        <v>0</v>
      </c>
      <c r="CC94" s="351">
        <f>CB94*$BE94</f>
        <v>0</v>
      </c>
      <c r="CD94" s="352"/>
      <c r="CE94" s="353"/>
      <c r="CF94" s="354"/>
      <c r="CG94" s="540"/>
      <c r="CH94" s="355">
        <f>CG94*$CD94</f>
        <v>0</v>
      </c>
      <c r="CI94" s="356"/>
      <c r="CJ94" s="355">
        <f>CI94*$CD94</f>
        <v>0</v>
      </c>
      <c r="CK94" s="357"/>
      <c r="CL94" s="355">
        <f>CK94*$CD94</f>
        <v>0</v>
      </c>
      <c r="CM94" s="356"/>
      <c r="CN94" s="355">
        <f>CM94*$CD94</f>
        <v>0</v>
      </c>
      <c r="CO94" s="358">
        <f t="shared" ref="CO94" si="385">8555.56-(145.56*CK94+94.11*CI94)</f>
        <v>8555.56</v>
      </c>
      <c r="CP94" s="355">
        <f>CO94*$CD94</f>
        <v>0</v>
      </c>
      <c r="CQ94" s="356"/>
      <c r="CR94" s="355">
        <f>CQ94*$CD94</f>
        <v>0</v>
      </c>
      <c r="CS94" s="359">
        <f t="shared" ref="CS94" si="386">((100-CU94)/(100-CK94))*CI94</f>
        <v>0</v>
      </c>
      <c r="CT94" s="355">
        <f>CS94*$CD94</f>
        <v>0</v>
      </c>
      <c r="CU94" s="357"/>
      <c r="CV94" s="355">
        <f>CU94*$CD94</f>
        <v>0</v>
      </c>
      <c r="CW94" s="359">
        <f t="shared" ref="CW94" si="387">((100-CU94)/(100-CK94))*CM94</f>
        <v>0</v>
      </c>
      <c r="CX94" s="355">
        <f>CW94*$CD94</f>
        <v>0</v>
      </c>
      <c r="CY94" s="360">
        <f t="shared" ref="CY94" si="388">((100-CU94)/(100-CK94))*CQ94</f>
        <v>0</v>
      </c>
      <c r="CZ94" s="355">
        <f>CY94*$CD94</f>
        <v>0</v>
      </c>
      <c r="DA94" s="359" t="b">
        <f>IF(CY94&gt;=7000,"G1",IF(CY94&gt;=6700,"G2",IF(CY94&gt;=6400,"G3",IF(CY94&gt;=6100,"G4",IF(CY94&gt;=5800,"G5",IF(CY94&gt;=5500,"G6",IF(CY94&gt;=5200,"G7",IF(CY94&gt;=4900,"G8",IF(CY94&gt;=4600,"G9",IF(CY94&gt;=4300,"G10",IF(CY94&gt;=4000,"G11",IF(CY94&gt;=3700,"G12",IF(CY94&gt;=3400,"G13",IF(CY94&gt;=3100,"G14",IF(CY94&gt;=2800,"G15",IF(CY94&gt;=2500,"G16",IF(CY94&gt;=2200,"G17")))))))))))))))))</f>
        <v>0</v>
      </c>
      <c r="DB94" s="360">
        <f>((100-CG94)/(100-CK94))*CQ94</f>
        <v>0</v>
      </c>
      <c r="DC94" s="361">
        <f>DB94*$CD94</f>
        <v>0</v>
      </c>
      <c r="DD94" s="361"/>
      <c r="DE94" s="361"/>
      <c r="DF94" s="361"/>
      <c r="DG94" s="361"/>
      <c r="DH94" s="172" t="e">
        <f>MID(#REF!,2,LEN(#REF!))-MID(DA94,2,LEN(DA94))</f>
        <v>#REF!</v>
      </c>
      <c r="DI94" s="173">
        <f t="shared" si="379"/>
        <v>0</v>
      </c>
      <c r="DJ94" s="174" t="e">
        <f>MID(#REF!,2,LEN(#REF!))-MID(BW94,2,LEN(BW94))</f>
        <v>#REF!</v>
      </c>
      <c r="DK94" s="175">
        <f>$AQ94-$BU94</f>
        <v>0</v>
      </c>
      <c r="DL94" s="176" t="e">
        <f>MID(#REF!,2,LEN(#REF!))-MID(BW94,2,LEN(BW94))</f>
        <v>#REF!</v>
      </c>
      <c r="DM94" s="175" t="e">
        <f>MID(#REF!,2,LEN(#REF!))-MID(AS94,2,LEN(AS94))</f>
        <v>#REF!</v>
      </c>
      <c r="DN94" s="177"/>
      <c r="DO94" s="178">
        <f t="shared" si="120"/>
        <v>0</v>
      </c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80"/>
      <c r="EC94" s="181">
        <f t="shared" si="179"/>
        <v>0</v>
      </c>
    </row>
    <row r="95" spans="1:135" s="134" customFormat="1" ht="15.75" hidden="1">
      <c r="A95" s="363" t="s">
        <v>213</v>
      </c>
      <c r="B95" s="318"/>
      <c r="C95" s="318"/>
      <c r="D95" s="318"/>
      <c r="E95" s="318"/>
      <c r="F95" s="318"/>
      <c r="G95" s="318"/>
      <c r="H95" s="317">
        <f>SUM(H93:H93)</f>
        <v>0</v>
      </c>
      <c r="I95" s="317">
        <f>SUM(I93:I93)</f>
        <v>0</v>
      </c>
      <c r="J95" s="317"/>
      <c r="K95" s="317"/>
      <c r="L95" s="318"/>
      <c r="M95" s="318"/>
      <c r="N95" s="317">
        <f>SUM(N93:N93)</f>
        <v>0</v>
      </c>
      <c r="O95" s="318"/>
      <c r="P95" s="318"/>
      <c r="Q95" s="318"/>
      <c r="R95" s="318"/>
      <c r="S95" s="318"/>
      <c r="T95" s="318"/>
      <c r="U95" s="318"/>
      <c r="V95" s="318"/>
      <c r="W95" s="319"/>
      <c r="X95" s="317">
        <f>SUM(X93:X93)</f>
        <v>0</v>
      </c>
      <c r="Y95" s="317">
        <f>SUM(Y94:Y94)</f>
        <v>0</v>
      </c>
      <c r="Z95" s="317"/>
      <c r="AA95" s="318"/>
      <c r="AB95" s="320"/>
      <c r="AC95" s="317">
        <f>SUM(AC94:AC94)</f>
        <v>0</v>
      </c>
      <c r="AD95" s="321" t="e">
        <f>AE95/$AC95</f>
        <v>#DIV/0!</v>
      </c>
      <c r="AE95" s="317">
        <f>SUM(AE93:AE93)</f>
        <v>0</v>
      </c>
      <c r="AF95" s="321" t="e">
        <f>AG95/$AC95</f>
        <v>#DIV/0!</v>
      </c>
      <c r="AG95" s="317">
        <f>SUM(AG93:AG93)</f>
        <v>0</v>
      </c>
      <c r="AH95" s="321" t="e">
        <f>AI95/$AC95</f>
        <v>#DIV/0!</v>
      </c>
      <c r="AI95" s="317">
        <f>SUM(AI93:AI93)</f>
        <v>0</v>
      </c>
      <c r="AJ95" s="321" t="e">
        <f>AK95/$AC95</f>
        <v>#DIV/0!</v>
      </c>
      <c r="AK95" s="317">
        <f>SUM(AK93:AK93)</f>
        <v>0</v>
      </c>
      <c r="AL95" s="318"/>
      <c r="AM95" s="321" t="e">
        <f>AN95/$AC95</f>
        <v>#DIV/0!</v>
      </c>
      <c r="AN95" s="317">
        <f>SUM(AN93:AN93)</f>
        <v>0</v>
      </c>
      <c r="AO95" s="321" t="e">
        <f>AP95/$AC95</f>
        <v>#DIV/0!</v>
      </c>
      <c r="AP95" s="317">
        <f>SUM(AP93:AP93)</f>
        <v>0</v>
      </c>
      <c r="AQ95" s="321" t="e">
        <f>AR95/$AC95</f>
        <v>#DIV/0!</v>
      </c>
      <c r="AR95" s="317">
        <f>SUM(AR93:AR93)</f>
        <v>0</v>
      </c>
      <c r="AS95" s="318"/>
      <c r="AT95" s="321" t="e">
        <f>AU95/$AC95</f>
        <v>#DIV/0!</v>
      </c>
      <c r="AU95" s="317">
        <f>SUM(AU93:AU93)</f>
        <v>0</v>
      </c>
      <c r="AV95" s="321" t="e">
        <f>AW95/$AC95</f>
        <v>#DIV/0!</v>
      </c>
      <c r="AW95" s="317">
        <f>SUM(AW93:AW93)</f>
        <v>0</v>
      </c>
      <c r="AX95" s="321" t="e">
        <f>AY95/$AC95</f>
        <v>#DIV/0!</v>
      </c>
      <c r="AY95" s="317">
        <f>SUM(AY93:AY93)</f>
        <v>0</v>
      </c>
      <c r="AZ95" s="318"/>
      <c r="BA95" s="318"/>
      <c r="BB95" s="318"/>
      <c r="BC95" s="318" t="e">
        <f>BD95/$I95</f>
        <v>#DIV/0!</v>
      </c>
      <c r="BD95" s="317">
        <f>SUM(BD94:BD94)</f>
        <v>0</v>
      </c>
      <c r="BE95" s="317">
        <f>SUM(BE94:BE94)</f>
        <v>0</v>
      </c>
      <c r="BF95" s="318"/>
      <c r="BG95" s="318"/>
      <c r="BH95" s="323" t="e">
        <f>BI95/$BE95</f>
        <v>#DIV/0!</v>
      </c>
      <c r="BI95" s="317">
        <f>SUM(BI94:BI94)</f>
        <v>0</v>
      </c>
      <c r="BJ95" s="323" t="e">
        <f>BK95/$BE95</f>
        <v>#DIV/0!</v>
      </c>
      <c r="BK95" s="317">
        <f>SUM(BK94:BK94)</f>
        <v>0</v>
      </c>
      <c r="BL95" s="323" t="e">
        <f>BM95/$BE95</f>
        <v>#DIV/0!</v>
      </c>
      <c r="BM95" s="317">
        <f>SUM(BM94:BM94)</f>
        <v>0</v>
      </c>
      <c r="BN95" s="323" t="e">
        <f>BO95/$BE95</f>
        <v>#DIV/0!</v>
      </c>
      <c r="BO95" s="317">
        <f>SUM(BO94:BO94)</f>
        <v>0</v>
      </c>
      <c r="BP95" s="318"/>
      <c r="BQ95" s="323" t="e">
        <f>BR95/$BE95</f>
        <v>#DIV/0!</v>
      </c>
      <c r="BR95" s="317">
        <f>SUM(BR94:BR94)</f>
        <v>0</v>
      </c>
      <c r="BS95" s="323" t="e">
        <f>BT95/$BE95</f>
        <v>#DIV/0!</v>
      </c>
      <c r="BT95" s="317">
        <f>SUM(BT94:BT94)</f>
        <v>0</v>
      </c>
      <c r="BU95" s="323" t="e">
        <f>BV95/$BE95</f>
        <v>#DIV/0!</v>
      </c>
      <c r="BV95" s="317">
        <f>SUM(BV94:BV94)</f>
        <v>0</v>
      </c>
      <c r="BW95" s="317" t="e">
        <f t="shared" ref="BW95:BW97" si="389">IF(BU95&gt;=7000,"G1",IF(BU95&gt;=6700,"G2",IF(BU95&gt;=6400,"G3",IF(BU95&gt;=6100,"G4",IF(BU95&gt;=5800,"G5",IF(BU95&gt;=5500,"G6",IF(BU95&gt;=5200,"G7",IF(BU95&gt;=4900,"G8",IF(BU95&gt;=4600,"G9",IF(BU95&gt;=4300,"G10",IF(BU95&gt;=4000,"G11",IF(BU95&gt;=3700,"G12",IF(BU95&gt;=3400,"G13",IF(BU95&gt;=3100,"G14",IF(BU95&gt;=2800,"G15",IF(BU95&gt;=2500,"G16",IF(BU95&gt;=2200,"G17")))))))))))))))))</f>
        <v>#DIV/0!</v>
      </c>
      <c r="BX95" s="323" t="e">
        <f>BY95/$BE95</f>
        <v>#DIV/0!</v>
      </c>
      <c r="BY95" s="317">
        <f>SUM(BY94:BY94)</f>
        <v>0</v>
      </c>
      <c r="BZ95" s="323" t="e">
        <f>CA95/$BE95</f>
        <v>#DIV/0!</v>
      </c>
      <c r="CA95" s="317">
        <f>SUM(CA94:CA94)</f>
        <v>0</v>
      </c>
      <c r="CB95" s="323" t="e">
        <f>CC95/$BE95</f>
        <v>#DIV/0!</v>
      </c>
      <c r="CC95" s="317">
        <f>SUM(CC94:CC94)</f>
        <v>0</v>
      </c>
      <c r="CD95" s="317">
        <f>SUM(CD93:CD93)</f>
        <v>0</v>
      </c>
      <c r="CE95" s="364"/>
      <c r="CF95" s="364"/>
      <c r="CG95" s="317" t="e">
        <f>CH95/$CD95</f>
        <v>#DIV/0!</v>
      </c>
      <c r="CH95" s="317">
        <f>SUM(CH93:CH93)</f>
        <v>0</v>
      </c>
      <c r="CI95" s="323" t="e">
        <f>CJ95/$CD95</f>
        <v>#DIV/0!</v>
      </c>
      <c r="CJ95" s="317">
        <f>SUM(CJ93:CJ93)</f>
        <v>0</v>
      </c>
      <c r="CK95" s="323" t="e">
        <f>CL95/$CD95</f>
        <v>#DIV/0!</v>
      </c>
      <c r="CL95" s="317">
        <f>SUM(CL93:CL93)</f>
        <v>0</v>
      </c>
      <c r="CM95" s="323" t="e">
        <f>CN95/$CD95</f>
        <v>#DIV/0!</v>
      </c>
      <c r="CN95" s="317">
        <f>SUM(CN93:CN93)</f>
        <v>0</v>
      </c>
      <c r="CO95" s="327" t="e">
        <f>CP95/$CD95</f>
        <v>#DIV/0!</v>
      </c>
      <c r="CP95" s="317">
        <f>SUM(CP93:CP93)</f>
        <v>0</v>
      </c>
      <c r="CQ95" s="319" t="e">
        <f t="shared" ref="CQ95:CQ97" si="390">CR95/$CD95</f>
        <v>#DIV/0!</v>
      </c>
      <c r="CR95" s="317">
        <f>SUM(CR93:CR93)</f>
        <v>0</v>
      </c>
      <c r="CS95" s="323" t="e">
        <f>CT95/$CD95</f>
        <v>#DIV/0!</v>
      </c>
      <c r="CT95" s="317">
        <f>SUM(CT93:CT93)</f>
        <v>0</v>
      </c>
      <c r="CU95" s="323" t="e">
        <f>CV95/$CD95</f>
        <v>#DIV/0!</v>
      </c>
      <c r="CV95" s="317">
        <f>SUM(CV93:CV93)</f>
        <v>0</v>
      </c>
      <c r="CW95" s="323" t="e">
        <f t="shared" ref="CW95:CW97" si="391">CX95/$CD95</f>
        <v>#DIV/0!</v>
      </c>
      <c r="CX95" s="317">
        <f>SUM(CX93:CX93)</f>
        <v>0</v>
      </c>
      <c r="CY95" s="319" t="e">
        <f>CZ95/$CD95</f>
        <v>#DIV/0!</v>
      </c>
      <c r="CZ95" s="317">
        <f>SUM(CZ93:CZ93)</f>
        <v>0</v>
      </c>
      <c r="DA95" s="325" t="e">
        <f t="shared" ref="DA95:DA97" si="392">IF(CY95&gt;=7000,"G1",IF(CY95&gt;=6700,"G2",IF(CY95&gt;=6400,"G3",IF(CY95&gt;=6100,"G4",IF(CY95&gt;=5800,"G5",IF(CY95&gt;=5500,"G6",IF(CY95&gt;=5200,"G7",IF(CY95&gt;=4900,"G8",IF(CY95&gt;=4600,"G9",IF(CY95&gt;=4300,"G10",IF(CY95&gt;=4000,"G11",IF(CY95&gt;=3700,"G12",IF(CY95&gt;=3400,"G13",IF(CY95&gt;=3100,"G14",IF(CY95&gt;=2800,"G15",IF(CY95&gt;=2500,"G16",IF(CY95&gt;=2200,"G17")))))))))))))))))</f>
        <v>#DIV/0!</v>
      </c>
      <c r="DB95" s="319" t="e">
        <f>DC95/$CD95</f>
        <v>#DIV/0!</v>
      </c>
      <c r="DC95" s="377">
        <f>SUM(DC93:DC93)</f>
        <v>0</v>
      </c>
      <c r="DD95" s="328" t="e">
        <f>DE95/CD95</f>
        <v>#DIV/0!</v>
      </c>
      <c r="DE95" s="377">
        <f>SUM(DE93:DE93)</f>
        <v>0</v>
      </c>
      <c r="DF95" s="328" t="e">
        <f>DG95/CD95</f>
        <v>#DIV/0!</v>
      </c>
      <c r="DG95" s="377">
        <f>SUM(DG93:DG93)</f>
        <v>0</v>
      </c>
      <c r="DH95" s="329"/>
      <c r="DI95" s="246" t="e">
        <f t="shared" si="379"/>
        <v>#DIV/0!</v>
      </c>
      <c r="DJ95" s="248"/>
      <c r="DK95" s="248"/>
      <c r="DL95" s="248"/>
      <c r="DM95" s="248"/>
      <c r="DN95" s="240"/>
      <c r="DO95" s="178" t="e">
        <f t="shared" si="120"/>
        <v>#DIV/0!</v>
      </c>
      <c r="EB95" s="249"/>
      <c r="EC95" s="181" t="e">
        <f t="shared" si="179"/>
        <v>#DIV/0!</v>
      </c>
    </row>
    <row r="96" spans="1:135" s="375" customFormat="1" ht="15.75" hidden="1">
      <c r="A96" s="365" t="s">
        <v>214</v>
      </c>
      <c r="B96" s="366"/>
      <c r="C96" s="366"/>
      <c r="D96" s="366"/>
      <c r="E96" s="366"/>
      <c r="F96" s="366"/>
      <c r="G96" s="366"/>
      <c r="H96" s="367">
        <f>H95+H92</f>
        <v>7252.95</v>
      </c>
      <c r="I96" s="367">
        <f>I95+I92</f>
        <v>7252.95</v>
      </c>
      <c r="J96" s="367"/>
      <c r="K96" s="367"/>
      <c r="L96" s="366"/>
      <c r="M96" s="366"/>
      <c r="N96" s="367">
        <f>N95+N92</f>
        <v>7252.95</v>
      </c>
      <c r="O96" s="366"/>
      <c r="P96" s="366"/>
      <c r="Q96" s="366"/>
      <c r="R96" s="366"/>
      <c r="S96" s="366"/>
      <c r="T96" s="366"/>
      <c r="U96" s="366"/>
      <c r="V96" s="366"/>
      <c r="W96" s="368"/>
      <c r="X96" s="367">
        <f>X95+X92</f>
        <v>7268.92</v>
      </c>
      <c r="Y96" s="367">
        <f>SUM(Y93:Y93)</f>
        <v>0</v>
      </c>
      <c r="Z96" s="367"/>
      <c r="AA96" s="366"/>
      <c r="AB96" s="369"/>
      <c r="AC96" s="367">
        <f>AC95+AC92</f>
        <v>0</v>
      </c>
      <c r="AD96" s="370" t="e">
        <f>AE96/$AC96</f>
        <v>#DIV/0!</v>
      </c>
      <c r="AE96" s="367">
        <f>AE95+AE92</f>
        <v>0</v>
      </c>
      <c r="AF96" s="370" t="e">
        <f>AG96/$AC96</f>
        <v>#DIV/0!</v>
      </c>
      <c r="AG96" s="367">
        <f>AG95+AG92</f>
        <v>0</v>
      </c>
      <c r="AH96" s="370" t="e">
        <f>AI96/$AC96</f>
        <v>#DIV/0!</v>
      </c>
      <c r="AI96" s="367">
        <f>AI95+AI92</f>
        <v>0</v>
      </c>
      <c r="AJ96" s="370" t="e">
        <f>AK96/$AC96</f>
        <v>#DIV/0!</v>
      </c>
      <c r="AK96" s="367">
        <f>AK95+AK92</f>
        <v>0</v>
      </c>
      <c r="AL96" s="366"/>
      <c r="AM96" s="370" t="e">
        <f>AN96/$AC96</f>
        <v>#DIV/0!</v>
      </c>
      <c r="AN96" s="367">
        <f>AN95+AN92</f>
        <v>0</v>
      </c>
      <c r="AO96" s="370" t="e">
        <f>AP96/$AC96</f>
        <v>#DIV/0!</v>
      </c>
      <c r="AP96" s="367">
        <f>AP95+AP92</f>
        <v>0</v>
      </c>
      <c r="AQ96" s="370" t="e">
        <f>AR96/$AC96</f>
        <v>#DIV/0!</v>
      </c>
      <c r="AR96" s="367">
        <f>AR95+AR92</f>
        <v>32275627.5</v>
      </c>
      <c r="AS96" s="366"/>
      <c r="AT96" s="370" t="e">
        <f>AU96/$AC96</f>
        <v>#DIV/0!</v>
      </c>
      <c r="AU96" s="367">
        <f>AU95+AU92</f>
        <v>0</v>
      </c>
      <c r="AV96" s="370" t="e">
        <f>AW96/$AC96</f>
        <v>#DIV/0!</v>
      </c>
      <c r="AW96" s="367">
        <f>AW95+AW92</f>
        <v>0</v>
      </c>
      <c r="AX96" s="370" t="e">
        <f>AY96/$AC96</f>
        <v>#DIV/0!</v>
      </c>
      <c r="AY96" s="367">
        <f>AY95+AY92</f>
        <v>0</v>
      </c>
      <c r="AZ96" s="366"/>
      <c r="BA96" s="366"/>
      <c r="BB96" s="366"/>
      <c r="BC96" s="366">
        <f>BD96/$I96</f>
        <v>0</v>
      </c>
      <c r="BD96" s="367">
        <f>SUM(BD93:BD93)</f>
        <v>0</v>
      </c>
      <c r="BE96" s="367">
        <f>BE95+BE92</f>
        <v>7252.95</v>
      </c>
      <c r="BF96" s="366"/>
      <c r="BG96" s="366"/>
      <c r="BH96" s="371">
        <f>BI96/$BE96</f>
        <v>13.939823382209998</v>
      </c>
      <c r="BI96" s="367">
        <f>BI95+BI92</f>
        <v>101104.842</v>
      </c>
      <c r="BJ96" s="371">
        <f>BK96/$BE96</f>
        <v>7.6401766177900035</v>
      </c>
      <c r="BK96" s="367">
        <f>BK95+BK92</f>
        <v>55413.819000000003</v>
      </c>
      <c r="BL96" s="371">
        <f>BM96/$BE96</f>
        <v>31.385558359012538</v>
      </c>
      <c r="BM96" s="367">
        <f>BM95+BM92</f>
        <v>227637.88549999997</v>
      </c>
      <c r="BN96" s="371">
        <f>BO96/$BE96</f>
        <v>4387.0738251332214</v>
      </c>
      <c r="BO96" s="367">
        <f>BO95+BO92</f>
        <v>31819227.099999998</v>
      </c>
      <c r="BP96" s="366"/>
      <c r="BQ96" s="371">
        <f>BR96/$BE96</f>
        <v>6.8877161017241271</v>
      </c>
      <c r="BR96" s="367">
        <f>BR95+BR92</f>
        <v>49956.260500000004</v>
      </c>
      <c r="BS96" s="371">
        <f>BT96/$BE96</f>
        <v>31.642309129388735</v>
      </c>
      <c r="BT96" s="367">
        <f>BT95+BT92</f>
        <v>229500.08600000001</v>
      </c>
      <c r="BU96" s="371">
        <f>BV96/$BE96</f>
        <v>4422.3072611833804</v>
      </c>
      <c r="BV96" s="367">
        <f>BV95+BV92</f>
        <v>32074773.449999999</v>
      </c>
      <c r="BW96" s="367" t="str">
        <f t="shared" si="389"/>
        <v>G10</v>
      </c>
      <c r="BX96" s="371">
        <f>BY96/$BE96</f>
        <v>4087.3148305172381</v>
      </c>
      <c r="BY96" s="367">
        <f>BY95+BY92</f>
        <v>29645090.100000001</v>
      </c>
      <c r="BZ96" s="371">
        <f>CA96/$BE96</f>
        <v>29.249009437539208</v>
      </c>
      <c r="CA96" s="367">
        <f>CA95+CA92</f>
        <v>212141.603</v>
      </c>
      <c r="CB96" s="371">
        <f>CC96/$BE96</f>
        <v>3.2335146388710796</v>
      </c>
      <c r="CC96" s="367">
        <f>CC95+CC92</f>
        <v>23452.519999999997</v>
      </c>
      <c r="CD96" s="367">
        <f>CD95+CD92</f>
        <v>7252.95</v>
      </c>
      <c r="CE96" s="372"/>
      <c r="CF96" s="372"/>
      <c r="CG96" s="367">
        <f>CH96/$CD96</f>
        <v>14.335958199353364</v>
      </c>
      <c r="CH96" s="367">
        <f>CH95+CH92</f>
        <v>103977.98802199998</v>
      </c>
      <c r="CI96" s="371">
        <f>CJ96/$CD96</f>
        <v>29.447924499686337</v>
      </c>
      <c r="CJ96" s="367">
        <f>CJ95+CJ92</f>
        <v>213584.32400000002</v>
      </c>
      <c r="CK96" s="371">
        <f>CL96/$CD96</f>
        <v>6.1446182587774629</v>
      </c>
      <c r="CL96" s="367">
        <f>CL95+CL92</f>
        <v>44566.608999999997</v>
      </c>
      <c r="CM96" s="371">
        <f>CN96/$CD96</f>
        <v>29.634611709718119</v>
      </c>
      <c r="CN96" s="367">
        <f>CN95+CN92</f>
        <v>214938.35700000002</v>
      </c>
      <c r="CO96" s="368">
        <f>CP96/$CD96</f>
        <v>4889.8051915868718</v>
      </c>
      <c r="CP96" s="367">
        <f>CP95+CP92</f>
        <v>35465512.564319998</v>
      </c>
      <c r="CQ96" s="368">
        <f t="shared" si="390"/>
        <v>4630.5198574373189</v>
      </c>
      <c r="CR96" s="367">
        <f>CR95+CR92</f>
        <v>33584929</v>
      </c>
      <c r="CS96" s="371">
        <f>CT96/$CD96</f>
        <v>30.039661244202229</v>
      </c>
      <c r="CT96" s="367">
        <f>CT95+CT92</f>
        <v>217876.16102113656</v>
      </c>
      <c r="CU96" s="371">
        <f>CV96/$CD96</f>
        <v>4.2523343605015889</v>
      </c>
      <c r="CV96" s="367">
        <f>CV95+CV92</f>
        <v>30841.968499999999</v>
      </c>
      <c r="CW96" s="371">
        <f t="shared" si="391"/>
        <v>30.235002236653038</v>
      </c>
      <c r="CX96" s="367">
        <f>CX95+CX92</f>
        <v>219292.95947233264</v>
      </c>
      <c r="CY96" s="368">
        <f>CZ96/$CD96</f>
        <v>4724.0620920085321</v>
      </c>
      <c r="CZ96" s="367">
        <f>CZ95+CZ92</f>
        <v>34263386.150233284</v>
      </c>
      <c r="DA96" s="373" t="str">
        <f t="shared" si="392"/>
        <v>G9</v>
      </c>
      <c r="DB96" s="368">
        <f>DC96/$CD96</f>
        <v>4228.0224303792193</v>
      </c>
      <c r="DC96" s="367">
        <f>DC95+DC92</f>
        <v>30665635.286418959</v>
      </c>
      <c r="DD96" s="328">
        <f>DE96/CD96</f>
        <v>26.860091460362799</v>
      </c>
      <c r="DE96" s="367">
        <f>DE95+DE92</f>
        <v>194814.90035743837</v>
      </c>
      <c r="DF96" s="328">
        <f>DG96/CD96</f>
        <v>10.083623838851777</v>
      </c>
      <c r="DG96" s="367">
        <f>DG95+DG92</f>
        <v>73136.019521999988</v>
      </c>
      <c r="DH96" s="198"/>
      <c r="DI96" s="374">
        <f t="shared" si="379"/>
        <v>301.75483082515166</v>
      </c>
      <c r="DN96" s="197"/>
      <c r="DO96" s="178">
        <f t="shared" si="120"/>
        <v>-140.70759986198118</v>
      </c>
      <c r="EC96" s="181">
        <f t="shared" si="179"/>
        <v>-301.75483082515166</v>
      </c>
    </row>
    <row r="97" spans="1:133" s="315" customFormat="1" ht="17.45" customHeight="1">
      <c r="A97" s="527" t="s">
        <v>215</v>
      </c>
      <c r="B97" s="527"/>
      <c r="C97" s="527"/>
      <c r="D97" s="527"/>
      <c r="E97" s="527"/>
      <c r="F97" s="527"/>
      <c r="G97" s="527"/>
      <c r="H97" s="528">
        <f>H79+H87+H96</f>
        <v>261963</v>
      </c>
      <c r="I97" s="528">
        <f>I79+I87+I96</f>
        <v>261713</v>
      </c>
      <c r="J97" s="529"/>
      <c r="K97" s="527"/>
      <c r="L97" s="528">
        <f>L79+L87+L96</f>
        <v>0</v>
      </c>
      <c r="M97" s="527"/>
      <c r="N97" s="528">
        <f>N79+N87+N96</f>
        <v>261963</v>
      </c>
      <c r="O97" s="527"/>
      <c r="P97" s="527"/>
      <c r="Q97" s="527"/>
      <c r="R97" s="527"/>
      <c r="S97" s="527"/>
      <c r="T97" s="527"/>
      <c r="U97" s="527"/>
      <c r="V97" s="527"/>
      <c r="W97" s="530" t="e">
        <f>(W87*I87+W79*I79+W96*I96)/I97</f>
        <v>#VALUE!</v>
      </c>
      <c r="X97" s="528">
        <f>X79+X87+X96</f>
        <v>268130.26</v>
      </c>
      <c r="Y97" s="528">
        <f>Y79+Y87+Y95</f>
        <v>0</v>
      </c>
      <c r="Z97" s="528"/>
      <c r="AA97" s="527"/>
      <c r="AB97" s="531"/>
      <c r="AC97" s="528">
        <f>AC79+AC87+AC96</f>
        <v>95543.75</v>
      </c>
      <c r="AD97" s="528">
        <f>AE97/$AC97</f>
        <v>11.693285521030941</v>
      </c>
      <c r="AE97" s="528">
        <f>AE79+AE87+AE96</f>
        <v>1117220.3484999998</v>
      </c>
      <c r="AF97" s="528" t="e">
        <f>AG97/$AC97</f>
        <v>#REF!</v>
      </c>
      <c r="AG97" s="528" t="e">
        <f>AG79+AG87+AG96</f>
        <v>#REF!</v>
      </c>
      <c r="AH97" s="528" t="e">
        <f>AI97/$AC97</f>
        <v>#REF!</v>
      </c>
      <c r="AI97" s="528" t="e">
        <f>AI79+AI87+AI96</f>
        <v>#REF!</v>
      </c>
      <c r="AJ97" s="528" t="e">
        <f>AK97/$AC97</f>
        <v>#REF!</v>
      </c>
      <c r="AK97" s="528" t="e">
        <f>AK79+AK87+AK96</f>
        <v>#REF!</v>
      </c>
      <c r="AL97" s="527"/>
      <c r="AM97" s="528" t="e">
        <f>AN97/$AC97</f>
        <v>#REF!</v>
      </c>
      <c r="AN97" s="528" t="e">
        <f>AN79+AN87+AN96</f>
        <v>#REF!</v>
      </c>
      <c r="AO97" s="528">
        <f>AP97/$AC97</f>
        <v>38.683490399947672</v>
      </c>
      <c r="AP97" s="528">
        <f>AP79+AP87+AP96</f>
        <v>3695965.7359000002</v>
      </c>
      <c r="AQ97" s="532">
        <f>AR97/$I97</f>
        <v>3910.1909657907709</v>
      </c>
      <c r="AR97" s="528">
        <f>AR79+AR87+AR96</f>
        <v>1023347808.23</v>
      </c>
      <c r="AS97" s="527"/>
      <c r="AT97" s="532">
        <f>AU97/$AC97</f>
        <v>3602.0528020932829</v>
      </c>
      <c r="AU97" s="528">
        <f>AU79+AU87+AU96</f>
        <v>344153632.41000009</v>
      </c>
      <c r="AV97" s="528" t="e">
        <f>AW97/$AC97</f>
        <v>#REF!</v>
      </c>
      <c r="AW97" s="528" t="e">
        <f>AW79+AW87+AW96</f>
        <v>#REF!</v>
      </c>
      <c r="AX97" s="528">
        <f>AY97/$AC97</f>
        <v>4.1842113921632755</v>
      </c>
      <c r="AY97" s="528">
        <f>AY79+AY87+AY96</f>
        <v>399775.24719999998</v>
      </c>
      <c r="AZ97" s="527"/>
      <c r="BA97" s="527"/>
      <c r="BB97" s="527"/>
      <c r="BC97" s="529" t="e">
        <f>BD97/$I97</f>
        <v>#REF!</v>
      </c>
      <c r="BD97" s="528" t="e">
        <f>BD79+BD87+BD96</f>
        <v>#REF!</v>
      </c>
      <c r="BE97" s="528">
        <f>BE79+BE87+BE96</f>
        <v>209752.6</v>
      </c>
      <c r="BF97" s="527"/>
      <c r="BG97" s="527"/>
      <c r="BH97" s="528">
        <f>BI97/$BE97</f>
        <v>12.170620445105333</v>
      </c>
      <c r="BI97" s="528">
        <f>BI79+BI87+BI96</f>
        <v>2552819.2819740009</v>
      </c>
      <c r="BJ97" s="528">
        <f>BK97/$BE97</f>
        <v>7.1519480116098677</v>
      </c>
      <c r="BK97" s="528">
        <f>BK79+BK87+BK96</f>
        <v>1500139.6905</v>
      </c>
      <c r="BL97" s="528">
        <f>BM97/$BE97</f>
        <v>42.602739875453274</v>
      </c>
      <c r="BM97" s="528">
        <f>BM79+BM87+BM96</f>
        <v>8936035.4560000002</v>
      </c>
      <c r="BN97" s="532">
        <f>BO97/$BE97</f>
        <v>3355.1620499579026</v>
      </c>
      <c r="BO97" s="528">
        <f>BO79+BO87+BO96</f>
        <v>703753963.39999998</v>
      </c>
      <c r="BP97" s="527"/>
      <c r="BQ97" s="528">
        <f>BR97/$BE97</f>
        <v>6.651986003987556</v>
      </c>
      <c r="BR97" s="528">
        <f>BR79+BR87+BR96</f>
        <v>1395271.3595000003</v>
      </c>
      <c r="BS97" s="528">
        <f>BT97/$BE97</f>
        <v>43.658360068003923</v>
      </c>
      <c r="BT97" s="528">
        <f>BT79+BT87+BT96</f>
        <v>9157454.5360000003</v>
      </c>
      <c r="BU97" s="532">
        <f>BV97/$I97</f>
        <v>3384.7637648569016</v>
      </c>
      <c r="BV97" s="528">
        <f>BV79+BV87+BV96</f>
        <v>885836679.19199431</v>
      </c>
      <c r="BW97" s="528" t="str">
        <f t="shared" si="389"/>
        <v>G14</v>
      </c>
      <c r="BX97" s="532">
        <f>BY97/$I97</f>
        <v>3155.0936895303339</v>
      </c>
      <c r="BY97" s="528">
        <f>BY79+BY87+BY96</f>
        <v>825729034.76805222</v>
      </c>
      <c r="BZ97" s="528">
        <f>CA97/$BE97</f>
        <v>40.97554900392177</v>
      </c>
      <c r="CA97" s="528">
        <f>CA79+CA87+CA96</f>
        <v>8594727.9400000013</v>
      </c>
      <c r="CB97" s="528">
        <f>CC97/$BE97</f>
        <v>5.4688887144855416</v>
      </c>
      <c r="CC97" s="528">
        <f>CC79+CC87+CC96</f>
        <v>1147113.6269740001</v>
      </c>
      <c r="CD97" s="528">
        <f>CD79+CD87+CD96</f>
        <v>261963</v>
      </c>
      <c r="CE97" s="533"/>
      <c r="CF97" s="533"/>
      <c r="CG97" s="317" t="e">
        <f>CH97/$CD97</f>
        <v>#REF!</v>
      </c>
      <c r="CH97" s="528" t="e">
        <f>CH79+CH87+CH96</f>
        <v>#REF!</v>
      </c>
      <c r="CI97" s="323">
        <f>CJ97/$CD97</f>
        <v>44.168501219637889</v>
      </c>
      <c r="CJ97" s="528">
        <f>CJ79+CJ87+CJ96</f>
        <v>11570513.085000001</v>
      </c>
      <c r="CK97" s="323">
        <f>CL97/$CD97</f>
        <v>5.034802424388177</v>
      </c>
      <c r="CL97" s="528">
        <f>CL79+CL87+CL96</f>
        <v>1318931.9475</v>
      </c>
      <c r="CM97" s="323">
        <f>CN97/$CD97</f>
        <v>24.770830834888894</v>
      </c>
      <c r="CN97" s="528">
        <f>CN79+CN87+CN96</f>
        <v>6489041.1579999998</v>
      </c>
      <c r="CO97" s="327">
        <f>CP97/$CD97</f>
        <v>3665.9965093259361</v>
      </c>
      <c r="CP97" s="528">
        <f>CP79+CP87+CP96</f>
        <v>960355443.57255018</v>
      </c>
      <c r="CQ97" s="319">
        <f t="shared" si="390"/>
        <v>3468.8866545657206</v>
      </c>
      <c r="CR97" s="528">
        <f>CR79+CR87+CR96</f>
        <v>908719954.68999982</v>
      </c>
      <c r="CS97" s="323">
        <f>CT97/$CD97</f>
        <v>44.415700676303182</v>
      </c>
      <c r="CT97" s="528">
        <f>CT79+CT87+CT96</f>
        <v>11635270.196266411</v>
      </c>
      <c r="CU97" s="323" t="e">
        <f>CV97/$CD97</f>
        <v>#REF!</v>
      </c>
      <c r="CV97" s="528" t="e">
        <f>CV79+CV87+CV96</f>
        <v>#REF!</v>
      </c>
      <c r="CW97" s="323" t="e">
        <f t="shared" si="391"/>
        <v>#REF!</v>
      </c>
      <c r="CX97" s="528" t="e">
        <f>CX79+CX87+CX96</f>
        <v>#REF!</v>
      </c>
      <c r="CY97" s="319" t="e">
        <f>CZ97/$CD97</f>
        <v>#REF!</v>
      </c>
      <c r="CZ97" s="528" t="e">
        <f>CZ79+CZ87+CZ96</f>
        <v>#REF!</v>
      </c>
      <c r="DA97" s="534" t="e">
        <f t="shared" si="392"/>
        <v>#REF!</v>
      </c>
      <c r="DB97" s="319" t="e">
        <f>DC97/$CD97</f>
        <v>#REF!</v>
      </c>
      <c r="DC97" s="528" t="e">
        <f>DC79+DC87+DC96</f>
        <v>#REF!</v>
      </c>
      <c r="DD97" s="328">
        <f>DE97/CD97</f>
        <v>40.702644365111148</v>
      </c>
      <c r="DE97" s="528">
        <f>DE79+DE87+DE96</f>
        <v>10662586.825817611</v>
      </c>
      <c r="DF97" s="328">
        <f>DG97/CD97</f>
        <v>8.0583738828334521</v>
      </c>
      <c r="DG97" s="528">
        <f>DG79+DG87+DG96</f>
        <v>2110995.7974686995</v>
      </c>
      <c r="DH97" s="251"/>
      <c r="DI97" s="251"/>
      <c r="DJ97" s="251"/>
      <c r="DK97" s="251"/>
      <c r="DL97" s="251"/>
      <c r="DM97" s="251"/>
      <c r="DN97" s="535"/>
      <c r="DO97" s="178" t="e">
        <f t="shared" si="120"/>
        <v>#REF!</v>
      </c>
      <c r="EB97" s="249"/>
      <c r="EC97" s="181" t="e">
        <f t="shared" si="179"/>
        <v>#REF!</v>
      </c>
    </row>
    <row r="98" spans="1:133" s="223" customFormat="1" ht="18.75" hidden="1">
      <c r="A98" s="331"/>
      <c r="B98" s="331"/>
      <c r="C98" s="332"/>
      <c r="D98" s="333"/>
      <c r="E98" s="332"/>
      <c r="F98" s="332"/>
      <c r="G98" s="332"/>
      <c r="H98" s="332"/>
      <c r="I98" s="335"/>
      <c r="J98" s="336"/>
      <c r="K98" s="336"/>
      <c r="L98" s="337"/>
      <c r="M98" s="337"/>
      <c r="N98" s="334"/>
      <c r="O98" s="337"/>
      <c r="P98" s="338"/>
      <c r="Q98" s="338"/>
      <c r="R98" s="338"/>
      <c r="S98" s="338"/>
      <c r="T98" s="338"/>
      <c r="U98" s="376"/>
      <c r="V98" s="376"/>
      <c r="W98" s="376"/>
      <c r="X98" s="340"/>
      <c r="Y98" s="341"/>
      <c r="Z98" s="341"/>
      <c r="AA98" s="342"/>
      <c r="AB98" s="343"/>
      <c r="AC98" s="344"/>
      <c r="AD98" s="344"/>
      <c r="AE98" s="345"/>
      <c r="AF98" s="344"/>
      <c r="AG98" s="345"/>
      <c r="AH98" s="344"/>
      <c r="AI98" s="345"/>
      <c r="AJ98" s="342"/>
      <c r="AK98" s="345"/>
      <c r="AL98" s="342"/>
      <c r="AM98" s="344"/>
      <c r="AN98" s="345"/>
      <c r="AO98" s="344"/>
      <c r="AP98" s="345"/>
      <c r="AQ98" s="342"/>
      <c r="AR98" s="345"/>
      <c r="AS98" s="342"/>
      <c r="AT98" s="342"/>
      <c r="AU98" s="345"/>
      <c r="AV98" s="342"/>
      <c r="AW98" s="345"/>
      <c r="AX98" s="344"/>
      <c r="AY98" s="345"/>
      <c r="AZ98" s="346"/>
      <c r="BA98" s="346"/>
      <c r="BB98" s="346"/>
      <c r="BC98" s="347"/>
      <c r="BD98" s="348"/>
      <c r="BE98" s="349"/>
      <c r="BF98" s="350"/>
      <c r="BG98" s="350"/>
      <c r="BH98" s="349"/>
      <c r="BI98" s="351">
        <f t="shared" ref="BI98:BI99" si="393">BH98*$BE98</f>
        <v>0</v>
      </c>
      <c r="BJ98" s="349"/>
      <c r="BK98" s="351">
        <f t="shared" ref="BK98:BK99" si="394">BJ98*$BE98</f>
        <v>0</v>
      </c>
      <c r="BL98" s="349"/>
      <c r="BM98" s="351">
        <f t="shared" ref="BM98:BM99" si="395">BL98*$BE98</f>
        <v>0</v>
      </c>
      <c r="BN98" s="350"/>
      <c r="BO98" s="351">
        <f t="shared" ref="BO98:BO99" si="396">BN98*$BE98</f>
        <v>0</v>
      </c>
      <c r="BP98" s="349"/>
      <c r="BQ98" s="349"/>
      <c r="BR98" s="351">
        <f t="shared" ref="BR98:BR99" si="397">BQ98*$BE98</f>
        <v>0</v>
      </c>
      <c r="BS98" s="349"/>
      <c r="BT98" s="351">
        <f t="shared" ref="BT98:BT99" si="398">BS98*$BE98</f>
        <v>0</v>
      </c>
      <c r="BU98" s="350"/>
      <c r="BV98" s="351">
        <f t="shared" ref="BV98:BV99" si="399">BU98*$BE98</f>
        <v>0</v>
      </c>
      <c r="BW98" s="350"/>
      <c r="BX98" s="350">
        <f>ROUND(((100-BH98)/(100-BQ98)*BU98),0)</f>
        <v>0</v>
      </c>
      <c r="BY98" s="351">
        <f t="shared" ref="BY98:BY99" si="400">BX98*$BE98</f>
        <v>0</v>
      </c>
      <c r="BZ98" s="350">
        <f>ROUND(((100-BH98)/(100-BQ98)*BS98),2)</f>
        <v>0</v>
      </c>
      <c r="CA98" s="351">
        <f t="shared" ref="CA98:CA99" si="401">BZ98*$BE98</f>
        <v>0</v>
      </c>
      <c r="CB98" s="349">
        <f>BH98-BQ98</f>
        <v>0</v>
      </c>
      <c r="CC98" s="351">
        <f t="shared" ref="CC98:CC99" si="402">CB98*$BE98</f>
        <v>0</v>
      </c>
      <c r="CD98" s="317"/>
      <c r="CE98" s="318"/>
      <c r="CF98" s="318"/>
      <c r="CG98" s="323"/>
      <c r="CH98" s="317"/>
      <c r="CI98" s="323"/>
      <c r="CJ98" s="317"/>
      <c r="CK98" s="323"/>
      <c r="CL98" s="317"/>
      <c r="CM98" s="323"/>
      <c r="CN98" s="317"/>
      <c r="CO98" s="319"/>
      <c r="CP98" s="317"/>
      <c r="CQ98" s="323"/>
      <c r="CR98" s="317"/>
      <c r="CS98" s="323"/>
      <c r="CT98" s="317"/>
      <c r="CU98" s="323"/>
      <c r="CV98" s="317"/>
      <c r="CW98" s="323"/>
      <c r="CX98" s="317"/>
      <c r="CY98" s="319"/>
      <c r="CZ98" s="317"/>
      <c r="DA98" s="319"/>
      <c r="DB98" s="319"/>
      <c r="DC98" s="377"/>
      <c r="DD98" s="377"/>
      <c r="DE98" s="377"/>
      <c r="DF98" s="377"/>
      <c r="DG98" s="377"/>
      <c r="DH98" s="329"/>
      <c r="DI98" s="246"/>
      <c r="DJ98" s="247"/>
      <c r="DK98" s="330"/>
      <c r="DL98" s="176"/>
      <c r="DM98" s="175"/>
      <c r="DN98" s="177"/>
      <c r="DO98" s="178">
        <f t="shared" si="120"/>
        <v>0</v>
      </c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80"/>
      <c r="EC98" s="181">
        <f t="shared" si="179"/>
        <v>0</v>
      </c>
    </row>
    <row r="99" spans="1:133" s="248" customFormat="1" ht="18.75" hidden="1">
      <c r="A99" s="331"/>
      <c r="B99" s="331"/>
      <c r="C99" s="332"/>
      <c r="D99" s="333"/>
      <c r="E99" s="332"/>
      <c r="F99" s="332"/>
      <c r="G99" s="332"/>
      <c r="H99" s="332"/>
      <c r="I99" s="335"/>
      <c r="J99" s="336"/>
      <c r="K99" s="336"/>
      <c r="L99" s="337"/>
      <c r="M99" s="337"/>
      <c r="N99" s="334"/>
      <c r="O99" s="337"/>
      <c r="P99" s="338"/>
      <c r="Q99" s="338"/>
      <c r="R99" s="338"/>
      <c r="S99" s="338"/>
      <c r="T99" s="338"/>
      <c r="U99" s="376"/>
      <c r="V99" s="376"/>
      <c r="W99" s="376"/>
      <c r="X99" s="340"/>
      <c r="Y99" s="341"/>
      <c r="Z99" s="341"/>
      <c r="AA99" s="342"/>
      <c r="AB99" s="343"/>
      <c r="AC99" s="344"/>
      <c r="AD99" s="344"/>
      <c r="AE99" s="345"/>
      <c r="AF99" s="344"/>
      <c r="AG99" s="345"/>
      <c r="AH99" s="344"/>
      <c r="AI99" s="345"/>
      <c r="AJ99" s="342"/>
      <c r="AK99" s="345"/>
      <c r="AL99" s="342"/>
      <c r="AM99" s="344"/>
      <c r="AN99" s="345"/>
      <c r="AO99" s="344"/>
      <c r="AP99" s="345"/>
      <c r="AQ99" s="342"/>
      <c r="AR99" s="345"/>
      <c r="AS99" s="342"/>
      <c r="AT99" s="342"/>
      <c r="AU99" s="345"/>
      <c r="AV99" s="342"/>
      <c r="AW99" s="345"/>
      <c r="AX99" s="344"/>
      <c r="AY99" s="345"/>
      <c r="AZ99" s="346"/>
      <c r="BA99" s="346"/>
      <c r="BB99" s="346"/>
      <c r="BC99" s="347"/>
      <c r="BD99" s="348"/>
      <c r="BE99" s="349"/>
      <c r="BF99" s="350"/>
      <c r="BG99" s="350"/>
      <c r="BH99" s="349"/>
      <c r="BI99" s="351">
        <f t="shared" si="393"/>
        <v>0</v>
      </c>
      <c r="BJ99" s="349"/>
      <c r="BK99" s="351">
        <f t="shared" si="394"/>
        <v>0</v>
      </c>
      <c r="BL99" s="349"/>
      <c r="BM99" s="351">
        <f t="shared" si="395"/>
        <v>0</v>
      </c>
      <c r="BN99" s="350"/>
      <c r="BO99" s="351">
        <f t="shared" si="396"/>
        <v>0</v>
      </c>
      <c r="BP99" s="349"/>
      <c r="BQ99" s="349"/>
      <c r="BR99" s="351">
        <f t="shared" si="397"/>
        <v>0</v>
      </c>
      <c r="BS99" s="349"/>
      <c r="BT99" s="351">
        <f t="shared" si="398"/>
        <v>0</v>
      </c>
      <c r="BU99" s="350"/>
      <c r="BV99" s="351">
        <f t="shared" si="399"/>
        <v>0</v>
      </c>
      <c r="BW99" s="350"/>
      <c r="BX99" s="350">
        <f>ROUND(((100-BH99)/(100-BQ99)*BU99),0)</f>
        <v>0</v>
      </c>
      <c r="BY99" s="351">
        <f t="shared" si="400"/>
        <v>0</v>
      </c>
      <c r="BZ99" s="350">
        <f>ROUND(((100-BH99)/(100-BQ99)*BS99),2)</f>
        <v>0</v>
      </c>
      <c r="CA99" s="351">
        <f t="shared" si="401"/>
        <v>0</v>
      </c>
      <c r="CB99" s="349">
        <f>BH99-BQ99</f>
        <v>0</v>
      </c>
      <c r="CC99" s="351">
        <f t="shared" si="402"/>
        <v>0</v>
      </c>
      <c r="CD99" s="352"/>
      <c r="CE99" s="353"/>
      <c r="CF99" s="354"/>
      <c r="CG99" s="540"/>
      <c r="CH99" s="355"/>
      <c r="CI99" s="356"/>
      <c r="CJ99" s="355"/>
      <c r="CK99" s="356"/>
      <c r="CL99" s="355"/>
      <c r="CM99" s="356"/>
      <c r="CN99" s="355"/>
      <c r="CO99" s="358"/>
      <c r="CP99" s="355"/>
      <c r="CQ99" s="356"/>
      <c r="CR99" s="355"/>
      <c r="CS99" s="359"/>
      <c r="CT99" s="355"/>
      <c r="CU99" s="356"/>
      <c r="CV99" s="355"/>
      <c r="CW99" s="359"/>
      <c r="CX99" s="355"/>
      <c r="CY99" s="360"/>
      <c r="CZ99" s="355"/>
      <c r="DA99" s="359"/>
      <c r="DB99" s="360"/>
      <c r="DC99" s="361"/>
      <c r="DD99" s="361"/>
      <c r="DE99" s="361"/>
      <c r="DF99" s="361"/>
      <c r="DG99" s="361"/>
      <c r="DH99" s="172"/>
      <c r="DI99" s="173"/>
      <c r="DJ99" s="174"/>
      <c r="DK99" s="175"/>
      <c r="DL99" s="176"/>
      <c r="DM99" s="175"/>
      <c r="DN99" s="177"/>
      <c r="DO99" s="378"/>
      <c r="EB99" s="249"/>
      <c r="EC99" s="181">
        <f t="shared" si="179"/>
        <v>0</v>
      </c>
    </row>
    <row r="100" spans="1:133" s="223" customFormat="1" ht="18.75" hidden="1">
      <c r="A100" s="316"/>
      <c r="B100" s="316"/>
      <c r="C100" s="316"/>
      <c r="D100" s="316"/>
      <c r="E100" s="316"/>
      <c r="F100" s="316"/>
      <c r="G100" s="316"/>
      <c r="H100" s="317"/>
      <c r="I100" s="317"/>
      <c r="J100" s="317"/>
      <c r="K100" s="317"/>
      <c r="L100" s="318"/>
      <c r="M100" s="318"/>
      <c r="N100" s="317"/>
      <c r="O100" s="318"/>
      <c r="P100" s="318"/>
      <c r="Q100" s="318"/>
      <c r="R100" s="318"/>
      <c r="S100" s="318"/>
      <c r="T100" s="318"/>
      <c r="U100" s="318"/>
      <c r="V100" s="318"/>
      <c r="W100" s="319"/>
      <c r="X100" s="317"/>
      <c r="Y100" s="317"/>
      <c r="Z100" s="317"/>
      <c r="AA100" s="318"/>
      <c r="AB100" s="320"/>
      <c r="AC100" s="317"/>
      <c r="AD100" s="321"/>
      <c r="AE100" s="317"/>
      <c r="AF100" s="321"/>
      <c r="AG100" s="317"/>
      <c r="AH100" s="321"/>
      <c r="AI100" s="317"/>
      <c r="AJ100" s="321"/>
      <c r="AK100" s="317"/>
      <c r="AL100" s="318"/>
      <c r="AM100" s="321"/>
      <c r="AN100" s="317"/>
      <c r="AO100" s="321"/>
      <c r="AP100" s="317"/>
      <c r="AQ100" s="321"/>
      <c r="AR100" s="317"/>
      <c r="AS100" s="318"/>
      <c r="AT100" s="321"/>
      <c r="AU100" s="317"/>
      <c r="AV100" s="321"/>
      <c r="AW100" s="317"/>
      <c r="AX100" s="321"/>
      <c r="AY100" s="317"/>
      <c r="AZ100" s="318"/>
      <c r="BA100" s="318"/>
      <c r="BB100" s="318"/>
      <c r="BC100" s="318"/>
      <c r="BD100" s="317"/>
      <c r="BE100" s="317"/>
      <c r="BF100" s="318"/>
      <c r="BG100" s="318"/>
      <c r="BH100" s="323"/>
      <c r="BI100" s="317"/>
      <c r="BJ100" s="323"/>
      <c r="BK100" s="317"/>
      <c r="BL100" s="323"/>
      <c r="BM100" s="317"/>
      <c r="BN100" s="323"/>
      <c r="BO100" s="317"/>
      <c r="BP100" s="321"/>
      <c r="BQ100" s="323"/>
      <c r="BR100" s="317"/>
      <c r="BS100" s="323"/>
      <c r="BT100" s="317"/>
      <c r="BU100" s="323"/>
      <c r="BV100" s="317"/>
      <c r="BW100" s="318"/>
      <c r="BX100" s="323"/>
      <c r="BY100" s="317"/>
      <c r="BZ100" s="323"/>
      <c r="CA100" s="317"/>
      <c r="CB100" s="323"/>
      <c r="CC100" s="317"/>
      <c r="CD100" s="352"/>
      <c r="CE100" s="353"/>
      <c r="CF100" s="354"/>
      <c r="CG100" s="540"/>
      <c r="CH100" s="355"/>
      <c r="CI100" s="356"/>
      <c r="CJ100" s="355"/>
      <c r="CK100" s="356"/>
      <c r="CL100" s="355"/>
      <c r="CM100" s="356"/>
      <c r="CN100" s="355"/>
      <c r="CO100" s="358"/>
      <c r="CP100" s="355"/>
      <c r="CQ100" s="356"/>
      <c r="CR100" s="355"/>
      <c r="CS100" s="359"/>
      <c r="CT100" s="355"/>
      <c r="CU100" s="356"/>
      <c r="CV100" s="355"/>
      <c r="CW100" s="359"/>
      <c r="CX100" s="355"/>
      <c r="CY100" s="360"/>
      <c r="CZ100" s="355"/>
      <c r="DA100" s="359"/>
      <c r="DB100" s="360"/>
      <c r="DC100" s="361"/>
      <c r="DD100" s="361"/>
      <c r="DE100" s="361"/>
      <c r="DF100" s="361"/>
      <c r="DG100" s="361"/>
      <c r="DH100" s="172"/>
      <c r="DI100" s="173"/>
      <c r="DJ100" s="174"/>
      <c r="DK100" s="175"/>
      <c r="DL100" s="176"/>
      <c r="DM100" s="175"/>
      <c r="DN100" s="240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80"/>
      <c r="EC100" s="181">
        <f t="shared" si="179"/>
        <v>0</v>
      </c>
    </row>
    <row r="101" spans="1:133" s="248" customFormat="1" ht="18.75" hidden="1">
      <c r="A101" s="331"/>
      <c r="B101" s="331"/>
      <c r="C101" s="332"/>
      <c r="D101" s="333"/>
      <c r="E101" s="332"/>
      <c r="F101" s="379"/>
      <c r="G101" s="332"/>
      <c r="H101" s="380"/>
      <c r="I101" s="335"/>
      <c r="J101" s="336"/>
      <c r="K101" s="336"/>
      <c r="L101" s="337"/>
      <c r="M101" s="337"/>
      <c r="N101" s="334"/>
      <c r="O101" s="337"/>
      <c r="P101" s="338"/>
      <c r="Q101" s="338"/>
      <c r="R101" s="338"/>
      <c r="S101" s="338"/>
      <c r="T101" s="338"/>
      <c r="U101" s="376"/>
      <c r="V101" s="376"/>
      <c r="W101" s="376"/>
      <c r="X101" s="335"/>
      <c r="Y101" s="341"/>
      <c r="Z101" s="341"/>
      <c r="AA101" s="342"/>
      <c r="AB101" s="343"/>
      <c r="AC101" s="344"/>
      <c r="AD101" s="344"/>
      <c r="AE101" s="345"/>
      <c r="AF101" s="344"/>
      <c r="AG101" s="345"/>
      <c r="AH101" s="344"/>
      <c r="AI101" s="345"/>
      <c r="AJ101" s="342"/>
      <c r="AK101" s="345"/>
      <c r="AL101" s="342"/>
      <c r="AM101" s="344"/>
      <c r="AN101" s="345"/>
      <c r="AO101" s="344"/>
      <c r="AP101" s="345"/>
      <c r="AQ101" s="342"/>
      <c r="AR101" s="345"/>
      <c r="AS101" s="342"/>
      <c r="AT101" s="342"/>
      <c r="AU101" s="345"/>
      <c r="AV101" s="342"/>
      <c r="AW101" s="345"/>
      <c r="AX101" s="344"/>
      <c r="AY101" s="345"/>
      <c r="AZ101" s="346"/>
      <c r="BA101" s="346"/>
      <c r="BB101" s="346"/>
      <c r="BC101" s="347"/>
      <c r="BD101" s="348"/>
      <c r="BE101" s="349"/>
      <c r="BF101" s="350"/>
      <c r="BG101" s="350"/>
      <c r="BH101" s="349"/>
      <c r="BI101" s="351"/>
      <c r="BJ101" s="349"/>
      <c r="BK101" s="351"/>
      <c r="BL101" s="349"/>
      <c r="BM101" s="351"/>
      <c r="BN101" s="350"/>
      <c r="BO101" s="351"/>
      <c r="BP101" s="349"/>
      <c r="BQ101" s="349"/>
      <c r="BR101" s="351"/>
      <c r="BS101" s="349"/>
      <c r="BT101" s="351"/>
      <c r="BU101" s="350"/>
      <c r="BV101" s="351"/>
      <c r="BW101" s="350"/>
      <c r="BX101" s="350"/>
      <c r="BY101" s="351"/>
      <c r="BZ101" s="350"/>
      <c r="CA101" s="351"/>
      <c r="CB101" s="349"/>
      <c r="CC101" s="351"/>
      <c r="CD101" s="352"/>
      <c r="CE101" s="353"/>
      <c r="CF101" s="354"/>
      <c r="CG101" s="540"/>
      <c r="CH101" s="355"/>
      <c r="CI101" s="356"/>
      <c r="CJ101" s="355"/>
      <c r="CK101" s="356"/>
      <c r="CL101" s="355"/>
      <c r="CM101" s="356"/>
      <c r="CN101" s="355"/>
      <c r="CO101" s="358"/>
      <c r="CP101" s="355"/>
      <c r="CQ101" s="356"/>
      <c r="CR101" s="355"/>
      <c r="CS101" s="359"/>
      <c r="CT101" s="355"/>
      <c r="CU101" s="356"/>
      <c r="CV101" s="355"/>
      <c r="CW101" s="359"/>
      <c r="CX101" s="355"/>
      <c r="CY101" s="360"/>
      <c r="CZ101" s="355"/>
      <c r="DA101" s="359"/>
      <c r="DB101" s="360"/>
      <c r="DC101" s="361"/>
      <c r="DD101" s="361"/>
      <c r="DE101" s="361"/>
      <c r="DF101" s="361"/>
      <c r="DG101" s="361"/>
      <c r="DH101" s="172"/>
      <c r="DI101" s="173"/>
      <c r="DJ101" s="174"/>
      <c r="DK101" s="175"/>
      <c r="DL101" s="176"/>
      <c r="DM101" s="175"/>
      <c r="DN101" s="177"/>
      <c r="DO101" s="178">
        <f>BX101-DB101</f>
        <v>0</v>
      </c>
      <c r="EB101" s="249"/>
      <c r="EC101" s="181">
        <f t="shared" si="179"/>
        <v>0</v>
      </c>
    </row>
    <row r="102" spans="1:133" s="223" customFormat="1" ht="18.75" hidden="1">
      <c r="A102" s="316"/>
      <c r="B102" s="316"/>
      <c r="C102" s="316"/>
      <c r="D102" s="316"/>
      <c r="E102" s="316"/>
      <c r="F102" s="316"/>
      <c r="G102" s="316"/>
      <c r="H102" s="317"/>
      <c r="I102" s="317"/>
      <c r="J102" s="317"/>
      <c r="K102" s="317"/>
      <c r="L102" s="317"/>
      <c r="M102" s="318"/>
      <c r="N102" s="317"/>
      <c r="O102" s="318"/>
      <c r="P102" s="318"/>
      <c r="Q102" s="318"/>
      <c r="R102" s="318"/>
      <c r="S102" s="318"/>
      <c r="T102" s="318"/>
      <c r="U102" s="318"/>
      <c r="V102" s="318"/>
      <c r="W102" s="319"/>
      <c r="X102" s="317"/>
      <c r="Y102" s="317"/>
      <c r="Z102" s="317"/>
      <c r="AA102" s="318"/>
      <c r="AB102" s="320"/>
      <c r="AC102" s="317"/>
      <c r="AD102" s="321"/>
      <c r="AE102" s="317"/>
      <c r="AF102" s="321"/>
      <c r="AG102" s="317"/>
      <c r="AH102" s="321"/>
      <c r="AI102" s="317"/>
      <c r="AJ102" s="321"/>
      <c r="AK102" s="317"/>
      <c r="AL102" s="318"/>
      <c r="AM102" s="321"/>
      <c r="AN102" s="317"/>
      <c r="AO102" s="321"/>
      <c r="AP102" s="317"/>
      <c r="AQ102" s="321"/>
      <c r="AR102" s="317"/>
      <c r="AS102" s="318"/>
      <c r="AT102" s="321"/>
      <c r="AU102" s="317"/>
      <c r="AV102" s="321"/>
      <c r="AW102" s="317"/>
      <c r="AX102" s="321"/>
      <c r="AY102" s="317"/>
      <c r="AZ102" s="318"/>
      <c r="BA102" s="318"/>
      <c r="BB102" s="318"/>
      <c r="BC102" s="318"/>
      <c r="BD102" s="317"/>
      <c r="BE102" s="317"/>
      <c r="BF102" s="318"/>
      <c r="BG102" s="318"/>
      <c r="BH102" s="323"/>
      <c r="BI102" s="317"/>
      <c r="BJ102" s="323"/>
      <c r="BK102" s="317"/>
      <c r="BL102" s="323"/>
      <c r="BM102" s="317"/>
      <c r="BN102" s="319"/>
      <c r="BO102" s="317"/>
      <c r="BP102" s="321"/>
      <c r="BQ102" s="323"/>
      <c r="BR102" s="317"/>
      <c r="BS102" s="323"/>
      <c r="BT102" s="317"/>
      <c r="BU102" s="319"/>
      <c r="BV102" s="317"/>
      <c r="BW102" s="318"/>
      <c r="BX102" s="319"/>
      <c r="BY102" s="317"/>
      <c r="BZ102" s="323"/>
      <c r="CA102" s="317"/>
      <c r="CB102" s="323"/>
      <c r="CC102" s="317"/>
      <c r="CD102" s="352"/>
      <c r="CE102" s="353"/>
      <c r="CF102" s="354"/>
      <c r="CG102" s="540"/>
      <c r="CH102" s="355"/>
      <c r="CI102" s="356"/>
      <c r="CJ102" s="355"/>
      <c r="CK102" s="357"/>
      <c r="CL102" s="355"/>
      <c r="CM102" s="356"/>
      <c r="CN102" s="355"/>
      <c r="CO102" s="358"/>
      <c r="CP102" s="355"/>
      <c r="CQ102" s="356"/>
      <c r="CR102" s="355"/>
      <c r="CS102" s="359"/>
      <c r="CT102" s="355"/>
      <c r="CU102" s="357"/>
      <c r="CV102" s="355"/>
      <c r="CW102" s="359"/>
      <c r="CX102" s="355"/>
      <c r="CY102" s="360"/>
      <c r="CZ102" s="355"/>
      <c r="DA102" s="359"/>
      <c r="DB102" s="360"/>
      <c r="DC102" s="361"/>
      <c r="DD102" s="361"/>
      <c r="DE102" s="361"/>
      <c r="DF102" s="361"/>
      <c r="DG102" s="361"/>
      <c r="DH102" s="172"/>
      <c r="DI102" s="173"/>
      <c r="DJ102" s="174"/>
      <c r="DK102" s="175"/>
      <c r="DL102" s="176"/>
      <c r="DM102" s="175"/>
      <c r="DN102" s="240"/>
      <c r="DO102" s="178">
        <f>BX102-DB102</f>
        <v>0</v>
      </c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80"/>
      <c r="EC102" s="181">
        <f t="shared" si="179"/>
        <v>0</v>
      </c>
    </row>
    <row r="103" spans="1:133" s="223" customFormat="1" ht="18.75" hidden="1">
      <c r="A103" s="331"/>
      <c r="B103" s="331"/>
      <c r="C103" s="332"/>
      <c r="D103" s="333"/>
      <c r="E103" s="332"/>
      <c r="F103" s="332"/>
      <c r="G103" s="332"/>
      <c r="H103" s="380"/>
      <c r="I103" s="335"/>
      <c r="J103" s="336"/>
      <c r="K103" s="336"/>
      <c r="L103" s="337"/>
      <c r="M103" s="337"/>
      <c r="N103" s="380"/>
      <c r="O103" s="337"/>
      <c r="P103" s="338"/>
      <c r="Q103" s="338"/>
      <c r="R103" s="338"/>
      <c r="S103" s="338"/>
      <c r="T103" s="338"/>
      <c r="U103" s="376"/>
      <c r="V103" s="376"/>
      <c r="W103" s="376"/>
      <c r="X103" s="340"/>
      <c r="Y103" s="341"/>
      <c r="Z103" s="341"/>
      <c r="AA103" s="342"/>
      <c r="AB103" s="343"/>
      <c r="AC103" s="344"/>
      <c r="AD103" s="344"/>
      <c r="AE103" s="345"/>
      <c r="AF103" s="344"/>
      <c r="AG103" s="345"/>
      <c r="AH103" s="344"/>
      <c r="AI103" s="345"/>
      <c r="AJ103" s="342"/>
      <c r="AK103" s="345"/>
      <c r="AL103" s="342"/>
      <c r="AM103" s="344"/>
      <c r="AN103" s="345"/>
      <c r="AO103" s="344"/>
      <c r="AP103" s="345"/>
      <c r="AQ103" s="342"/>
      <c r="AR103" s="345"/>
      <c r="AS103" s="342"/>
      <c r="AT103" s="342"/>
      <c r="AU103" s="345"/>
      <c r="AV103" s="342"/>
      <c r="AW103" s="345"/>
      <c r="AX103" s="344"/>
      <c r="AY103" s="345"/>
      <c r="AZ103" s="346"/>
      <c r="BA103" s="346"/>
      <c r="BB103" s="346"/>
      <c r="BC103" s="347"/>
      <c r="BD103" s="348"/>
      <c r="BE103" s="349"/>
      <c r="BF103" s="350"/>
      <c r="BG103" s="350"/>
      <c r="BH103" s="350"/>
      <c r="BI103" s="351">
        <f t="shared" ref="BI103:BI104" si="403">BH103*$BE103</f>
        <v>0</v>
      </c>
      <c r="BJ103" s="349"/>
      <c r="BK103" s="351">
        <f t="shared" ref="BK103:BK104" si="404">BJ103*$BE103</f>
        <v>0</v>
      </c>
      <c r="BL103" s="349"/>
      <c r="BM103" s="351">
        <f t="shared" ref="BM103:BM104" si="405">BL103*$BE103</f>
        <v>0</v>
      </c>
      <c r="BN103" s="350"/>
      <c r="BO103" s="351">
        <f t="shared" ref="BO103:BO104" si="406">BN103*$BE103</f>
        <v>0</v>
      </c>
      <c r="BP103" s="349"/>
      <c r="BQ103" s="349"/>
      <c r="BR103" s="351">
        <f t="shared" ref="BR103:BR104" si="407">BQ103*$BE103</f>
        <v>0</v>
      </c>
      <c r="BS103" s="349"/>
      <c r="BT103" s="351">
        <f t="shared" ref="BT103:BT104" si="408">BS103*$BE103</f>
        <v>0</v>
      </c>
      <c r="BU103" s="350"/>
      <c r="BV103" s="351">
        <f t="shared" ref="BV103:BV104" si="409">BU103*$BE103</f>
        <v>0</v>
      </c>
      <c r="BW103" s="350"/>
      <c r="BX103" s="350">
        <f>ROUND(((100-BH103)/(100-BQ103)*BU103),0)</f>
        <v>0</v>
      </c>
      <c r="BY103" s="351">
        <f t="shared" ref="BY103:BY104" si="410">BX103*$BE103</f>
        <v>0</v>
      </c>
      <c r="BZ103" s="350">
        <f>ROUND(((100-BH103)/(100-BQ103)*BS103),2)</f>
        <v>0</v>
      </c>
      <c r="CA103" s="351">
        <f t="shared" ref="CA103:CA104" si="411">BZ103*$BE103</f>
        <v>0</v>
      </c>
      <c r="CB103" s="349">
        <f>BH103-BQ103</f>
        <v>0</v>
      </c>
      <c r="CC103" s="351">
        <f t="shared" ref="CC103:CC104" si="412">CB103*$BE103</f>
        <v>0</v>
      </c>
      <c r="CD103" s="317"/>
      <c r="CE103" s="318"/>
      <c r="CF103" s="318"/>
      <c r="CG103" s="323"/>
      <c r="CH103" s="317"/>
      <c r="CI103" s="323"/>
      <c r="CJ103" s="317"/>
      <c r="CK103" s="323"/>
      <c r="CL103" s="317"/>
      <c r="CM103" s="323"/>
      <c r="CN103" s="317"/>
      <c r="CO103" s="323"/>
      <c r="CP103" s="317"/>
      <c r="CQ103" s="323"/>
      <c r="CR103" s="317"/>
      <c r="CS103" s="323"/>
      <c r="CT103" s="317"/>
      <c r="CU103" s="323"/>
      <c r="CV103" s="317"/>
      <c r="CW103" s="323"/>
      <c r="CX103" s="317"/>
      <c r="CY103" s="323"/>
      <c r="CZ103" s="317"/>
      <c r="DA103" s="319"/>
      <c r="DB103" s="323"/>
      <c r="DC103" s="377"/>
      <c r="DD103" s="377"/>
      <c r="DE103" s="377"/>
      <c r="DF103" s="377"/>
      <c r="DG103" s="377"/>
      <c r="DH103" s="329"/>
      <c r="DI103" s="246"/>
      <c r="DJ103" s="247"/>
      <c r="DK103" s="330"/>
      <c r="DL103" s="176"/>
      <c r="DM103" s="175"/>
      <c r="DN103" s="177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80"/>
      <c r="EC103" s="181">
        <f t="shared" si="179"/>
        <v>0</v>
      </c>
    </row>
    <row r="104" spans="1:133" s="248" customFormat="1" ht="18.75" hidden="1">
      <c r="A104" s="381"/>
      <c r="B104" s="381"/>
      <c r="C104" s="382"/>
      <c r="D104" s="383"/>
      <c r="E104" s="382"/>
      <c r="F104" s="382"/>
      <c r="G104" s="382"/>
      <c r="H104" s="384"/>
      <c r="I104" s="385"/>
      <c r="J104" s="386"/>
      <c r="K104" s="387"/>
      <c r="L104" s="541"/>
      <c r="M104" s="541"/>
      <c r="N104" s="384"/>
      <c r="O104" s="541"/>
      <c r="P104" s="388"/>
      <c r="Q104" s="388"/>
      <c r="R104" s="388"/>
      <c r="S104" s="388"/>
      <c r="T104" s="388"/>
      <c r="U104" s="389"/>
      <c r="V104" s="389"/>
      <c r="W104" s="389"/>
      <c r="X104" s="544"/>
      <c r="Y104" s="390"/>
      <c r="Z104" s="390"/>
      <c r="AA104" s="391"/>
      <c r="AB104" s="392"/>
      <c r="AC104" s="393"/>
      <c r="AD104" s="393"/>
      <c r="AE104" s="394"/>
      <c r="AF104" s="393"/>
      <c r="AG104" s="394"/>
      <c r="AH104" s="393"/>
      <c r="AI104" s="394"/>
      <c r="AJ104" s="391"/>
      <c r="AK104" s="394"/>
      <c r="AL104" s="391"/>
      <c r="AM104" s="393"/>
      <c r="AN104" s="394"/>
      <c r="AO104" s="393"/>
      <c r="AP104" s="394"/>
      <c r="AQ104" s="391"/>
      <c r="AR104" s="394"/>
      <c r="AS104" s="391"/>
      <c r="AT104" s="391"/>
      <c r="AU104" s="394"/>
      <c r="AV104" s="391"/>
      <c r="AW104" s="394"/>
      <c r="AX104" s="393"/>
      <c r="AY104" s="394"/>
      <c r="AZ104" s="395"/>
      <c r="BA104" s="395"/>
      <c r="BB104" s="395"/>
      <c r="BC104" s="396"/>
      <c r="BD104" s="397"/>
      <c r="BE104" s="398"/>
      <c r="BF104" s="399"/>
      <c r="BG104" s="399"/>
      <c r="BH104" s="398"/>
      <c r="BI104" s="400">
        <f t="shared" si="403"/>
        <v>0</v>
      </c>
      <c r="BJ104" s="398"/>
      <c r="BK104" s="400">
        <f t="shared" si="404"/>
        <v>0</v>
      </c>
      <c r="BL104" s="398"/>
      <c r="BM104" s="400">
        <f t="shared" si="405"/>
        <v>0</v>
      </c>
      <c r="BN104" s="399"/>
      <c r="BO104" s="400">
        <f t="shared" si="406"/>
        <v>0</v>
      </c>
      <c r="BP104" s="398"/>
      <c r="BQ104" s="398"/>
      <c r="BR104" s="400">
        <f t="shared" si="407"/>
        <v>0</v>
      </c>
      <c r="BS104" s="398"/>
      <c r="BT104" s="400">
        <f t="shared" si="408"/>
        <v>0</v>
      </c>
      <c r="BU104" s="399"/>
      <c r="BV104" s="400">
        <f t="shared" si="409"/>
        <v>0</v>
      </c>
      <c r="BW104" s="399"/>
      <c r="BX104" s="399">
        <f>ROUND(((100-BH104)/(100-BQ104)*BU104),0)</f>
        <v>0</v>
      </c>
      <c r="BY104" s="400">
        <f t="shared" si="410"/>
        <v>0</v>
      </c>
      <c r="BZ104" s="399">
        <f>ROUND(((100-BH104)/(100-BQ104)*BS104),2)</f>
        <v>0</v>
      </c>
      <c r="CA104" s="400">
        <f t="shared" si="411"/>
        <v>0</v>
      </c>
      <c r="CB104" s="398">
        <f>BH104-BQ104</f>
        <v>0</v>
      </c>
      <c r="CC104" s="400">
        <f t="shared" si="412"/>
        <v>0</v>
      </c>
      <c r="CD104" s="401"/>
      <c r="CE104" s="402"/>
      <c r="CF104" s="403"/>
      <c r="CG104" s="404"/>
      <c r="CH104" s="405"/>
      <c r="CI104" s="406"/>
      <c r="CJ104" s="405"/>
      <c r="CK104" s="406"/>
      <c r="CL104" s="405"/>
      <c r="CM104" s="407"/>
      <c r="CN104" s="405"/>
      <c r="CO104" s="408"/>
      <c r="CP104" s="405"/>
      <c r="CQ104" s="407"/>
      <c r="CR104" s="405"/>
      <c r="CS104" s="409"/>
      <c r="CT104" s="405"/>
      <c r="CU104" s="406"/>
      <c r="CV104" s="405"/>
      <c r="CW104" s="409"/>
      <c r="CX104" s="405"/>
      <c r="CY104" s="410"/>
      <c r="CZ104" s="405"/>
      <c r="DA104" s="409"/>
      <c r="DB104" s="410"/>
      <c r="DC104" s="166"/>
      <c r="DD104" s="166"/>
      <c r="DE104" s="166"/>
      <c r="DF104" s="166"/>
      <c r="DG104" s="166"/>
      <c r="DH104" s="172"/>
      <c r="DI104" s="173"/>
      <c r="DJ104" s="174"/>
      <c r="DK104" s="175"/>
      <c r="DL104" s="176"/>
      <c r="DM104" s="175"/>
      <c r="DN104" s="177"/>
      <c r="DO104" s="378"/>
      <c r="EB104" s="249"/>
      <c r="EC104" s="181">
        <f t="shared" si="179"/>
        <v>0</v>
      </c>
    </row>
    <row r="105" spans="1:133" s="414" customFormat="1" ht="18.75" hidden="1">
      <c r="A105" s="411"/>
      <c r="B105" s="411"/>
      <c r="C105" s="411"/>
      <c r="D105" s="411"/>
      <c r="E105" s="411"/>
      <c r="F105" s="411"/>
      <c r="G105" s="411"/>
      <c r="H105" s="411"/>
      <c r="I105" s="226"/>
      <c r="J105" s="226"/>
      <c r="K105" s="226"/>
      <c r="L105" s="240"/>
      <c r="M105" s="240"/>
      <c r="N105" s="226"/>
      <c r="O105" s="240"/>
      <c r="P105" s="240"/>
      <c r="Q105" s="240"/>
      <c r="R105" s="240"/>
      <c r="S105" s="240"/>
      <c r="T105" s="240"/>
      <c r="U105" s="240"/>
      <c r="V105" s="240"/>
      <c r="W105" s="244"/>
      <c r="X105" s="226"/>
      <c r="Y105" s="226"/>
      <c r="Z105" s="226"/>
      <c r="AA105" s="240"/>
      <c r="AB105" s="242"/>
      <c r="AC105" s="226"/>
      <c r="AD105" s="243"/>
      <c r="AE105" s="226"/>
      <c r="AF105" s="243"/>
      <c r="AG105" s="226"/>
      <c r="AH105" s="243"/>
      <c r="AI105" s="226"/>
      <c r="AJ105" s="243"/>
      <c r="AK105" s="226"/>
      <c r="AL105" s="240"/>
      <c r="AM105" s="243"/>
      <c r="AN105" s="226"/>
      <c r="AO105" s="243"/>
      <c r="AP105" s="226"/>
      <c r="AQ105" s="243"/>
      <c r="AR105" s="226"/>
      <c r="AS105" s="240"/>
      <c r="AT105" s="243"/>
      <c r="AU105" s="226"/>
      <c r="AV105" s="243"/>
      <c r="AW105" s="226"/>
      <c r="AX105" s="243"/>
      <c r="AY105" s="226"/>
      <c r="AZ105" s="240"/>
      <c r="BA105" s="240"/>
      <c r="BB105" s="240"/>
      <c r="BC105" s="240"/>
      <c r="BD105" s="226"/>
      <c r="BE105" s="226"/>
      <c r="BF105" s="240"/>
      <c r="BG105" s="240"/>
      <c r="BH105" s="241"/>
      <c r="BI105" s="226"/>
      <c r="BJ105" s="241"/>
      <c r="BK105" s="226"/>
      <c r="BL105" s="241"/>
      <c r="BM105" s="226"/>
      <c r="BN105" s="241"/>
      <c r="BO105" s="226"/>
      <c r="BP105" s="243"/>
      <c r="BQ105" s="241"/>
      <c r="BR105" s="226"/>
      <c r="BS105" s="241"/>
      <c r="BT105" s="226"/>
      <c r="BU105" s="241"/>
      <c r="BV105" s="226"/>
      <c r="BW105" s="240"/>
      <c r="BX105" s="241"/>
      <c r="BY105" s="226"/>
      <c r="BZ105" s="241"/>
      <c r="CA105" s="226"/>
      <c r="CB105" s="241"/>
      <c r="CC105" s="226"/>
      <c r="CD105" s="162"/>
      <c r="CE105" s="163"/>
      <c r="CF105" s="412"/>
      <c r="CG105" s="413"/>
      <c r="CH105" s="166"/>
      <c r="CI105" s="167"/>
      <c r="CJ105" s="166"/>
      <c r="CK105" s="168"/>
      <c r="CL105" s="166"/>
      <c r="CM105" s="167"/>
      <c r="CN105" s="166"/>
      <c r="CO105" s="169"/>
      <c r="CP105" s="166"/>
      <c r="CQ105" s="167"/>
      <c r="CR105" s="166"/>
      <c r="CS105" s="170"/>
      <c r="CT105" s="166"/>
      <c r="CU105" s="168"/>
      <c r="CV105" s="166"/>
      <c r="CW105" s="170"/>
      <c r="CX105" s="166"/>
      <c r="CY105" s="171"/>
      <c r="CZ105" s="166"/>
      <c r="DA105" s="170"/>
      <c r="DB105" s="171"/>
      <c r="DC105" s="166"/>
      <c r="DD105" s="166"/>
      <c r="DE105" s="166"/>
      <c r="DF105" s="166"/>
      <c r="DG105" s="166"/>
      <c r="DH105" s="172"/>
      <c r="DI105" s="173"/>
      <c r="DJ105" s="174"/>
      <c r="DK105" s="175"/>
      <c r="DL105" s="176"/>
      <c r="DM105" s="175"/>
      <c r="DN105" s="240"/>
      <c r="EB105" s="415"/>
      <c r="EC105" s="181">
        <f t="shared" si="179"/>
        <v>0</v>
      </c>
    </row>
    <row r="106" spans="1:133" s="315" customFormat="1" ht="18.75" hidden="1">
      <c r="A106" s="416"/>
      <c r="B106" s="416"/>
      <c r="C106" s="416"/>
      <c r="D106" s="416"/>
      <c r="E106" s="416"/>
      <c r="F106" s="416"/>
      <c r="G106" s="416"/>
      <c r="H106" s="199"/>
      <c r="I106" s="199"/>
      <c r="J106" s="199"/>
      <c r="K106" s="416"/>
      <c r="L106" s="417"/>
      <c r="M106" s="416"/>
      <c r="N106" s="199"/>
      <c r="O106" s="416"/>
      <c r="P106" s="416"/>
      <c r="Q106" s="416"/>
      <c r="R106" s="416"/>
      <c r="S106" s="416"/>
      <c r="T106" s="416"/>
      <c r="U106" s="416"/>
      <c r="V106" s="416"/>
      <c r="W106" s="418"/>
      <c r="X106" s="199"/>
      <c r="Y106" s="199"/>
      <c r="Z106" s="199"/>
      <c r="AA106" s="416"/>
      <c r="AB106" s="419"/>
      <c r="AC106" s="199"/>
      <c r="AD106" s="420"/>
      <c r="AE106" s="199"/>
      <c r="AF106" s="420"/>
      <c r="AG106" s="199"/>
      <c r="AH106" s="420"/>
      <c r="AI106" s="199"/>
      <c r="AJ106" s="420"/>
      <c r="AK106" s="199"/>
      <c r="AL106" s="416"/>
      <c r="AM106" s="420"/>
      <c r="AN106" s="199"/>
      <c r="AO106" s="420"/>
      <c r="AP106" s="199"/>
      <c r="AQ106" s="420"/>
      <c r="AR106" s="199"/>
      <c r="AS106" s="416"/>
      <c r="AT106" s="420"/>
      <c r="AU106" s="199"/>
      <c r="AV106" s="420"/>
      <c r="AW106" s="199"/>
      <c r="AX106" s="420"/>
      <c r="AY106" s="199"/>
      <c r="AZ106" s="421"/>
      <c r="BA106" s="422"/>
      <c r="BB106" s="422"/>
      <c r="BC106" s="422"/>
      <c r="BD106" s="199"/>
      <c r="BE106" s="199"/>
      <c r="BF106" s="416"/>
      <c r="BG106" s="416"/>
      <c r="BH106" s="420"/>
      <c r="BI106" s="199"/>
      <c r="BJ106" s="420"/>
      <c r="BK106" s="199"/>
      <c r="BL106" s="423"/>
      <c r="BM106" s="199"/>
      <c r="BN106" s="424"/>
      <c r="BO106" s="199"/>
      <c r="BP106" s="422"/>
      <c r="BQ106" s="420"/>
      <c r="BR106" s="199"/>
      <c r="BS106" s="420"/>
      <c r="BT106" s="199"/>
      <c r="BU106" s="420"/>
      <c r="BV106" s="199"/>
      <c r="BW106" s="425"/>
      <c r="BX106" s="424"/>
      <c r="BY106" s="199"/>
      <c r="BZ106" s="420"/>
      <c r="CA106" s="199"/>
      <c r="CB106" s="420"/>
      <c r="CC106" s="199"/>
      <c r="CD106" s="420"/>
      <c r="CE106" s="426"/>
      <c r="CF106" s="426"/>
      <c r="CG106" s="427"/>
      <c r="CH106" s="420"/>
      <c r="CI106" s="427"/>
      <c r="CJ106" s="420"/>
      <c r="CK106" s="427"/>
      <c r="CL106" s="420"/>
      <c r="CM106" s="427"/>
      <c r="CN106" s="420"/>
      <c r="CO106" s="426"/>
      <c r="CP106" s="420"/>
      <c r="CQ106" s="426"/>
      <c r="CR106" s="420"/>
      <c r="CS106" s="427"/>
      <c r="CT106" s="420"/>
      <c r="CU106" s="427"/>
      <c r="CV106" s="420"/>
      <c r="CW106" s="427"/>
      <c r="CX106" s="420"/>
      <c r="CY106" s="428"/>
      <c r="CZ106" s="420"/>
      <c r="DA106" s="429"/>
      <c r="DB106" s="424"/>
      <c r="DC106" s="420"/>
      <c r="DD106" s="420"/>
      <c r="DE106" s="420"/>
      <c r="DF106" s="420"/>
      <c r="DG106" s="420"/>
      <c r="DH106" s="430"/>
      <c r="DI106" s="426"/>
      <c r="DJ106" s="426"/>
      <c r="DK106" s="426"/>
      <c r="DL106" s="426"/>
      <c r="DM106" s="426"/>
      <c r="EB106" s="249"/>
      <c r="EC106" s="181">
        <f t="shared" si="179"/>
        <v>0</v>
      </c>
    </row>
    <row r="107" spans="1:133" s="182" customFormat="1" ht="28.5" hidden="1">
      <c r="A107" s="431" t="s">
        <v>216</v>
      </c>
      <c r="B107" s="200"/>
      <c r="C107" s="200"/>
      <c r="D107" s="200"/>
      <c r="E107" s="200"/>
      <c r="F107" s="200"/>
      <c r="G107" s="200"/>
      <c r="H107" s="200"/>
      <c r="I107" s="432"/>
      <c r="J107" s="432"/>
      <c r="K107" s="432"/>
      <c r="L107" s="200"/>
      <c r="M107" s="200"/>
      <c r="N107" s="432"/>
      <c r="O107" s="200"/>
      <c r="P107" s="200"/>
      <c r="Q107" s="200"/>
      <c r="R107" s="200"/>
      <c r="S107" s="200"/>
      <c r="T107" s="200"/>
      <c r="U107" s="200"/>
      <c r="V107" s="200"/>
      <c r="W107" s="433"/>
      <c r="X107" s="432" t="e">
        <f>X97+#REF!</f>
        <v>#REF!</v>
      </c>
      <c r="Y107" s="432"/>
      <c r="Z107" s="432"/>
      <c r="AA107" s="200"/>
      <c r="AB107" s="434"/>
      <c r="AC107" s="432"/>
      <c r="AD107" s="435"/>
      <c r="AE107" s="432"/>
      <c r="AF107" s="435"/>
      <c r="AG107" s="432"/>
      <c r="AH107" s="435"/>
      <c r="AI107" s="432"/>
      <c r="AJ107" s="435"/>
      <c r="AK107" s="432"/>
      <c r="AL107" s="200"/>
      <c r="AM107" s="435"/>
      <c r="AN107" s="432"/>
      <c r="AO107" s="435"/>
      <c r="AP107" s="432"/>
      <c r="AQ107" s="433"/>
      <c r="AR107" s="432"/>
      <c r="AS107" s="200"/>
      <c r="AT107" s="436"/>
      <c r="AU107" s="432"/>
      <c r="AV107" s="435"/>
      <c r="AW107" s="432"/>
      <c r="AX107" s="435"/>
      <c r="AY107" s="311"/>
      <c r="AZ107" s="437"/>
      <c r="BA107" s="438"/>
      <c r="BB107" s="153" t="s">
        <v>217</v>
      </c>
      <c r="BC107" s="438" t="s">
        <v>218</v>
      </c>
      <c r="BD107" s="439"/>
      <c r="BE107" s="440"/>
      <c r="BF107" s="441" t="s">
        <v>207</v>
      </c>
      <c r="BG107" s="442" t="s">
        <v>208</v>
      </c>
      <c r="BH107" s="443"/>
      <c r="BI107" s="443"/>
      <c r="BJ107" s="443"/>
      <c r="BK107" s="443"/>
      <c r="BL107" s="443"/>
      <c r="BM107" s="443"/>
      <c r="BN107" s="443"/>
      <c r="BO107" s="443"/>
      <c r="BP107" s="443"/>
      <c r="BQ107" s="443"/>
      <c r="BR107" s="443"/>
      <c r="BS107" s="443"/>
      <c r="BT107" s="443"/>
      <c r="BU107" s="443"/>
      <c r="BV107" s="443"/>
      <c r="BW107" s="443"/>
      <c r="BX107" s="443"/>
      <c r="BY107" s="443"/>
      <c r="BZ107" s="443"/>
      <c r="CA107" s="443"/>
      <c r="CB107" s="443"/>
      <c r="CC107" s="444"/>
      <c r="CD107" s="445"/>
      <c r="CE107" s="315"/>
      <c r="CF107" s="587" t="s">
        <v>219</v>
      </c>
      <c r="CG107" s="315"/>
      <c r="CH107" s="315"/>
      <c r="CI107" s="315"/>
      <c r="CJ107" s="315"/>
      <c r="CK107" s="315"/>
      <c r="CL107" s="315"/>
      <c r="CM107" s="315"/>
      <c r="CN107" s="315"/>
      <c r="CO107" s="315"/>
      <c r="CP107" s="315"/>
      <c r="CQ107" s="315"/>
      <c r="CR107" s="315"/>
      <c r="CS107" s="315"/>
      <c r="CT107" s="315"/>
      <c r="CU107" s="315"/>
      <c r="CV107" s="315"/>
      <c r="CW107" s="315"/>
      <c r="CX107" s="315"/>
      <c r="CY107" s="315"/>
      <c r="CZ107" s="315"/>
      <c r="DA107" s="315"/>
      <c r="DB107" s="446"/>
      <c r="DC107" s="315"/>
      <c r="DD107" s="315"/>
      <c r="DE107" s="315"/>
      <c r="DF107" s="315"/>
      <c r="DG107" s="315"/>
      <c r="DH107" s="315"/>
      <c r="DI107" s="315"/>
      <c r="DK107" s="315"/>
      <c r="DL107" s="315"/>
      <c r="DM107" s="315"/>
      <c r="DN107" s="200"/>
      <c r="DO107" s="447"/>
      <c r="DP107" s="315"/>
      <c r="DQ107" s="315"/>
      <c r="DR107" s="315"/>
      <c r="DS107" s="315"/>
      <c r="DT107" s="315"/>
      <c r="DU107" s="315"/>
      <c r="DV107" s="179"/>
      <c r="DW107" s="179"/>
      <c r="DX107" s="179"/>
      <c r="DY107" s="179"/>
      <c r="DZ107" s="179"/>
      <c r="EA107" s="179"/>
      <c r="EB107" s="180"/>
      <c r="EC107" s="181">
        <f t="shared" si="179"/>
        <v>0</v>
      </c>
    </row>
    <row r="108" spans="1:133" s="182" customFormat="1" ht="18.75" hidden="1">
      <c r="A108" s="74">
        <v>41</v>
      </c>
      <c r="B108" s="74"/>
      <c r="C108" s="138"/>
      <c r="D108" s="139"/>
      <c r="E108" s="138"/>
      <c r="F108" s="138"/>
      <c r="G108" s="138"/>
      <c r="H108" s="140"/>
      <c r="I108" s="141"/>
      <c r="J108" s="142"/>
      <c r="K108" s="143"/>
      <c r="L108" s="522"/>
      <c r="M108" s="522"/>
      <c r="N108" s="144"/>
      <c r="O108" s="522" t="s">
        <v>269</v>
      </c>
      <c r="P108" s="145" t="s">
        <v>270</v>
      </c>
      <c r="Q108" s="145" t="s">
        <v>271</v>
      </c>
      <c r="R108" s="145"/>
      <c r="S108" s="145" t="s">
        <v>60</v>
      </c>
      <c r="T108" s="145"/>
      <c r="U108" s="147"/>
      <c r="V108" s="147"/>
      <c r="W108" s="147"/>
      <c r="X108" s="542"/>
      <c r="Y108" s="148"/>
      <c r="Z108" s="149"/>
      <c r="AA108" s="149"/>
      <c r="AB108" s="150"/>
      <c r="AC108" s="151"/>
      <c r="AD108" s="151"/>
      <c r="AE108" s="152">
        <f t="shared" ref="AE108:AE109" si="413">AD108*$AC108</f>
        <v>0</v>
      </c>
      <c r="AF108" s="151"/>
      <c r="AG108" s="152">
        <f t="shared" ref="AG108:AG109" si="414">AF108*$AC108</f>
        <v>0</v>
      </c>
      <c r="AH108" s="151"/>
      <c r="AI108" s="152">
        <f t="shared" ref="AI108:AI109" si="415">AH108*$AC108</f>
        <v>0</v>
      </c>
      <c r="AJ108" s="149"/>
      <c r="AK108" s="152">
        <f t="shared" ref="AK108:AK109" si="416">AJ108*$AC108</f>
        <v>0</v>
      </c>
      <c r="AL108" s="149"/>
      <c r="AM108" s="151"/>
      <c r="AN108" s="152">
        <f t="shared" ref="AN108:AN109" si="417">AM108*$AC108</f>
        <v>0</v>
      </c>
      <c r="AO108" s="151"/>
      <c r="AP108" s="152">
        <f t="shared" ref="AP108:AP109" si="418">AO108*$AC108</f>
        <v>0</v>
      </c>
      <c r="AQ108" s="149"/>
      <c r="AR108" s="152">
        <f t="shared" ref="AR108:AR109" si="419">AQ108*$AC108</f>
        <v>0</v>
      </c>
      <c r="AS108" s="149"/>
      <c r="AT108" s="149">
        <f t="shared" ref="AT108" si="420">ROUND(((100-AD108)/(100-AM108)*AQ108),0)</f>
        <v>0</v>
      </c>
      <c r="AU108" s="152">
        <f t="shared" ref="AU108:AU109" si="421">AT108*$AC108</f>
        <v>0</v>
      </c>
      <c r="AV108" s="149">
        <f t="shared" ref="AV108" si="422">ROUND(((100-AD108)/(100-AM108)*AO108),2)</f>
        <v>0</v>
      </c>
      <c r="AW108" s="152">
        <f t="shared" ref="AW108:AW109" si="423">AV108*$AC108</f>
        <v>0</v>
      </c>
      <c r="AX108" s="151">
        <f t="shared" ref="AX108:AX109" si="424">$AD108-$AM108</f>
        <v>0</v>
      </c>
      <c r="AY108" s="152">
        <f t="shared" ref="AY108:AY109" si="425">AX108*$AC108</f>
        <v>0</v>
      </c>
      <c r="AZ108" s="153"/>
      <c r="BA108" s="153"/>
      <c r="BB108" s="153"/>
      <c r="BC108" s="154">
        <f t="shared" ref="BC108" si="426">AZ108+BA108*(1-(AZ108/100))+BB108*(1-(AZ108+BA108)/100)</f>
        <v>0</v>
      </c>
      <c r="BD108" s="155">
        <f>BC108*$CD108</f>
        <v>0</v>
      </c>
      <c r="BE108" s="156"/>
      <c r="BF108" s="157"/>
      <c r="BG108" s="157"/>
      <c r="BH108" s="156"/>
      <c r="BI108" s="158">
        <f t="shared" ref="BI108:BI109" si="427">BH108*$BE108</f>
        <v>0</v>
      </c>
      <c r="BJ108" s="156"/>
      <c r="BK108" s="158">
        <f t="shared" ref="BK108:BK109" si="428">BJ108*$BE108</f>
        <v>0</v>
      </c>
      <c r="BL108" s="156"/>
      <c r="BM108" s="159">
        <f t="shared" ref="BM108:BM109" si="429">BL108*$BE108</f>
        <v>0</v>
      </c>
      <c r="BN108" s="157"/>
      <c r="BO108" s="159">
        <f t="shared" ref="BO108:BO109" si="430">BN108*$BE108</f>
        <v>0</v>
      </c>
      <c r="BP108" s="160"/>
      <c r="BQ108" s="156"/>
      <c r="BR108" s="158">
        <f t="shared" ref="BR108:BR109" si="431">BQ108*$BE108</f>
        <v>0</v>
      </c>
      <c r="BS108" s="156"/>
      <c r="BT108" s="159">
        <f t="shared" ref="BT108:BT109" si="432">BS108*$BE108</f>
        <v>0</v>
      </c>
      <c r="BU108" s="157"/>
      <c r="BV108" s="161">
        <f t="shared" ref="BV108:BV109" si="433">BU108*$BE108</f>
        <v>0</v>
      </c>
      <c r="BW108" s="157"/>
      <c r="BX108" s="157">
        <f>ROUND(((100-BH108)/(100-BQ108)*BU108),0)</f>
        <v>0</v>
      </c>
      <c r="BY108" s="161">
        <f t="shared" ref="BY108:BY109" si="434">BX108*$BE108</f>
        <v>0</v>
      </c>
      <c r="BZ108" s="157">
        <f>ROUND(((100-BH108)/(100-BQ108)*BS108),2)</f>
        <v>0</v>
      </c>
      <c r="CA108" s="161">
        <f t="shared" ref="CA108:CA109" si="435">BZ108*$BE108</f>
        <v>0</v>
      </c>
      <c r="CB108" s="156">
        <f>BH108-BQ108</f>
        <v>0</v>
      </c>
      <c r="CC108" s="161">
        <f t="shared" ref="CC108:CC109" si="436">CB108*$BE108</f>
        <v>0</v>
      </c>
      <c r="CD108" s="162"/>
      <c r="CE108" s="163"/>
      <c r="CF108" s="164"/>
      <c r="CG108" s="448"/>
      <c r="CH108" s="166">
        <f t="shared" ref="CH108:CH109" si="437">CG108*$CD108</f>
        <v>0</v>
      </c>
      <c r="CI108" s="167"/>
      <c r="CJ108" s="166">
        <f t="shared" ref="CJ108:CJ109" si="438">CI108*$CD108</f>
        <v>0</v>
      </c>
      <c r="CK108" s="168"/>
      <c r="CL108" s="166">
        <f t="shared" ref="CL108:CL109" si="439">CK108*$CD108</f>
        <v>0</v>
      </c>
      <c r="CM108" s="167"/>
      <c r="CN108" s="166">
        <f t="shared" ref="CN108:CN109" si="440">CM108*$CD108</f>
        <v>0</v>
      </c>
      <c r="CO108" s="169">
        <f t="shared" ref="CO108:CO109" si="441">8555.56-(145.56*CK108+94.11*CI108)</f>
        <v>8555.56</v>
      </c>
      <c r="CP108" s="166">
        <f t="shared" ref="CP108:CP109" si="442">CO108*$CD108</f>
        <v>0</v>
      </c>
      <c r="CQ108" s="167"/>
      <c r="CR108" s="166">
        <f t="shared" ref="CR108:CR109" si="443">CQ108*$CD108</f>
        <v>0</v>
      </c>
      <c r="CS108" s="170">
        <f t="shared" ref="CS108:CS109" si="444">((100-CU108)/(100-CK108))*CI108</f>
        <v>0</v>
      </c>
      <c r="CT108" s="166">
        <f t="shared" ref="CT108:CT109" si="445">CS108*$CD108</f>
        <v>0</v>
      </c>
      <c r="CU108" s="168"/>
      <c r="CV108" s="166">
        <f t="shared" ref="CV108:CV109" si="446">CU108*$CD108</f>
        <v>0</v>
      </c>
      <c r="CW108" s="170">
        <f t="shared" ref="CW108" si="447">((100-CU108)/(100-CK108))*CM108</f>
        <v>0</v>
      </c>
      <c r="CX108" s="166">
        <f t="shared" ref="CX108:CX109" si="448">CW108*$CD108</f>
        <v>0</v>
      </c>
      <c r="CY108" s="171">
        <f t="shared" ref="CY108" si="449">((100-CU108)/(100-CK108))*CQ108</f>
        <v>0</v>
      </c>
      <c r="CZ108" s="166">
        <f t="shared" ref="CZ108:CZ109" si="450">CY108*$CD108</f>
        <v>0</v>
      </c>
      <c r="DA108" s="170" t="b">
        <f t="shared" ref="DA108" si="451">IF(CY108&gt;=7000,"G1",IF(CY108&gt;=6700,"G2",IF(CY108&gt;=6400,"G3",IF(CY108&gt;=6100,"G4",IF(CY108&gt;=5800,"G5",IF(CY108&gt;=5500,"G6",IF(CY108&gt;=5200,"G7",IF(CY108&gt;=4900,"G8",IF(CY108&gt;=4600,"G9",IF(CY108&gt;=4300,"G10",IF(CY108&gt;=4000,"G11",IF(CY108&gt;=3700,"G12",IF(CY108&gt;=3400,"G13",IF(CY108&gt;=3100,"G14",IF(CY108&gt;=2800,"G15",IF(CY108&gt;=2500,"G16",IF(CY108&gt;=2200,"G17")))))))))))))))))</f>
        <v>0</v>
      </c>
      <c r="DB108" s="171">
        <f t="shared" ref="DB108:DB109" si="452">((100-CG108)/(100-CK108))*CQ108</f>
        <v>0</v>
      </c>
      <c r="DC108" s="166">
        <f t="shared" ref="DC108:DC109" si="453">DB108*$CD108</f>
        <v>0</v>
      </c>
      <c r="DD108" s="170">
        <f t="shared" ref="DD108:DD109" si="454">((100-CG108)/(100-CK108))*CI108</f>
        <v>0</v>
      </c>
      <c r="DE108" s="221">
        <f t="shared" ref="DE108:DE109" si="455">DD108*$CD108</f>
        <v>0</v>
      </c>
      <c r="DF108" s="222">
        <f t="shared" ref="DF108:DF109" si="456">CG108-CU108</f>
        <v>0</v>
      </c>
      <c r="DG108" s="221">
        <f t="shared" ref="DG108:DG109" si="457">DF108*$CD108</f>
        <v>0</v>
      </c>
      <c r="DH108" s="172" t="e">
        <f>MID(U108,2,LEN(U108))-MID(DA108,2,LEN(DA108))</f>
        <v>#VALUE!</v>
      </c>
      <c r="DI108" s="173">
        <f>$CY108-$BU108</f>
        <v>0</v>
      </c>
      <c r="DJ108" s="174" t="e">
        <f>MID(U108,2,LEN(U108))-MID(BW108,2,LEN(BW108))</f>
        <v>#VALUE!</v>
      </c>
      <c r="DK108" s="175">
        <f>$AQ108-$BU108</f>
        <v>0</v>
      </c>
      <c r="DL108" s="176" t="e">
        <f>MID(U108,2,LEN(U108))-MID(BW108,2,LEN(BW108))</f>
        <v>#VALUE!</v>
      </c>
      <c r="DM108" s="175" t="e">
        <f>MID(U108,2,LEN(U108))-MID(AS108,2,LEN(AS108))</f>
        <v>#VALUE!</v>
      </c>
      <c r="DN108" s="177"/>
      <c r="DO108" s="178">
        <f>BX108-DB108</f>
        <v>0</v>
      </c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80"/>
      <c r="EC108" s="181">
        <f t="shared" si="179"/>
        <v>0</v>
      </c>
    </row>
    <row r="109" spans="1:133" s="182" customFormat="1" ht="18.75" hidden="1">
      <c r="A109" s="74">
        <v>42</v>
      </c>
      <c r="B109" s="74"/>
      <c r="C109" s="138"/>
      <c r="D109" s="139"/>
      <c r="E109" s="138"/>
      <c r="F109" s="138"/>
      <c r="G109" s="138"/>
      <c r="H109" s="140"/>
      <c r="I109" s="141"/>
      <c r="J109" s="142"/>
      <c r="K109" s="143"/>
      <c r="L109" s="522"/>
      <c r="M109" s="522"/>
      <c r="N109" s="144"/>
      <c r="O109" s="522" t="s">
        <v>269</v>
      </c>
      <c r="P109" s="145" t="s">
        <v>270</v>
      </c>
      <c r="Q109" s="145" t="s">
        <v>271</v>
      </c>
      <c r="R109" s="145"/>
      <c r="S109" s="145" t="s">
        <v>60</v>
      </c>
      <c r="T109" s="145"/>
      <c r="U109" s="147"/>
      <c r="V109" s="147"/>
      <c r="W109" s="147"/>
      <c r="X109" s="542"/>
      <c r="Y109" s="148"/>
      <c r="Z109" s="149"/>
      <c r="AA109" s="149"/>
      <c r="AB109" s="150"/>
      <c r="AC109" s="151"/>
      <c r="AD109" s="151"/>
      <c r="AE109" s="152">
        <f t="shared" si="413"/>
        <v>0</v>
      </c>
      <c r="AF109" s="151"/>
      <c r="AG109" s="152">
        <f t="shared" si="414"/>
        <v>0</v>
      </c>
      <c r="AH109" s="151"/>
      <c r="AI109" s="152">
        <f t="shared" si="415"/>
        <v>0</v>
      </c>
      <c r="AJ109" s="149"/>
      <c r="AK109" s="152">
        <f t="shared" si="416"/>
        <v>0</v>
      </c>
      <c r="AL109" s="149"/>
      <c r="AM109" s="151"/>
      <c r="AN109" s="152">
        <f t="shared" si="417"/>
        <v>0</v>
      </c>
      <c r="AO109" s="151"/>
      <c r="AP109" s="152">
        <f t="shared" si="418"/>
        <v>0</v>
      </c>
      <c r="AQ109" s="149"/>
      <c r="AR109" s="152">
        <f t="shared" si="419"/>
        <v>0</v>
      </c>
      <c r="AS109" s="149"/>
      <c r="AT109" s="149">
        <f>ROUND(((100-AD109)/(100-AM109)*AQ109),0)</f>
        <v>0</v>
      </c>
      <c r="AU109" s="152">
        <f t="shared" si="421"/>
        <v>0</v>
      </c>
      <c r="AV109" s="149">
        <f>ROUND(((100-AD109)/(100-AM109)*AO109),2)</f>
        <v>0</v>
      </c>
      <c r="AW109" s="152">
        <f t="shared" si="423"/>
        <v>0</v>
      </c>
      <c r="AX109" s="151">
        <f t="shared" si="424"/>
        <v>0</v>
      </c>
      <c r="AY109" s="152">
        <f t="shared" si="425"/>
        <v>0</v>
      </c>
      <c r="AZ109" s="153"/>
      <c r="BA109" s="153"/>
      <c r="BB109" s="153"/>
      <c r="BC109" s="154">
        <f>AZ109+BA109*(1-(AZ109/100))+BB109*(1-(AZ109+BA109)/100)</f>
        <v>0</v>
      </c>
      <c r="BD109" s="155">
        <f>BC109*$CD109</f>
        <v>0</v>
      </c>
      <c r="BE109" s="156"/>
      <c r="BF109" s="157"/>
      <c r="BG109" s="157"/>
      <c r="BH109" s="156"/>
      <c r="BI109" s="158">
        <f t="shared" si="427"/>
        <v>0</v>
      </c>
      <c r="BJ109" s="156"/>
      <c r="BK109" s="158">
        <f t="shared" si="428"/>
        <v>0</v>
      </c>
      <c r="BL109" s="156"/>
      <c r="BM109" s="159">
        <f t="shared" si="429"/>
        <v>0</v>
      </c>
      <c r="BN109" s="157"/>
      <c r="BO109" s="159">
        <f t="shared" si="430"/>
        <v>0</v>
      </c>
      <c r="BP109" s="160"/>
      <c r="BQ109" s="156"/>
      <c r="BR109" s="158">
        <f t="shared" si="431"/>
        <v>0</v>
      </c>
      <c r="BS109" s="156"/>
      <c r="BT109" s="159">
        <f t="shared" si="432"/>
        <v>0</v>
      </c>
      <c r="BU109" s="157"/>
      <c r="BV109" s="161">
        <f t="shared" si="433"/>
        <v>0</v>
      </c>
      <c r="BW109" s="157"/>
      <c r="BX109" s="157">
        <f>ROUND(((100-BH109)/(100-BQ109)*BU109),0)</f>
        <v>0</v>
      </c>
      <c r="BY109" s="161">
        <f t="shared" si="434"/>
        <v>0</v>
      </c>
      <c r="BZ109" s="157">
        <f>ROUND(((100-BH109)/(100-BQ109)*BS109),2)</f>
        <v>0</v>
      </c>
      <c r="CA109" s="161">
        <f t="shared" si="435"/>
        <v>0</v>
      </c>
      <c r="CB109" s="156">
        <f>BH109-BQ109</f>
        <v>0</v>
      </c>
      <c r="CC109" s="161">
        <f t="shared" si="436"/>
        <v>0</v>
      </c>
      <c r="CD109" s="162"/>
      <c r="CE109" s="163"/>
      <c r="CF109" s="164"/>
      <c r="CG109" s="165"/>
      <c r="CH109" s="166">
        <f t="shared" si="437"/>
        <v>0</v>
      </c>
      <c r="CI109" s="167"/>
      <c r="CJ109" s="166">
        <f t="shared" si="438"/>
        <v>0</v>
      </c>
      <c r="CK109" s="168"/>
      <c r="CL109" s="166">
        <f t="shared" si="439"/>
        <v>0</v>
      </c>
      <c r="CM109" s="167"/>
      <c r="CN109" s="166">
        <f t="shared" si="440"/>
        <v>0</v>
      </c>
      <c r="CO109" s="169">
        <f t="shared" si="441"/>
        <v>8555.56</v>
      </c>
      <c r="CP109" s="166">
        <f t="shared" si="442"/>
        <v>0</v>
      </c>
      <c r="CQ109" s="174"/>
      <c r="CR109" s="166">
        <f t="shared" si="443"/>
        <v>0</v>
      </c>
      <c r="CS109" s="170">
        <f t="shared" si="444"/>
        <v>0</v>
      </c>
      <c r="CT109" s="166">
        <f t="shared" si="445"/>
        <v>0</v>
      </c>
      <c r="CU109" s="168"/>
      <c r="CV109" s="166">
        <f t="shared" si="446"/>
        <v>0</v>
      </c>
      <c r="CW109" s="170">
        <f>((100-CU109)/(100-CK109))*CM109</f>
        <v>0</v>
      </c>
      <c r="CX109" s="166">
        <f t="shared" si="448"/>
        <v>0</v>
      </c>
      <c r="CY109" s="171">
        <f>((100-CU109)/(100-CK109))*CQ109</f>
        <v>0</v>
      </c>
      <c r="CZ109" s="166">
        <f t="shared" si="450"/>
        <v>0</v>
      </c>
      <c r="DA109" s="170" t="b">
        <f>IF(CY109&gt;=7000,"G1",IF(CY109&gt;=6700,"G2",IF(CY109&gt;=6400,"G3",IF(CY109&gt;=6100,"G4",IF(CY109&gt;=5800,"G5",IF(CY109&gt;=5500,"G6",IF(CY109&gt;=5200,"G7",IF(CY109&gt;=4900,"G8",IF(CY109&gt;=4600,"G9",IF(CY109&gt;=4300,"G10",IF(CY109&gt;=4000,"G11",IF(CY109&gt;=3700,"G12",IF(CY109&gt;=3400,"G13",IF(CY109&gt;=3100,"G14",IF(CY109&gt;=2800,"G15",IF(CY109&gt;=2500,"G16",IF(CY109&gt;=2200,"G17")))))))))))))))))</f>
        <v>0</v>
      </c>
      <c r="DB109" s="171">
        <f t="shared" si="452"/>
        <v>0</v>
      </c>
      <c r="DC109" s="166">
        <f t="shared" si="453"/>
        <v>0</v>
      </c>
      <c r="DD109" s="170">
        <f t="shared" si="454"/>
        <v>0</v>
      </c>
      <c r="DE109" s="221">
        <f t="shared" si="455"/>
        <v>0</v>
      </c>
      <c r="DF109" s="222">
        <f t="shared" si="456"/>
        <v>0</v>
      </c>
      <c r="DG109" s="221">
        <f t="shared" si="457"/>
        <v>0</v>
      </c>
      <c r="DH109" s="172" t="e">
        <f>MID(U109,2,LEN(U109))-MID(DA109,2,LEN(DA109))</f>
        <v>#VALUE!</v>
      </c>
      <c r="DI109" s="173">
        <f>$CY109-$BU109</f>
        <v>0</v>
      </c>
      <c r="DJ109" s="174" t="e">
        <f>MID(U109,2,LEN(U109))-MID(BW109,2,LEN(BW109))</f>
        <v>#VALUE!</v>
      </c>
      <c r="DK109" s="175">
        <f>$AQ109-$BU109</f>
        <v>0</v>
      </c>
      <c r="DL109" s="176" t="e">
        <f>MID(U109,2,LEN(U109))-MID(BW109,2,LEN(BW109))</f>
        <v>#VALUE!</v>
      </c>
      <c r="DM109" s="175" t="e">
        <f>MID(U109,2,LEN(U109))-MID(AS109,2,LEN(AS109))</f>
        <v>#VALUE!</v>
      </c>
      <c r="DN109" s="177"/>
      <c r="DO109" s="178">
        <f>BX109-DB109</f>
        <v>0</v>
      </c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80"/>
      <c r="EC109" s="181">
        <f t="shared" si="179"/>
        <v>0</v>
      </c>
    </row>
    <row r="110" spans="1:133" s="455" customFormat="1" ht="23.25" hidden="1">
      <c r="A110" s="449" t="s">
        <v>220</v>
      </c>
      <c r="B110" s="449"/>
      <c r="C110" s="449"/>
      <c r="D110" s="449"/>
      <c r="E110" s="449"/>
      <c r="F110" s="449"/>
      <c r="G110" s="449"/>
      <c r="H110" s="450">
        <f>SUM(H108:H109)</f>
        <v>0</v>
      </c>
      <c r="I110" s="450">
        <f>SUM(I108:I109)</f>
        <v>0</v>
      </c>
      <c r="J110" s="451"/>
      <c r="K110" s="451"/>
      <c r="L110" s="288"/>
      <c r="M110" s="451"/>
      <c r="N110" s="450">
        <f>SUM(N108:N109)</f>
        <v>0</v>
      </c>
      <c r="O110" s="451"/>
      <c r="P110" s="451"/>
      <c r="Q110" s="451"/>
      <c r="R110" s="451"/>
      <c r="S110" s="451"/>
      <c r="T110" s="451"/>
      <c r="U110" s="451"/>
      <c r="V110" s="451"/>
      <c r="W110" s="451"/>
      <c r="X110" s="450">
        <f>SUM(X108:X109)</f>
        <v>0</v>
      </c>
      <c r="Y110" s="451"/>
      <c r="Z110" s="451"/>
      <c r="AA110" s="451"/>
      <c r="AB110" s="452"/>
      <c r="AC110" s="451"/>
      <c r="AD110" s="451"/>
      <c r="AE110" s="453"/>
      <c r="AF110" s="451"/>
      <c r="AG110" s="453"/>
      <c r="AH110" s="451"/>
      <c r="AI110" s="453"/>
      <c r="AJ110" s="451"/>
      <c r="AK110" s="453"/>
      <c r="AL110" s="451"/>
      <c r="AM110" s="451"/>
      <c r="AN110" s="453"/>
      <c r="AO110" s="451"/>
      <c r="AP110" s="453"/>
      <c r="AQ110" s="451"/>
      <c r="AR110" s="453"/>
      <c r="AS110" s="451"/>
      <c r="AT110" s="451"/>
      <c r="AU110" s="453"/>
      <c r="AV110" s="451"/>
      <c r="AW110" s="453"/>
      <c r="AX110" s="451"/>
      <c r="AY110" s="453"/>
      <c r="AZ110" s="451"/>
      <c r="BA110" s="451"/>
      <c r="BB110" s="451"/>
      <c r="BC110" s="451"/>
      <c r="BD110" s="453"/>
      <c r="BE110" s="450">
        <f>SUM(BE108:BE109)</f>
        <v>0</v>
      </c>
      <c r="BF110" s="451"/>
      <c r="BG110" s="451"/>
      <c r="BH110" s="420" t="e">
        <f t="shared" ref="BH110:BH111" si="458">BI110/$BE110</f>
        <v>#DIV/0!</v>
      </c>
      <c r="BI110" s="450">
        <f>SUM(BI108:BI109)</f>
        <v>0</v>
      </c>
      <c r="BJ110" s="420" t="e">
        <f>BK110/$BE110</f>
        <v>#DIV/0!</v>
      </c>
      <c r="BK110" s="450">
        <f>SUM(BK108:BK109)</f>
        <v>0</v>
      </c>
      <c r="BL110" s="454" t="e">
        <f>BM110/$BE110</f>
        <v>#DIV/0!</v>
      </c>
      <c r="BM110" s="450">
        <f>SUM(BM108:BM109)</f>
        <v>0</v>
      </c>
      <c r="BN110" s="420" t="e">
        <f>BO110/$BE110</f>
        <v>#DIV/0!</v>
      </c>
      <c r="BO110" s="450">
        <f>SUM(BO108:BO109)</f>
        <v>0</v>
      </c>
      <c r="BQ110" s="420" t="e">
        <f>BR110/$BE110</f>
        <v>#DIV/0!</v>
      </c>
      <c r="BR110" s="450">
        <f>SUM(BR108:BR109)</f>
        <v>0</v>
      </c>
      <c r="BS110" s="420" t="e">
        <f>BT110/$BE110</f>
        <v>#DIV/0!</v>
      </c>
      <c r="BT110" s="450">
        <f>SUM(BT108:BT109)</f>
        <v>0</v>
      </c>
      <c r="BU110" s="420" t="e">
        <f>BV110/$BE110</f>
        <v>#DIV/0!</v>
      </c>
      <c r="BV110" s="450">
        <f>SUM(BV108:BV109)</f>
        <v>0</v>
      </c>
      <c r="BX110" s="420" t="e">
        <f>BY110/$BE110</f>
        <v>#DIV/0!</v>
      </c>
      <c r="BY110" s="450">
        <f>SUM(BY108:BY109)</f>
        <v>0</v>
      </c>
      <c r="BZ110" s="420" t="e">
        <f>CA110/$BE110</f>
        <v>#DIV/0!</v>
      </c>
      <c r="CA110" s="450">
        <f>SUM(CA108:CA109)</f>
        <v>0</v>
      </c>
      <c r="CB110" s="420" t="e">
        <f>CC110/$BE110</f>
        <v>#DIV/0!</v>
      </c>
      <c r="CC110" s="450">
        <f>SUM(CC108:CC109)</f>
        <v>0</v>
      </c>
      <c r="CD110" s="450">
        <f>SUM(CD108:CD109)</f>
        <v>0</v>
      </c>
      <c r="CG110" s="456" t="e">
        <f>CH110/$CD110</f>
        <v>#DIV/0!</v>
      </c>
      <c r="CH110" s="457">
        <f>SUM(CH108:CH109)</f>
        <v>0</v>
      </c>
      <c r="CI110" s="458" t="e">
        <f>CJ110/$CD110</f>
        <v>#DIV/0!</v>
      </c>
      <c r="CJ110" s="457">
        <f>SUM(CJ108:CJ109)</f>
        <v>0</v>
      </c>
      <c r="CK110" s="458" t="e">
        <f>CL110/$CD110</f>
        <v>#DIV/0!</v>
      </c>
      <c r="CL110" s="457">
        <f>SUM(CL108:CL109)</f>
        <v>0</v>
      </c>
      <c r="CM110" s="458" t="e">
        <f>CN110/$CD110</f>
        <v>#DIV/0!</v>
      </c>
      <c r="CN110" s="457">
        <f>SUM(CN108:CN109)</f>
        <v>0</v>
      </c>
      <c r="CO110" s="458" t="e">
        <f>CP110/$CD110</f>
        <v>#DIV/0!</v>
      </c>
      <c r="CP110" s="457">
        <f>SUM(CP108:CP109)</f>
        <v>0</v>
      </c>
      <c r="CQ110" s="458" t="e">
        <f>CR110/$CD110</f>
        <v>#DIV/0!</v>
      </c>
      <c r="CR110" s="457">
        <f>SUM(CR108:CR109)</f>
        <v>0</v>
      </c>
      <c r="CS110" s="458" t="e">
        <f>CT110/$CD110</f>
        <v>#DIV/0!</v>
      </c>
      <c r="CT110" s="457">
        <f>SUM(CT108:CT109)</f>
        <v>0</v>
      </c>
      <c r="CU110" s="456" t="e">
        <f>CV110/$CD110</f>
        <v>#DIV/0!</v>
      </c>
      <c r="CV110" s="457">
        <f>SUM(CV108:CV109)</f>
        <v>0</v>
      </c>
      <c r="CW110" s="458" t="e">
        <f>CX110/$CD110</f>
        <v>#DIV/0!</v>
      </c>
      <c r="CX110" s="457">
        <f>SUM(CX108:CX109)</f>
        <v>0</v>
      </c>
      <c r="CY110" s="456" t="e">
        <f>CZ110/$CD110</f>
        <v>#DIV/0!</v>
      </c>
      <c r="CZ110" s="457">
        <f>SUM(CZ108:CZ109)</f>
        <v>0</v>
      </c>
      <c r="DA110" s="429" t="e">
        <f t="shared" ref="DA110:DA111" si="459">IF(CY110&gt;=7000,"G1",IF(CY110&gt;=6700,"G2",IF(CY110&gt;=6400,"G3",IF(CY110&gt;=6100,"G4",IF(CY110&gt;=5800,"G5",IF(CY110&gt;=5500,"G6",IF(CY110&gt;=5200,"G7",IF(CY110&gt;=4900,"G8",IF(CY110&gt;=4600,"G9",IF(CY110&gt;=4300,"G10",IF(CY110&gt;=4000,"G11",IF(CY110&gt;=3700,"G12",IF(CY110&gt;=3400,"G13",IF(CY110&gt;=3100,"G14",IF(CY110&gt;=2800,"G15",IF(CY110&gt;=2500,"G16",IF(CY110&gt;=2200,"G17")))))))))))))))))</f>
        <v>#DIV/0!</v>
      </c>
      <c r="DB110" s="459" t="e">
        <f>DC110/$CD110</f>
        <v>#DIV/0!</v>
      </c>
      <c r="DC110" s="460">
        <f>SUM(DC108:DC109)</f>
        <v>0</v>
      </c>
      <c r="DD110" s="536"/>
      <c r="DE110" s="536"/>
      <c r="DF110" s="536"/>
      <c r="DG110" s="536"/>
      <c r="DH110" s="461"/>
      <c r="EC110" s="181" t="e">
        <f t="shared" si="179"/>
        <v>#DIV/0!</v>
      </c>
    </row>
    <row r="111" spans="1:133" s="465" customFormat="1" ht="18.75">
      <c r="A111" s="462" t="s">
        <v>221</v>
      </c>
      <c r="B111" s="463"/>
      <c r="C111" s="463"/>
      <c r="D111" s="463"/>
      <c r="E111" s="464"/>
      <c r="F111" s="464"/>
      <c r="G111" s="464"/>
      <c r="H111" s="450">
        <f>H97+H110</f>
        <v>261963</v>
      </c>
      <c r="I111" s="450">
        <f>I97+I110</f>
        <v>261713</v>
      </c>
      <c r="J111" s="463"/>
      <c r="K111" s="463"/>
      <c r="L111" s="588"/>
      <c r="M111" s="463"/>
      <c r="N111" s="450">
        <f>N97+N110</f>
        <v>261963</v>
      </c>
      <c r="O111" s="463"/>
      <c r="P111" s="463"/>
      <c r="Q111" s="463"/>
      <c r="R111" s="463"/>
      <c r="S111" s="463"/>
      <c r="T111" s="463"/>
      <c r="U111" s="463"/>
      <c r="V111" s="463"/>
      <c r="W111" s="530" t="e">
        <f>(W97*I97+W110*I110)/I111</f>
        <v>#VALUE!</v>
      </c>
      <c r="X111" s="450">
        <f>X97+X110</f>
        <v>268130.26</v>
      </c>
      <c r="Y111" s="463"/>
      <c r="Z111" s="463"/>
      <c r="AA111" s="463"/>
      <c r="AB111" s="464"/>
      <c r="AC111" s="463"/>
      <c r="AD111" s="463"/>
      <c r="AE111" s="463"/>
      <c r="AF111" s="463"/>
      <c r="AG111" s="463"/>
      <c r="AH111" s="463"/>
      <c r="AI111" s="463"/>
      <c r="AJ111" s="463"/>
      <c r="AK111" s="463"/>
      <c r="AL111" s="463"/>
      <c r="AM111" s="463"/>
      <c r="AN111" s="463"/>
      <c r="AO111" s="463"/>
      <c r="AP111" s="463"/>
      <c r="AQ111" s="532">
        <f>AR111/$I111</f>
        <v>3910.1909657907709</v>
      </c>
      <c r="AR111" s="450">
        <f>AR97+AR110</f>
        <v>1023347808.23</v>
      </c>
      <c r="AS111" s="463"/>
      <c r="AT111" s="463"/>
      <c r="AU111" s="463"/>
      <c r="AV111" s="463"/>
      <c r="AW111" s="463"/>
      <c r="AX111" s="463"/>
      <c r="AY111" s="463"/>
      <c r="AZ111" s="463"/>
      <c r="BA111" s="463"/>
      <c r="BB111" s="463"/>
      <c r="BC111" s="463"/>
      <c r="BD111" s="463"/>
      <c r="BE111" s="450">
        <f>BE97+BE110</f>
        <v>209752.6</v>
      </c>
      <c r="BF111" s="463"/>
      <c r="BG111" s="463"/>
      <c r="BH111" s="420">
        <f t="shared" si="458"/>
        <v>12.170620445105333</v>
      </c>
      <c r="BI111" s="450">
        <f>BI97+BI110</f>
        <v>2552819.2819740009</v>
      </c>
      <c r="BJ111" s="420">
        <f>BK111/$BE111</f>
        <v>7.1519480116098677</v>
      </c>
      <c r="BK111" s="450">
        <f>BK97+BK110</f>
        <v>1500139.6905</v>
      </c>
      <c r="BL111" s="454">
        <f>BM111/$BE111</f>
        <v>42.602739875453274</v>
      </c>
      <c r="BM111" s="450">
        <f>BM97+BM110</f>
        <v>8936035.4560000002</v>
      </c>
      <c r="BN111" s="420">
        <f>BO111/$BE111</f>
        <v>3355.1620499579026</v>
      </c>
      <c r="BO111" s="450">
        <f>BO97+BO110</f>
        <v>703753963.39999998</v>
      </c>
      <c r="BQ111" s="420">
        <f>BR111/$BE111</f>
        <v>6.651986003987556</v>
      </c>
      <c r="BR111" s="450">
        <f>BR97+BR110</f>
        <v>1395271.3595000003</v>
      </c>
      <c r="BS111" s="420">
        <f>BT111/$BE111</f>
        <v>43.658360068003923</v>
      </c>
      <c r="BT111" s="450">
        <f>BT97+BT110</f>
        <v>9157454.5360000003</v>
      </c>
      <c r="BU111" s="420">
        <f>BV111/$I111</f>
        <v>3384.7637648569016</v>
      </c>
      <c r="BV111" s="450">
        <f>BV97+BV110</f>
        <v>885836679.19199431</v>
      </c>
      <c r="BX111" s="420">
        <f>BY111/$I111</f>
        <v>3155.0936895303339</v>
      </c>
      <c r="BY111" s="450">
        <f>BY97+BY110</f>
        <v>825729034.76805222</v>
      </c>
      <c r="BZ111" s="420">
        <f>CA111/$BE111</f>
        <v>40.97554900392177</v>
      </c>
      <c r="CA111" s="450">
        <f>CA97+CA110</f>
        <v>8594727.9400000013</v>
      </c>
      <c r="CB111" s="420">
        <f>CC111/$BE111</f>
        <v>5.4688887144855416</v>
      </c>
      <c r="CC111" s="450">
        <f>CC97+CC110</f>
        <v>1147113.6269740001</v>
      </c>
      <c r="CD111" s="450">
        <f>CD97+CD110</f>
        <v>261963</v>
      </c>
      <c r="CG111" s="456" t="e">
        <f>CH111/$CD111</f>
        <v>#REF!</v>
      </c>
      <c r="CH111" s="457" t="e">
        <f>CH97+CH110</f>
        <v>#REF!</v>
      </c>
      <c r="CI111" s="456">
        <f>CJ111/$CD111</f>
        <v>44.168501219637889</v>
      </c>
      <c r="CJ111" s="457">
        <f>CJ97+CJ110</f>
        <v>11570513.085000001</v>
      </c>
      <c r="CK111" s="456">
        <f>CL111/$CD111</f>
        <v>5.034802424388177</v>
      </c>
      <c r="CL111" s="457">
        <f>CL97+CL110</f>
        <v>1318931.9475</v>
      </c>
      <c r="CM111" s="456">
        <f>CN111/$CD111</f>
        <v>24.770830834888894</v>
      </c>
      <c r="CN111" s="457">
        <f>CN97+CN110</f>
        <v>6489041.1579999998</v>
      </c>
      <c r="CO111" s="456">
        <f>CP111/$CD111</f>
        <v>3665.9965093259361</v>
      </c>
      <c r="CP111" s="457">
        <f>CP97+CP110</f>
        <v>960355443.57255018</v>
      </c>
      <c r="CQ111" s="456">
        <f>CR111/$CD111</f>
        <v>3468.8866545657206</v>
      </c>
      <c r="CR111" s="457">
        <f>CR97+CR110</f>
        <v>908719954.68999982</v>
      </c>
      <c r="CS111" s="456">
        <f>CT111/$CD111</f>
        <v>44.415700676303182</v>
      </c>
      <c r="CT111" s="457">
        <f>CT97+CT110</f>
        <v>11635270.196266411</v>
      </c>
      <c r="CU111" s="456" t="e">
        <f>CV111/$CD111</f>
        <v>#REF!</v>
      </c>
      <c r="CV111" s="457" t="e">
        <f>CV97+CV110</f>
        <v>#REF!</v>
      </c>
      <c r="CW111" s="456" t="e">
        <f>CX111/$CD111</f>
        <v>#REF!</v>
      </c>
      <c r="CX111" s="457" t="e">
        <f>CX97+CX110</f>
        <v>#REF!</v>
      </c>
      <c r="CY111" s="456" t="e">
        <f>CZ111/$CD111</f>
        <v>#REF!</v>
      </c>
      <c r="CZ111" s="457" t="e">
        <f>CZ97+CZ110</f>
        <v>#REF!</v>
      </c>
      <c r="DA111" s="170" t="e">
        <f t="shared" si="459"/>
        <v>#REF!</v>
      </c>
      <c r="DB111" s="459" t="e">
        <f>DC111/$CD111</f>
        <v>#REF!</v>
      </c>
      <c r="DC111" s="460" t="e">
        <f>DC97+DC110</f>
        <v>#REF!</v>
      </c>
      <c r="DD111" s="536"/>
      <c r="DE111" s="536"/>
      <c r="DF111" s="536"/>
      <c r="DG111" s="536"/>
      <c r="EC111" s="181" t="e">
        <f t="shared" si="179"/>
        <v>#REF!</v>
      </c>
    </row>
    <row r="112" spans="1:133" s="465" customFormat="1" ht="18.75">
      <c r="A112" s="592"/>
      <c r="E112" s="593"/>
      <c r="F112" s="593"/>
      <c r="G112" s="593"/>
      <c r="H112" s="536"/>
      <c r="I112" s="450"/>
      <c r="L112" s="594"/>
      <c r="N112" s="536"/>
      <c r="O112" s="463"/>
      <c r="P112" s="463"/>
      <c r="X112" s="536"/>
      <c r="AB112" s="593"/>
      <c r="AC112" s="463"/>
      <c r="AD112" s="463"/>
      <c r="AE112" s="463"/>
      <c r="AF112" s="463"/>
      <c r="AG112" s="463"/>
      <c r="AH112" s="463"/>
      <c r="AI112" s="463"/>
      <c r="AJ112" s="463"/>
      <c r="AK112" s="463"/>
      <c r="AL112" s="463"/>
      <c r="AM112" s="463"/>
      <c r="AN112" s="463"/>
      <c r="AO112" s="463"/>
      <c r="AP112" s="463"/>
      <c r="AQ112" s="463">
        <v>3910</v>
      </c>
      <c r="AR112" s="463"/>
      <c r="AS112" s="463"/>
      <c r="AT112" s="463"/>
      <c r="AU112" s="463"/>
      <c r="AV112" s="463"/>
      <c r="AW112" s="463"/>
      <c r="AX112" s="463"/>
      <c r="AY112" s="463"/>
      <c r="BE112" s="450"/>
      <c r="BF112" s="463"/>
      <c r="BG112" s="463"/>
      <c r="BH112" s="420"/>
      <c r="BI112" s="450"/>
      <c r="BJ112" s="420"/>
      <c r="BK112" s="450"/>
      <c r="BL112" s="454"/>
      <c r="BM112" s="450"/>
      <c r="BN112" s="420"/>
      <c r="BO112" s="450"/>
      <c r="BQ112" s="420"/>
      <c r="BR112" s="450"/>
      <c r="BS112" s="420"/>
      <c r="BT112" s="450"/>
      <c r="BU112" s="420"/>
      <c r="BV112" s="450"/>
      <c r="BX112" s="420">
        <v>3155</v>
      </c>
      <c r="BY112" s="450"/>
      <c r="BZ112" s="420"/>
      <c r="CA112" s="450"/>
      <c r="CB112" s="420"/>
      <c r="CC112" s="450"/>
      <c r="CD112" s="450"/>
      <c r="CG112" s="589"/>
      <c r="CH112" s="590"/>
      <c r="CI112" s="589"/>
      <c r="CJ112" s="590"/>
      <c r="CK112" s="589"/>
      <c r="CL112" s="590"/>
      <c r="CM112" s="589"/>
      <c r="CN112" s="590"/>
      <c r="CO112" s="589"/>
      <c r="CP112" s="590"/>
      <c r="CQ112" s="589"/>
      <c r="CR112" s="590"/>
      <c r="CS112" s="589"/>
      <c r="CT112" s="590"/>
      <c r="CU112" s="589"/>
      <c r="CV112" s="590"/>
      <c r="CW112" s="589"/>
      <c r="CX112" s="590"/>
      <c r="CY112" s="589"/>
      <c r="CZ112" s="590"/>
      <c r="DA112" s="170"/>
      <c r="DB112" s="591"/>
      <c r="DC112" s="460"/>
      <c r="DD112" s="536"/>
      <c r="DE112" s="536"/>
      <c r="DF112" s="536"/>
      <c r="DG112" s="536"/>
      <c r="EC112" s="181"/>
    </row>
    <row r="113" spans="25:133" ht="15.75">
      <c r="Y113" s="467"/>
      <c r="Z113" s="467"/>
      <c r="BE113" s="471"/>
      <c r="BX113" s="133">
        <f>BX111-BX112</f>
        <v>9.3689530333904258E-2</v>
      </c>
      <c r="EC113" s="181">
        <f t="shared" ref="EC113:EC114" si="460">BU113-CY113</f>
        <v>0</v>
      </c>
    </row>
    <row r="114" spans="25:133" ht="15.75">
      <c r="EC114" s="181">
        <f t="shared" si="460"/>
        <v>0</v>
      </c>
    </row>
  </sheetData>
  <mergeCells count="34">
    <mergeCell ref="EC2:EC4"/>
    <mergeCell ref="AD3:AJ3"/>
    <mergeCell ref="AM3:AQ3"/>
    <mergeCell ref="BH3:BO3"/>
    <mergeCell ref="BP3:BW3"/>
    <mergeCell ref="BX3:CA3"/>
    <mergeCell ref="CG3:CQ3"/>
    <mergeCell ref="CS3:CZ3"/>
    <mergeCell ref="DB3:DE3"/>
    <mergeCell ref="A2:E2"/>
    <mergeCell ref="Z2:AX2"/>
    <mergeCell ref="AZ2:BD2"/>
    <mergeCell ref="BE2:CB2"/>
    <mergeCell ref="CE2:DG2"/>
    <mergeCell ref="H10:H11"/>
    <mergeCell ref="X10:X11"/>
    <mergeCell ref="H48:H49"/>
    <mergeCell ref="X48:X49"/>
    <mergeCell ref="H18:H19"/>
    <mergeCell ref="L18:L19"/>
    <mergeCell ref="X18:X19"/>
    <mergeCell ref="H30:H31"/>
    <mergeCell ref="L30:L31"/>
    <mergeCell ref="X30:X31"/>
    <mergeCell ref="H38:H39"/>
    <mergeCell ref="L38:L39"/>
    <mergeCell ref="X38:X39"/>
    <mergeCell ref="H46:H47"/>
    <mergeCell ref="X46:X47"/>
    <mergeCell ref="H52:H54"/>
    <mergeCell ref="L52:L54"/>
    <mergeCell ref="X52:X54"/>
    <mergeCell ref="H59:H60"/>
    <mergeCell ref="X59:X6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H81"/>
  <sheetViews>
    <sheetView topLeftCell="D68" zoomScale="71" zoomScaleNormal="71" workbookViewId="0">
      <selection activeCell="BX5" sqref="BX5:BX81"/>
    </sheetView>
  </sheetViews>
  <sheetFormatPr defaultColWidth="9" defaultRowHeight="15" customHeight="1"/>
  <cols>
    <col min="1" max="1" width="6.140625" customWidth="1"/>
    <col min="2" max="2" width="5.28515625" customWidth="1"/>
    <col min="3" max="3" width="12.7109375" hidden="1" customWidth="1"/>
    <col min="4" max="4" width="12" bestFit="1" customWidth="1"/>
    <col min="5" max="5" width="13.28515625" style="466" bestFit="1" customWidth="1"/>
    <col min="6" max="6" width="10.7109375" style="466" hidden="1" customWidth="1"/>
    <col min="7" max="7" width="10.140625" style="466" hidden="1" customWidth="1"/>
    <col min="8" max="8" width="13.28515625" style="466" customWidth="1"/>
    <col min="9" max="9" width="14" style="131" customWidth="1"/>
    <col min="10" max="10" width="9.28515625" hidden="1" customWidth="1"/>
    <col min="11" max="11" width="12.28515625" hidden="1" customWidth="1"/>
    <col min="12" max="12" width="9.28515625" style="130" hidden="1" customWidth="1"/>
    <col min="13" max="13" width="9.28515625" hidden="1" customWidth="1"/>
    <col min="14" max="14" width="12.42578125" customWidth="1"/>
    <col min="15" max="16" width="8" customWidth="1"/>
    <col min="17" max="17" width="16.42578125" customWidth="1"/>
    <col min="18" max="20" width="9.28515625" hidden="1" customWidth="1"/>
    <col min="21" max="21" width="6.7109375" customWidth="1"/>
    <col min="22" max="23" width="9.28515625" customWidth="1"/>
    <col min="24" max="24" width="12.85546875" style="131" hidden="1" customWidth="1"/>
    <col min="25" max="25" width="12.85546875" style="466" hidden="1" customWidth="1"/>
    <col min="26" max="26" width="11.140625" style="466" hidden="1" customWidth="1"/>
    <col min="27" max="27" width="9.28515625" hidden="1" customWidth="1"/>
    <col min="28" max="28" width="11.7109375" style="466" hidden="1" customWidth="1"/>
    <col min="29" max="30" width="9.28515625" hidden="1" customWidth="1"/>
    <col min="31" max="31" width="9.28515625" style="468" hidden="1" customWidth="1"/>
    <col min="32" max="32" width="9.28515625" hidden="1" customWidth="1"/>
    <col min="33" max="33" width="9.28515625" style="468" hidden="1" customWidth="1"/>
    <col min="34" max="34" width="9.28515625" hidden="1" customWidth="1"/>
    <col min="35" max="35" width="9.28515625" style="468" hidden="1" customWidth="1"/>
    <col min="36" max="36" width="9.28515625" hidden="1" customWidth="1"/>
    <col min="37" max="37" width="9.28515625" style="468" hidden="1" customWidth="1"/>
    <col min="38" max="39" width="9.28515625" hidden="1" customWidth="1"/>
    <col min="40" max="40" width="9.28515625" style="468" hidden="1" customWidth="1"/>
    <col min="41" max="41" width="9.28515625" hidden="1" customWidth="1"/>
    <col min="42" max="42" width="9.28515625" style="468" hidden="1" customWidth="1"/>
    <col min="43" max="43" width="13" customWidth="1"/>
    <col min="44" max="44" width="15.5703125" style="468" customWidth="1"/>
    <col min="45" max="46" width="9.28515625" hidden="1" customWidth="1"/>
    <col min="47" max="47" width="9.28515625" style="468" hidden="1" customWidth="1"/>
    <col min="48" max="48" width="9.28515625" hidden="1" customWidth="1"/>
    <col min="49" max="49" width="9.28515625" style="468" hidden="1" customWidth="1"/>
    <col min="50" max="50" width="9.28515625" hidden="1" customWidth="1"/>
    <col min="51" max="51" width="9.28515625" style="468" hidden="1" customWidth="1"/>
    <col min="52" max="55" width="9.28515625" hidden="1" customWidth="1"/>
    <col min="56" max="56" width="9.28515625" style="468" hidden="1" customWidth="1"/>
    <col min="57" max="60" width="9.28515625" hidden="1" customWidth="1"/>
    <col min="61" max="61" width="9.28515625" style="468" hidden="1" customWidth="1"/>
    <col min="62" max="62" width="9.28515625" hidden="1" customWidth="1"/>
    <col min="63" max="63" width="9.28515625" style="468" hidden="1" customWidth="1"/>
    <col min="64" max="64" width="9.28515625" hidden="1" customWidth="1"/>
    <col min="65" max="65" width="9.28515625" style="468" hidden="1" customWidth="1"/>
    <col min="66" max="66" width="9.28515625" hidden="1" customWidth="1"/>
    <col min="67" max="67" width="9.28515625" style="468" hidden="1" customWidth="1"/>
    <col min="68" max="69" width="9.28515625" hidden="1" customWidth="1"/>
    <col min="70" max="70" width="9.28515625" style="468" hidden="1" customWidth="1"/>
    <col min="71" max="71" width="9.28515625" hidden="1" customWidth="1"/>
    <col min="72" max="72" width="11.85546875" style="468" hidden="1" customWidth="1"/>
    <col min="73" max="73" width="14.7109375" customWidth="1"/>
    <col min="74" max="74" width="14.42578125" style="468" customWidth="1"/>
    <col min="75" max="75" width="9.28515625" customWidth="1"/>
    <col min="76" max="76" width="12.5703125" customWidth="1"/>
    <col min="77" max="77" width="13.5703125" style="468" customWidth="1"/>
    <col min="78" max="78" width="9.28515625" hidden="1" customWidth="1"/>
    <col min="79" max="79" width="9.28515625" style="468" hidden="1" customWidth="1"/>
    <col min="80" max="80" width="12" hidden="1" customWidth="1"/>
    <col min="81" max="81" width="12" style="468" hidden="1" customWidth="1"/>
    <col min="82" max="82" width="15" customWidth="1"/>
    <col min="83" max="83" width="8" hidden="1" customWidth="1"/>
    <col min="84" max="84" width="7.42578125" hidden="1" customWidth="1"/>
    <col min="85" max="85" width="7.28515625" style="132" hidden="1" customWidth="1"/>
    <col min="86" max="86" width="12" style="132" hidden="1" customWidth="1"/>
    <col min="87" max="87" width="6.85546875" hidden="1" customWidth="1"/>
    <col min="88" max="88" width="12" style="468" hidden="1" customWidth="1"/>
    <col min="89" max="89" width="8.42578125" hidden="1" customWidth="1"/>
    <col min="90" max="90" width="12" style="468" hidden="1" customWidth="1"/>
    <col min="91" max="91" width="8.42578125" hidden="1" customWidth="1"/>
    <col min="92" max="92" width="12" style="468" hidden="1" customWidth="1"/>
    <col min="93" max="93" width="8.7109375" hidden="1" customWidth="1"/>
    <col min="94" max="94" width="12" style="468" hidden="1" customWidth="1"/>
    <col min="95" max="95" width="7.85546875" customWidth="1"/>
    <col min="96" max="96" width="12" style="468" hidden="1" customWidth="1"/>
    <col min="97" max="97" width="8.28515625" hidden="1" customWidth="1"/>
    <col min="98" max="98" width="12" style="468" hidden="1" customWidth="1"/>
    <col min="99" max="99" width="7.85546875" hidden="1" customWidth="1"/>
    <col min="100" max="100" width="12" style="468" hidden="1" customWidth="1"/>
    <col min="101" max="101" width="7.42578125" hidden="1" customWidth="1"/>
    <col min="102" max="102" width="12" style="468" hidden="1" customWidth="1"/>
    <col min="103" max="103" width="8.42578125" customWidth="1"/>
    <col min="104" max="104" width="12" style="468" hidden="1" customWidth="1"/>
    <col min="105" max="105" width="7.85546875" customWidth="1"/>
    <col min="106" max="106" width="8" customWidth="1"/>
    <col min="107" max="109" width="12" style="468" hidden="1" customWidth="1"/>
    <col min="110" max="110" width="12" style="469" hidden="1" customWidth="1"/>
    <col min="111" max="112" width="12" style="468" hidden="1" customWidth="1"/>
    <col min="113" max="131" width="12" hidden="1" customWidth="1"/>
    <col min="132" max="132" width="12" style="470" hidden="1" customWidth="1"/>
    <col min="133" max="133" width="12" hidden="1" customWidth="1"/>
    <col min="134" max="134" width="9" hidden="1" customWidth="1"/>
    <col min="135" max="135" width="6.85546875" hidden="1" customWidth="1"/>
    <col min="136" max="137" width="9" hidden="1" customWidth="1"/>
    <col min="138" max="142" width="9" customWidth="1"/>
  </cols>
  <sheetData>
    <row r="1" spans="1:136" ht="18.75">
      <c r="A1" s="74"/>
      <c r="B1" s="74"/>
      <c r="C1" s="138"/>
      <c r="D1" s="139"/>
      <c r="E1" s="138"/>
      <c r="F1" s="138"/>
      <c r="G1" s="138"/>
      <c r="H1" s="140"/>
      <c r="I1" s="141"/>
      <c r="J1" s="142"/>
      <c r="K1" s="143"/>
      <c r="L1" s="522"/>
      <c r="M1" s="522"/>
      <c r="N1" s="144"/>
      <c r="O1" s="522"/>
      <c r="P1" s="145"/>
      <c r="Q1" s="146"/>
      <c r="R1" s="145"/>
      <c r="S1" s="145"/>
      <c r="T1" s="145"/>
      <c r="U1" s="147"/>
      <c r="V1" s="147"/>
      <c r="W1" s="147"/>
      <c r="X1" s="542"/>
      <c r="Y1" s="148"/>
      <c r="Z1" s="148"/>
      <c r="AA1" s="149"/>
      <c r="AB1" s="150"/>
      <c r="AC1" s="151"/>
      <c r="AD1" s="151"/>
      <c r="AE1" s="152"/>
      <c r="AF1" s="151"/>
      <c r="AG1" s="152"/>
      <c r="AH1" s="151"/>
      <c r="AI1" s="152"/>
      <c r="AJ1" s="149"/>
      <c r="AK1" s="152"/>
      <c r="AL1" s="149"/>
      <c r="AM1" s="151"/>
      <c r="AN1" s="152"/>
      <c r="AO1" s="151"/>
      <c r="AP1" s="152"/>
      <c r="AQ1" s="149"/>
      <c r="AR1" s="152"/>
      <c r="AS1" s="149"/>
      <c r="AT1" s="149"/>
      <c r="AU1" s="152"/>
      <c r="AV1" s="149"/>
      <c r="AW1" s="152"/>
      <c r="AX1" s="151"/>
      <c r="AY1" s="152"/>
      <c r="AZ1" s="153"/>
      <c r="BA1" s="153"/>
      <c r="BB1" s="153"/>
      <c r="BC1" s="154"/>
      <c r="BD1" s="155"/>
      <c r="BE1" s="156"/>
      <c r="BF1" s="157"/>
      <c r="BG1" s="157"/>
      <c r="BH1" s="156"/>
      <c r="BI1" s="158"/>
      <c r="BJ1" s="156"/>
      <c r="BK1" s="158"/>
      <c r="BL1" s="156"/>
      <c r="BM1" s="159"/>
      <c r="BN1" s="157"/>
      <c r="BO1" s="159"/>
      <c r="BP1" s="160"/>
      <c r="BQ1" s="156"/>
      <c r="BR1" s="158"/>
      <c r="BS1" s="156"/>
      <c r="BT1" s="159"/>
      <c r="BU1" s="157"/>
      <c r="BV1" s="161"/>
      <c r="BW1" s="157"/>
      <c r="BX1" s="157"/>
      <c r="BY1" s="161"/>
      <c r="BZ1" s="157"/>
      <c r="CA1" s="161"/>
      <c r="CB1" s="156"/>
      <c r="CC1" s="161"/>
      <c r="CD1" s="162"/>
      <c r="CE1" s="163" t="s">
        <v>75</v>
      </c>
      <c r="CF1" s="164"/>
      <c r="CG1" s="165"/>
      <c r="CH1" s="166"/>
      <c r="CI1" s="167"/>
      <c r="CJ1" s="166"/>
      <c r="CK1" s="168"/>
      <c r="CL1" s="166"/>
      <c r="CM1" s="167"/>
      <c r="CN1" s="166"/>
      <c r="CO1" s="169"/>
      <c r="CP1" s="166"/>
      <c r="CQ1" s="167"/>
      <c r="CR1" s="166"/>
      <c r="CS1" s="170"/>
      <c r="CT1" s="166"/>
      <c r="CU1" s="168"/>
      <c r="CV1" s="166"/>
      <c r="CW1" s="170"/>
      <c r="CX1" s="166"/>
      <c r="CY1" s="171"/>
      <c r="CZ1" s="166" t="s">
        <v>76</v>
      </c>
      <c r="DA1" s="170"/>
      <c r="DB1" s="171"/>
      <c r="DC1" s="166"/>
      <c r="DD1" s="166"/>
      <c r="DE1" s="166"/>
      <c r="DF1" s="166"/>
      <c r="DG1" s="166"/>
      <c r="DH1" s="172"/>
      <c r="DI1" s="173"/>
      <c r="DJ1" s="174"/>
      <c r="DK1" s="175"/>
      <c r="DL1" s="176"/>
      <c r="DM1" s="175"/>
      <c r="DN1" s="177"/>
      <c r="DO1" s="178"/>
      <c r="DP1" s="179"/>
      <c r="DQ1" s="179"/>
      <c r="DR1" s="179"/>
      <c r="DS1" s="179"/>
      <c r="DT1" s="179"/>
      <c r="DU1" s="179"/>
      <c r="DV1" s="179"/>
      <c r="DW1" s="179"/>
      <c r="DX1" s="179"/>
      <c r="DY1" s="179"/>
      <c r="DZ1" s="179"/>
      <c r="EA1" s="179"/>
      <c r="EB1" s="180"/>
      <c r="EC1" s="181"/>
      <c r="ED1" s="182"/>
      <c r="EE1" s="182"/>
      <c r="EF1" s="182"/>
    </row>
    <row r="2" spans="1:136" s="562" customFormat="1" ht="27" customHeight="1">
      <c r="A2" s="660" t="s">
        <v>234</v>
      </c>
      <c r="B2" s="661"/>
      <c r="C2" s="661"/>
      <c r="D2" s="661"/>
      <c r="E2" s="662"/>
      <c r="F2" s="138"/>
      <c r="G2" s="138"/>
      <c r="H2" s="140"/>
      <c r="I2" s="141"/>
      <c r="J2" s="142"/>
      <c r="K2" s="143"/>
      <c r="L2" s="522"/>
      <c r="M2" s="522"/>
      <c r="N2" s="144"/>
      <c r="O2" s="522"/>
      <c r="P2" s="145"/>
      <c r="Q2" s="146"/>
      <c r="R2" s="145"/>
      <c r="S2" s="145"/>
      <c r="T2" s="145"/>
      <c r="U2" s="147"/>
      <c r="V2" s="147"/>
      <c r="W2" s="147"/>
      <c r="X2" s="542"/>
      <c r="Y2" s="148"/>
      <c r="Z2" s="663" t="s">
        <v>77</v>
      </c>
      <c r="AA2" s="664"/>
      <c r="AB2" s="664"/>
      <c r="AC2" s="664"/>
      <c r="AD2" s="664"/>
      <c r="AE2" s="664"/>
      <c r="AF2" s="664"/>
      <c r="AG2" s="664"/>
      <c r="AH2" s="664"/>
      <c r="AI2" s="664"/>
      <c r="AJ2" s="664"/>
      <c r="AK2" s="664"/>
      <c r="AL2" s="664"/>
      <c r="AM2" s="664"/>
      <c r="AN2" s="664"/>
      <c r="AO2" s="664"/>
      <c r="AP2" s="664"/>
      <c r="AQ2" s="664"/>
      <c r="AR2" s="664"/>
      <c r="AS2" s="664"/>
      <c r="AT2" s="664"/>
      <c r="AU2" s="664"/>
      <c r="AV2" s="664"/>
      <c r="AW2" s="664"/>
      <c r="AX2" s="665"/>
      <c r="AY2" s="549"/>
      <c r="AZ2" s="666" t="s">
        <v>78</v>
      </c>
      <c r="BA2" s="667"/>
      <c r="BB2" s="667"/>
      <c r="BC2" s="667"/>
      <c r="BD2" s="668"/>
      <c r="BE2" s="669" t="s">
        <v>79</v>
      </c>
      <c r="BF2" s="670"/>
      <c r="BG2" s="670"/>
      <c r="BH2" s="670"/>
      <c r="BI2" s="670"/>
      <c r="BJ2" s="670"/>
      <c r="BK2" s="670"/>
      <c r="BL2" s="670"/>
      <c r="BM2" s="670"/>
      <c r="BN2" s="670"/>
      <c r="BO2" s="670"/>
      <c r="BP2" s="670"/>
      <c r="BQ2" s="670"/>
      <c r="BR2" s="670"/>
      <c r="BS2" s="670"/>
      <c r="BT2" s="670"/>
      <c r="BU2" s="670"/>
      <c r="BV2" s="670"/>
      <c r="BW2" s="670"/>
      <c r="BX2" s="670"/>
      <c r="BY2" s="670"/>
      <c r="BZ2" s="670"/>
      <c r="CA2" s="670"/>
      <c r="CB2" s="671"/>
      <c r="CC2" s="550"/>
      <c r="CD2" s="551"/>
      <c r="CE2" s="672" t="s">
        <v>80</v>
      </c>
      <c r="CF2" s="673"/>
      <c r="CG2" s="673"/>
      <c r="CH2" s="673"/>
      <c r="CI2" s="673"/>
      <c r="CJ2" s="673"/>
      <c r="CK2" s="673"/>
      <c r="CL2" s="673"/>
      <c r="CM2" s="673"/>
      <c r="CN2" s="673"/>
      <c r="CO2" s="673"/>
      <c r="CP2" s="673"/>
      <c r="CQ2" s="673"/>
      <c r="CR2" s="673"/>
      <c r="CS2" s="673"/>
      <c r="CT2" s="673"/>
      <c r="CU2" s="673"/>
      <c r="CV2" s="673"/>
      <c r="CW2" s="673"/>
      <c r="CX2" s="673"/>
      <c r="CY2" s="673"/>
      <c r="CZ2" s="673"/>
      <c r="DA2" s="673"/>
      <c r="DB2" s="673"/>
      <c r="DC2" s="673"/>
      <c r="DD2" s="673"/>
      <c r="DE2" s="673"/>
      <c r="DF2" s="673"/>
      <c r="DG2" s="674"/>
      <c r="DH2" s="552" t="s">
        <v>81</v>
      </c>
      <c r="DI2" s="553" t="s">
        <v>82</v>
      </c>
      <c r="DJ2" s="554" t="s">
        <v>83</v>
      </c>
      <c r="DK2" s="555" t="s">
        <v>84</v>
      </c>
      <c r="DL2" s="556" t="s">
        <v>85</v>
      </c>
      <c r="DM2" s="555" t="s">
        <v>86</v>
      </c>
      <c r="DN2" s="557" t="s">
        <v>87</v>
      </c>
      <c r="DO2" s="558"/>
      <c r="DP2" s="559"/>
      <c r="DQ2" s="559"/>
      <c r="DR2" s="559"/>
      <c r="DS2" s="559"/>
      <c r="DT2" s="559"/>
      <c r="DU2" s="559"/>
      <c r="DV2" s="559"/>
      <c r="DW2" s="559"/>
      <c r="DX2" s="559"/>
      <c r="DY2" s="559"/>
      <c r="DZ2" s="559"/>
      <c r="EA2" s="559"/>
      <c r="EB2" s="560"/>
      <c r="EC2" s="675" t="s">
        <v>235</v>
      </c>
      <c r="ED2" s="561"/>
      <c r="EE2" s="561"/>
      <c r="EF2" s="561"/>
    </row>
    <row r="3" spans="1:136" s="517" customFormat="1" ht="27" customHeight="1">
      <c r="A3" s="201"/>
      <c r="B3" s="201"/>
      <c r="C3" s="183"/>
      <c r="D3" s="184"/>
      <c r="E3" s="183"/>
      <c r="F3" s="183"/>
      <c r="G3" s="183"/>
      <c r="H3" s="185"/>
      <c r="I3" s="186"/>
      <c r="J3" s="187"/>
      <c r="K3" s="188"/>
      <c r="L3" s="190"/>
      <c r="M3" s="190"/>
      <c r="N3" s="189"/>
      <c r="O3" s="190"/>
      <c r="P3" s="191"/>
      <c r="Q3" s="192"/>
      <c r="R3" s="191"/>
      <c r="S3" s="191"/>
      <c r="T3" s="191"/>
      <c r="U3" s="193"/>
      <c r="V3" s="193"/>
      <c r="W3" s="193"/>
      <c r="X3" s="194"/>
      <c r="Y3" s="195"/>
      <c r="Z3" s="196"/>
      <c r="AA3" s="196"/>
      <c r="AB3" s="202"/>
      <c r="AC3" s="498"/>
      <c r="AD3" s="676" t="s">
        <v>88</v>
      </c>
      <c r="AE3" s="677"/>
      <c r="AF3" s="677"/>
      <c r="AG3" s="677"/>
      <c r="AH3" s="677"/>
      <c r="AI3" s="677"/>
      <c r="AJ3" s="678"/>
      <c r="AK3" s="563"/>
      <c r="AL3" s="196" t="s">
        <v>89</v>
      </c>
      <c r="AM3" s="679" t="s">
        <v>90</v>
      </c>
      <c r="AN3" s="680"/>
      <c r="AO3" s="680"/>
      <c r="AP3" s="680"/>
      <c r="AQ3" s="681"/>
      <c r="AR3" s="203"/>
      <c r="AS3" s="196"/>
      <c r="AT3" s="196" t="s">
        <v>91</v>
      </c>
      <c r="AU3" s="203"/>
      <c r="AV3" s="196"/>
      <c r="AW3" s="203"/>
      <c r="AX3" s="498"/>
      <c r="AY3" s="203"/>
      <c r="AZ3" s="500"/>
      <c r="BA3" s="500"/>
      <c r="BB3" s="500"/>
      <c r="BC3" s="501"/>
      <c r="BD3" s="502"/>
      <c r="BE3" s="207"/>
      <c r="BF3" s="206"/>
      <c r="BG3" s="206"/>
      <c r="BH3" s="682" t="s">
        <v>88</v>
      </c>
      <c r="BI3" s="683"/>
      <c r="BJ3" s="683"/>
      <c r="BK3" s="683"/>
      <c r="BL3" s="683"/>
      <c r="BM3" s="683"/>
      <c r="BN3" s="683"/>
      <c r="BO3" s="684"/>
      <c r="BP3" s="682" t="s">
        <v>90</v>
      </c>
      <c r="BQ3" s="683"/>
      <c r="BR3" s="683"/>
      <c r="BS3" s="683"/>
      <c r="BT3" s="683"/>
      <c r="BU3" s="683"/>
      <c r="BV3" s="683"/>
      <c r="BW3" s="684"/>
      <c r="BX3" s="685" t="s">
        <v>92</v>
      </c>
      <c r="BY3" s="686"/>
      <c r="BZ3" s="686"/>
      <c r="CA3" s="687"/>
      <c r="CB3" s="207"/>
      <c r="CC3" s="208"/>
      <c r="CD3" s="209"/>
      <c r="CE3" s="506"/>
      <c r="CF3" s="564"/>
      <c r="CG3" s="688" t="s">
        <v>88</v>
      </c>
      <c r="CH3" s="689"/>
      <c r="CI3" s="689"/>
      <c r="CJ3" s="689"/>
      <c r="CK3" s="689"/>
      <c r="CL3" s="689"/>
      <c r="CM3" s="689"/>
      <c r="CN3" s="689"/>
      <c r="CO3" s="689"/>
      <c r="CP3" s="689"/>
      <c r="CQ3" s="690"/>
      <c r="CR3" s="565"/>
      <c r="CS3" s="691" t="s">
        <v>90</v>
      </c>
      <c r="CT3" s="692"/>
      <c r="CU3" s="692"/>
      <c r="CV3" s="692"/>
      <c r="CW3" s="692"/>
      <c r="CX3" s="692"/>
      <c r="CY3" s="692"/>
      <c r="CZ3" s="693"/>
      <c r="DA3" s="214"/>
      <c r="DB3" s="694" t="s">
        <v>92</v>
      </c>
      <c r="DC3" s="695"/>
      <c r="DD3" s="695"/>
      <c r="DE3" s="696"/>
      <c r="DF3" s="217"/>
      <c r="DG3" s="217"/>
      <c r="DH3" s="509"/>
      <c r="DI3" s="510"/>
      <c r="DJ3" s="511"/>
      <c r="DK3" s="512"/>
      <c r="DL3" s="513"/>
      <c r="DM3" s="512"/>
      <c r="DN3" s="514"/>
      <c r="DO3" s="566"/>
      <c r="DP3" s="515" t="s">
        <v>226</v>
      </c>
      <c r="DQ3" s="515" t="s">
        <v>93</v>
      </c>
      <c r="DR3" s="515" t="s">
        <v>94</v>
      </c>
      <c r="DS3" s="515" t="s">
        <v>95</v>
      </c>
      <c r="DT3" s="515" t="s">
        <v>96</v>
      </c>
      <c r="DU3" s="515"/>
      <c r="DV3" s="515"/>
      <c r="DW3" s="515"/>
      <c r="DX3" s="515" t="s">
        <v>90</v>
      </c>
      <c r="DY3" s="515"/>
      <c r="DZ3" s="515"/>
      <c r="EA3" s="515" t="s">
        <v>227</v>
      </c>
      <c r="EB3" s="516"/>
      <c r="EC3" s="675"/>
      <c r="ED3" s="567"/>
      <c r="EE3" s="567"/>
      <c r="EF3" s="567"/>
    </row>
    <row r="4" spans="1:136" s="517" customFormat="1" ht="27" customHeight="1">
      <c r="A4" s="201" t="s">
        <v>97</v>
      </c>
      <c r="B4" s="201" t="s">
        <v>98</v>
      </c>
      <c r="C4" s="183" t="s">
        <v>99</v>
      </c>
      <c r="D4" s="184" t="s">
        <v>100</v>
      </c>
      <c r="E4" s="183" t="s">
        <v>101</v>
      </c>
      <c r="F4" s="183" t="s">
        <v>102</v>
      </c>
      <c r="G4" s="183" t="s">
        <v>103</v>
      </c>
      <c r="H4" s="185" t="s">
        <v>104</v>
      </c>
      <c r="I4" s="186" t="s">
        <v>105</v>
      </c>
      <c r="J4" s="187" t="s">
        <v>106</v>
      </c>
      <c r="K4" s="188"/>
      <c r="L4" s="190" t="s">
        <v>108</v>
      </c>
      <c r="M4" s="190" t="s">
        <v>109</v>
      </c>
      <c r="N4" s="189" t="s">
        <v>107</v>
      </c>
      <c r="O4" s="190" t="s">
        <v>110</v>
      </c>
      <c r="P4" s="191" t="s">
        <v>111</v>
      </c>
      <c r="Q4" s="192" t="s">
        <v>112</v>
      </c>
      <c r="R4" s="191" t="s">
        <v>113</v>
      </c>
      <c r="S4" s="191" t="s">
        <v>114</v>
      </c>
      <c r="T4" s="191" t="s">
        <v>115</v>
      </c>
      <c r="U4" s="193" t="s">
        <v>116</v>
      </c>
      <c r="V4" s="193" t="s">
        <v>117</v>
      </c>
      <c r="W4" s="193" t="s">
        <v>118</v>
      </c>
      <c r="X4" s="194" t="s">
        <v>119</v>
      </c>
      <c r="Y4" s="195" t="s">
        <v>120</v>
      </c>
      <c r="Z4" s="202" t="s">
        <v>121</v>
      </c>
      <c r="AA4" s="196" t="s">
        <v>122</v>
      </c>
      <c r="AB4" s="202" t="s">
        <v>123</v>
      </c>
      <c r="AC4" s="498" t="s">
        <v>124</v>
      </c>
      <c r="AD4" s="498" t="s">
        <v>125</v>
      </c>
      <c r="AE4" s="203" t="s">
        <v>126</v>
      </c>
      <c r="AF4" s="498" t="s">
        <v>127</v>
      </c>
      <c r="AG4" s="203" t="s">
        <v>128</v>
      </c>
      <c r="AH4" s="498" t="s">
        <v>129</v>
      </c>
      <c r="AI4" s="203" t="s">
        <v>130</v>
      </c>
      <c r="AJ4" s="204" t="s">
        <v>131</v>
      </c>
      <c r="AK4" s="205" t="s">
        <v>132</v>
      </c>
      <c r="AL4" s="499"/>
      <c r="AM4" s="498" t="s">
        <v>133</v>
      </c>
      <c r="AN4" s="203" t="s">
        <v>134</v>
      </c>
      <c r="AO4" s="498" t="s">
        <v>135</v>
      </c>
      <c r="AP4" s="203" t="s">
        <v>136</v>
      </c>
      <c r="AQ4" s="196" t="s">
        <v>137</v>
      </c>
      <c r="AR4" s="203" t="s">
        <v>138</v>
      </c>
      <c r="AS4" s="196" t="s">
        <v>139</v>
      </c>
      <c r="AT4" s="196" t="s">
        <v>140</v>
      </c>
      <c r="AU4" s="203" t="s">
        <v>138</v>
      </c>
      <c r="AV4" s="196" t="s">
        <v>141</v>
      </c>
      <c r="AW4" s="203" t="s">
        <v>142</v>
      </c>
      <c r="AX4" s="498" t="s">
        <v>143</v>
      </c>
      <c r="AY4" s="203" t="s">
        <v>144</v>
      </c>
      <c r="AZ4" s="500" t="s">
        <v>145</v>
      </c>
      <c r="BA4" s="500" t="s">
        <v>146</v>
      </c>
      <c r="BB4" s="500" t="s">
        <v>147</v>
      </c>
      <c r="BC4" s="501" t="s">
        <v>148</v>
      </c>
      <c r="BD4" s="502" t="s">
        <v>126</v>
      </c>
      <c r="BE4" s="207" t="s">
        <v>149</v>
      </c>
      <c r="BF4" s="206" t="s">
        <v>122</v>
      </c>
      <c r="BG4" s="206" t="s">
        <v>123</v>
      </c>
      <c r="BH4" s="207" t="s">
        <v>148</v>
      </c>
      <c r="BI4" s="503" t="s">
        <v>126</v>
      </c>
      <c r="BJ4" s="207" t="s">
        <v>127</v>
      </c>
      <c r="BK4" s="503" t="s">
        <v>128</v>
      </c>
      <c r="BL4" s="207" t="s">
        <v>129</v>
      </c>
      <c r="BM4" s="504" t="s">
        <v>130</v>
      </c>
      <c r="BN4" s="206" t="s">
        <v>131</v>
      </c>
      <c r="BO4" s="504" t="s">
        <v>132</v>
      </c>
      <c r="BP4" s="505" t="s">
        <v>89</v>
      </c>
      <c r="BQ4" s="207" t="s">
        <v>150</v>
      </c>
      <c r="BR4" s="503" t="s">
        <v>151</v>
      </c>
      <c r="BS4" s="505" t="s">
        <v>152</v>
      </c>
      <c r="BT4" s="504" t="s">
        <v>153</v>
      </c>
      <c r="BU4" s="206" t="s">
        <v>154</v>
      </c>
      <c r="BV4" s="208" t="s">
        <v>155</v>
      </c>
      <c r="BW4" s="206" t="s">
        <v>139</v>
      </c>
      <c r="BX4" s="206" t="s">
        <v>140</v>
      </c>
      <c r="BY4" s="208" t="s">
        <v>156</v>
      </c>
      <c r="BZ4" s="206" t="s">
        <v>157</v>
      </c>
      <c r="CA4" s="208" t="s">
        <v>158</v>
      </c>
      <c r="CB4" s="207" t="s">
        <v>143</v>
      </c>
      <c r="CC4" s="208" t="s">
        <v>159</v>
      </c>
      <c r="CD4" s="209" t="s">
        <v>160</v>
      </c>
      <c r="CE4" s="506" t="s">
        <v>145</v>
      </c>
      <c r="CF4" s="507" t="s">
        <v>146</v>
      </c>
      <c r="CG4" s="508" t="s">
        <v>125</v>
      </c>
      <c r="CH4" s="212" t="s">
        <v>126</v>
      </c>
      <c r="CI4" s="210" t="s">
        <v>161</v>
      </c>
      <c r="CJ4" s="212" t="s">
        <v>162</v>
      </c>
      <c r="CK4" s="210" t="s">
        <v>163</v>
      </c>
      <c r="CL4" s="212" t="s">
        <v>164</v>
      </c>
      <c r="CM4" s="210" t="s">
        <v>165</v>
      </c>
      <c r="CN4" s="212" t="s">
        <v>166</v>
      </c>
      <c r="CO4" s="211" t="s">
        <v>167</v>
      </c>
      <c r="CP4" s="212" t="s">
        <v>168</v>
      </c>
      <c r="CQ4" s="213" t="s">
        <v>169</v>
      </c>
      <c r="CR4" s="212" t="s">
        <v>170</v>
      </c>
      <c r="CS4" s="214" t="s">
        <v>171</v>
      </c>
      <c r="CT4" s="217" t="s">
        <v>172</v>
      </c>
      <c r="CU4" s="215" t="s">
        <v>173</v>
      </c>
      <c r="CV4" s="217" t="s">
        <v>174</v>
      </c>
      <c r="CW4" s="214" t="s">
        <v>175</v>
      </c>
      <c r="CX4" s="217" t="s">
        <v>176</v>
      </c>
      <c r="CY4" s="216" t="s">
        <v>154</v>
      </c>
      <c r="CZ4" s="217" t="s">
        <v>177</v>
      </c>
      <c r="DA4" s="214" t="s">
        <v>139</v>
      </c>
      <c r="DB4" s="216" t="s">
        <v>140</v>
      </c>
      <c r="DC4" s="217" t="s">
        <v>156</v>
      </c>
      <c r="DD4" s="218" t="s">
        <v>178</v>
      </c>
      <c r="DE4" s="219" t="s">
        <v>179</v>
      </c>
      <c r="DF4" s="220" t="s">
        <v>143</v>
      </c>
      <c r="DG4" s="219" t="s">
        <v>159</v>
      </c>
      <c r="DH4" s="509"/>
      <c r="DI4" s="510"/>
      <c r="DJ4" s="511"/>
      <c r="DK4" s="512"/>
      <c r="DL4" s="513"/>
      <c r="DM4" s="512"/>
      <c r="DN4" s="514"/>
      <c r="DO4" s="566" t="s">
        <v>236</v>
      </c>
      <c r="DP4" s="515"/>
      <c r="DQ4" s="515"/>
      <c r="DR4" s="515"/>
      <c r="DS4" s="515"/>
      <c r="DT4" s="515"/>
      <c r="DU4" s="515"/>
      <c r="DV4" s="515"/>
      <c r="DW4" s="515"/>
      <c r="DX4" s="515"/>
      <c r="DY4" s="515"/>
      <c r="DZ4" s="515"/>
      <c r="EA4" s="515"/>
      <c r="EB4" s="516"/>
      <c r="EC4" s="675"/>
      <c r="ED4" s="567"/>
      <c r="EE4" s="567"/>
      <c r="EF4" s="567"/>
    </row>
    <row r="5" spans="1:136" s="182" customFormat="1" ht="45">
      <c r="A5" s="74">
        <v>1</v>
      </c>
      <c r="B5" s="74">
        <v>2</v>
      </c>
      <c r="C5" s="138">
        <v>45809</v>
      </c>
      <c r="D5" s="139">
        <v>141000118</v>
      </c>
      <c r="E5" s="138">
        <v>45808</v>
      </c>
      <c r="F5" s="138"/>
      <c r="G5" s="138"/>
      <c r="H5" s="140">
        <v>3950.45</v>
      </c>
      <c r="I5" s="141">
        <v>3950.45</v>
      </c>
      <c r="J5" s="142"/>
      <c r="K5" s="143"/>
      <c r="L5" s="541">
        <v>58</v>
      </c>
      <c r="M5" s="144"/>
      <c r="N5" s="144">
        <v>3950.45</v>
      </c>
      <c r="O5" s="522" t="s">
        <v>180</v>
      </c>
      <c r="P5" s="145" t="s">
        <v>69</v>
      </c>
      <c r="Q5" s="146" t="s">
        <v>50</v>
      </c>
      <c r="R5" s="145"/>
      <c r="S5" s="145" t="s">
        <v>181</v>
      </c>
      <c r="T5" s="145"/>
      <c r="U5" s="147" t="s">
        <v>182</v>
      </c>
      <c r="V5" s="147" t="s">
        <v>183</v>
      </c>
      <c r="W5" s="147">
        <v>4150</v>
      </c>
      <c r="X5" s="519">
        <v>4005.82</v>
      </c>
      <c r="Y5" s="148">
        <v>4005.82</v>
      </c>
      <c r="Z5" s="150" t="s">
        <v>280</v>
      </c>
      <c r="AA5" s="149">
        <v>1644</v>
      </c>
      <c r="AB5" s="150" t="s">
        <v>238</v>
      </c>
      <c r="AC5" s="151">
        <v>4005.82</v>
      </c>
      <c r="AD5" s="151">
        <v>12.35</v>
      </c>
      <c r="AE5" s="152">
        <f t="shared" ref="AE5:AE62" si="0">AD5*$AC5</f>
        <v>49471.877</v>
      </c>
      <c r="AF5" s="151">
        <v>7.43</v>
      </c>
      <c r="AG5" s="152">
        <f t="shared" ref="AG5:AG40" si="1">AF5*$AC5</f>
        <v>29763.242600000001</v>
      </c>
      <c r="AH5" s="151">
        <v>35.85</v>
      </c>
      <c r="AI5" s="152">
        <f t="shared" ref="AI5:AI40" si="2">AH5*$AC5</f>
        <v>143608.647</v>
      </c>
      <c r="AJ5" s="149">
        <v>4147</v>
      </c>
      <c r="AK5" s="152">
        <v>0</v>
      </c>
      <c r="AL5" s="149"/>
      <c r="AM5" s="151">
        <v>8.74</v>
      </c>
      <c r="AN5" s="152">
        <f t="shared" ref="AN5:AN62" si="3">AM5*$AC5</f>
        <v>35010.866800000003</v>
      </c>
      <c r="AO5" s="151">
        <v>35.340000000000003</v>
      </c>
      <c r="AP5" s="152">
        <f t="shared" ref="AP5:AP62" si="4">AO5*$AC5</f>
        <v>141565.67880000002</v>
      </c>
      <c r="AQ5" s="149">
        <v>4088</v>
      </c>
      <c r="AR5" s="152">
        <f>AQ5*$I5</f>
        <v>16149439.6</v>
      </c>
      <c r="AS5" s="149" t="s">
        <v>185</v>
      </c>
      <c r="AT5" s="149">
        <f t="shared" ref="AT5:AT62" si="5">ROUND(((100-AD5)/(100-AM5)*AQ5),0)</f>
        <v>3926</v>
      </c>
      <c r="AU5" s="152">
        <f t="shared" ref="AU5:AU19" si="6">AT5*$AC5</f>
        <v>15726849.32</v>
      </c>
      <c r="AV5" s="149">
        <f t="shared" ref="AV5:AV62" si="7">ROUND(((100-AD5)/(100-AM5)*AO5),2)</f>
        <v>33.94</v>
      </c>
      <c r="AW5" s="152">
        <f t="shared" ref="AW5:AW19" si="8">AV5*$AC5</f>
        <v>135957.53080000001</v>
      </c>
      <c r="AX5" s="151">
        <f t="shared" ref="AX5:AX62" si="9">$AD5-$AM5</f>
        <v>3.6099999999999994</v>
      </c>
      <c r="AY5" s="152">
        <f t="shared" ref="AY5:AY19" si="10">AX5*$AC5</f>
        <v>14461.010199999999</v>
      </c>
      <c r="AZ5" s="153">
        <v>4.0999999999999996</v>
      </c>
      <c r="BA5" s="153">
        <v>6.0389999999999997</v>
      </c>
      <c r="BB5" s="153"/>
      <c r="BC5" s="154">
        <f t="shared" ref="BC5:BC62" si="11">AZ5+BA5*(1-(AZ5/100))+BB5*(1-(AZ5+BA5)/100)</f>
        <v>9.8914009999999983</v>
      </c>
      <c r="BD5" s="155">
        <f t="shared" ref="BD5:BD19" si="12">BC5*$CD5</f>
        <v>39075.485080449995</v>
      </c>
      <c r="BE5" s="156">
        <f t="shared" ref="BE5" si="13">CD5</f>
        <v>3950.45</v>
      </c>
      <c r="BF5" s="157">
        <v>498</v>
      </c>
      <c r="BG5" s="157" t="s">
        <v>253</v>
      </c>
      <c r="BH5" s="156">
        <v>9.89</v>
      </c>
      <c r="BI5" s="158">
        <f t="shared" ref="BI5:BI62" si="14">BH5*$BE5</f>
        <v>39069.950499999999</v>
      </c>
      <c r="BJ5" s="156">
        <v>5.45</v>
      </c>
      <c r="BK5" s="158">
        <f t="shared" ref="BK5:BK62" si="15">BJ5*$BE5</f>
        <v>21529.952499999999</v>
      </c>
      <c r="BL5" s="156">
        <v>53.19</v>
      </c>
      <c r="BM5" s="159">
        <f t="shared" ref="BM5:BM62" si="16">BL5*$BE5</f>
        <v>210124.43549999999</v>
      </c>
      <c r="BN5" s="157">
        <v>2537</v>
      </c>
      <c r="BO5" s="159">
        <f t="shared" ref="BO5:BO62" si="17">BN5*$BE5</f>
        <v>10022291.65</v>
      </c>
      <c r="BP5" s="160"/>
      <c r="BQ5" s="156">
        <v>4.8899999999999997</v>
      </c>
      <c r="BR5" s="158">
        <f t="shared" ref="BR5:BR62" si="18">BQ5*$BE5</f>
        <v>19317.700499999999</v>
      </c>
      <c r="BS5" s="156">
        <v>53.51</v>
      </c>
      <c r="BT5" s="159">
        <f t="shared" ref="BT5:BT62" si="19">BS5*$BE5</f>
        <v>211388.57949999999</v>
      </c>
      <c r="BU5" s="157">
        <v>2552</v>
      </c>
      <c r="BV5" s="161">
        <f>BU5*$I5</f>
        <v>10081548.4</v>
      </c>
      <c r="BW5" s="157" t="s">
        <v>186</v>
      </c>
      <c r="BX5" s="157">
        <f t="shared" ref="BX5:BX44" si="20">ROUND(((100-BH5)/(100-BQ5)*BU5),0)</f>
        <v>2418</v>
      </c>
      <c r="BY5" s="161">
        <f>BX5*$I5</f>
        <v>9552188.0999999996</v>
      </c>
      <c r="BZ5" s="157">
        <f t="shared" ref="BZ5:BZ62" si="21">ROUND(((100-BH5)/(100-BQ5)*BS5),2)</f>
        <v>50.7</v>
      </c>
      <c r="CA5" s="161">
        <f t="shared" ref="CA5:CA19" si="22">BZ5*$BE5</f>
        <v>200287.815</v>
      </c>
      <c r="CB5" s="156">
        <f t="shared" ref="CB5:CB62" si="23">BH5-BQ5</f>
        <v>5.0000000000000009</v>
      </c>
      <c r="CC5" s="161">
        <f t="shared" ref="CC5:CC19" si="24">CB5*$BE5</f>
        <v>19752.250000000004</v>
      </c>
      <c r="CD5" s="162">
        <f>N5</f>
        <v>3950.45</v>
      </c>
      <c r="CE5" s="163">
        <v>3.7</v>
      </c>
      <c r="CF5" s="164">
        <v>6.1</v>
      </c>
      <c r="CG5" s="165">
        <f>CE5+CF5*(1-CE5/100)</f>
        <v>9.5743000000000009</v>
      </c>
      <c r="CH5" s="166">
        <f t="shared" ref="CH5:CH42" si="25">CG5*$CD5</f>
        <v>37822.793435</v>
      </c>
      <c r="CI5" s="167">
        <v>51.11</v>
      </c>
      <c r="CJ5" s="166">
        <f>CI5*$CD5</f>
        <v>201907.49949999998</v>
      </c>
      <c r="CK5" s="168">
        <v>3.88</v>
      </c>
      <c r="CL5" s="166">
        <f t="shared" ref="CL5:CL62" si="26">CK5*$CD5</f>
        <v>15327.745999999999</v>
      </c>
      <c r="CM5" s="167">
        <v>22.46</v>
      </c>
      <c r="CN5" s="166">
        <f t="shared" ref="CN5:CN62" si="27">CM5*$CD5</f>
        <v>88727.107000000004</v>
      </c>
      <c r="CO5" s="169">
        <f t="shared" ref="CO5:CO62" si="28">8555.56-(145.56*CK5+94.11*CI5)</f>
        <v>3180.8251</v>
      </c>
      <c r="CP5" s="166">
        <f t="shared" ref="CP5:CP62" si="29">CO5*$CD5</f>
        <v>12565690.516294999</v>
      </c>
      <c r="CQ5" s="167">
        <v>2865</v>
      </c>
      <c r="CR5" s="166">
        <f>CQ5*$CD5</f>
        <v>11318039.25</v>
      </c>
      <c r="CS5" s="170">
        <f t="shared" ref="CS5:CS62" si="30">((100-CU5)/(100-CK5))*CI5</f>
        <v>50.232643570536823</v>
      </c>
      <c r="CT5" s="166">
        <f t="shared" ref="CT5:CT62" si="31">CS5*$CD5</f>
        <v>198441.54679322717</v>
      </c>
      <c r="CU5" s="168">
        <v>5.53</v>
      </c>
      <c r="CV5" s="166">
        <f t="shared" ref="CV5:CV19" si="32">CU5*$CD5</f>
        <v>21845.988499999999</v>
      </c>
      <c r="CW5" s="170">
        <f t="shared" ref="CW5:CW21" si="33">((100-CU5)/(100-CK5))*CM5</f>
        <v>22.074450686641697</v>
      </c>
      <c r="CX5" s="166">
        <f t="shared" ref="CX5:CX19" si="34">CW5*$CD5</f>
        <v>87204.013715043693</v>
      </c>
      <c r="CY5" s="171">
        <f t="shared" ref="CY5:CY21" si="35">((100-CU5)/(100-CK5))*CQ5</f>
        <v>2815.8192883895126</v>
      </c>
      <c r="CZ5" s="166">
        <f t="shared" ref="CZ5:CZ19" si="36">CY5*$CD5</f>
        <v>11123753.307818349</v>
      </c>
      <c r="DA5" s="170" t="str">
        <f t="shared" ref="DA5:DA64" si="37">IF(CY5&gt;=7000,"G1",IF(CY5&gt;=6700,"G2",IF(CY5&gt;=6400,"G3",IF(CY5&gt;=6100,"G4",IF(CY5&gt;=5800,"G5",IF(CY5&gt;=5500,"G6",IF(CY5&gt;=5200,"G7",IF(CY5&gt;=4900,"G8",IF(CY5&gt;=4600,"G9",IF(CY5&gt;=4300,"G10",IF(CY5&gt;=4000,"G11",IF(CY5&gt;=3700,"G12",IF(CY5&gt;=3400,"G13",IF(CY5&gt;=3100,"G14",IF(CY5&gt;=2800,"G15",IF(CY5&gt;=2500,"G16",IF(CY5&gt;=2200,"G17")))))))))))))))))</f>
        <v>G15</v>
      </c>
      <c r="DB5" s="171">
        <f t="shared" ref="DB5:DB62" si="38">((100-CG5)/(100-CK5))*CQ5</f>
        <v>2695.2728932584273</v>
      </c>
      <c r="DC5" s="166">
        <f t="shared" ref="DC5:DC19" si="39">DB5*$CD5</f>
        <v>10647540.801172754</v>
      </c>
      <c r="DD5" s="170">
        <f>((100-CG5)/(100-CK5))*CI5</f>
        <v>48.082163202247195</v>
      </c>
      <c r="DE5" s="221">
        <f>DD5*$CD5</f>
        <v>189946.18162231741</v>
      </c>
      <c r="DF5" s="222">
        <f>CG5-CU5</f>
        <v>4.0443000000000007</v>
      </c>
      <c r="DG5" s="221">
        <f>DF5*$CD5</f>
        <v>15976.804935000002</v>
      </c>
      <c r="DH5" s="172">
        <f t="shared" ref="DH5:DH61" si="40">MID(U5,2,LEN(U5))-MID(DA5,2,LEN(DA5))</f>
        <v>-4</v>
      </c>
      <c r="DI5" s="173">
        <f t="shared" ref="DI5:DI23" si="41">$CY5-$BU5</f>
        <v>263.81928838951262</v>
      </c>
      <c r="DJ5" s="174">
        <f t="shared" ref="DJ5:DJ23" si="42">MID(U5,2,LEN(U5))-MID(BW5,2,LEN(BW5))</f>
        <v>-5</v>
      </c>
      <c r="DK5" s="175">
        <f t="shared" ref="DK5:DK23" si="43">$AQ5-$BU5</f>
        <v>1536</v>
      </c>
      <c r="DL5" s="176">
        <f t="shared" ref="DL5:DL23" si="44">MID(U5,2,LEN(U5))-MID(BW5,2,LEN(BW5))</f>
        <v>-5</v>
      </c>
      <c r="DM5" s="175">
        <f t="shared" ref="DM5:DM23" si="45">MID(U5,2,LEN(U5))-MID(AS5,2,LEN(AS5))</f>
        <v>0</v>
      </c>
      <c r="DN5" s="177"/>
      <c r="DO5" s="178">
        <f t="shared" ref="DO5:DO61" si="46">BX5-DB5</f>
        <v>-277.2728932584273</v>
      </c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80"/>
      <c r="EC5" s="181">
        <f t="shared" ref="EC5:EC67" si="47">BU5-CY5</f>
        <v>-263.81928838951262</v>
      </c>
      <c r="EE5" s="181"/>
    </row>
    <row r="6" spans="1:136" s="182" customFormat="1" ht="30">
      <c r="A6" s="74">
        <v>2</v>
      </c>
      <c r="B6" s="74">
        <v>5</v>
      </c>
      <c r="C6" s="138">
        <v>45810</v>
      </c>
      <c r="D6" s="139">
        <v>161000133</v>
      </c>
      <c r="E6" s="138">
        <v>45810</v>
      </c>
      <c r="F6" s="138"/>
      <c r="G6" s="138"/>
      <c r="H6" s="140">
        <v>3876.35</v>
      </c>
      <c r="I6" s="141">
        <v>3876.35</v>
      </c>
      <c r="J6" s="142"/>
      <c r="K6" s="143"/>
      <c r="L6" s="541">
        <v>57</v>
      </c>
      <c r="M6" s="144"/>
      <c r="N6" s="144">
        <v>3876.35</v>
      </c>
      <c r="O6" s="522" t="s">
        <v>180</v>
      </c>
      <c r="P6" s="145" t="s">
        <v>228</v>
      </c>
      <c r="Q6" s="146" t="s">
        <v>274</v>
      </c>
      <c r="R6" s="145"/>
      <c r="S6" s="145" t="s">
        <v>181</v>
      </c>
      <c r="T6" s="145"/>
      <c r="U6" s="147" t="s">
        <v>188</v>
      </c>
      <c r="V6" s="147" t="s">
        <v>189</v>
      </c>
      <c r="W6" s="147">
        <v>4450</v>
      </c>
      <c r="X6" s="519">
        <v>3898.58</v>
      </c>
      <c r="Y6" s="148">
        <v>3898.58</v>
      </c>
      <c r="Z6" s="150"/>
      <c r="AA6" s="149"/>
      <c r="AB6" s="150"/>
      <c r="AC6" s="151"/>
      <c r="AD6" s="151"/>
      <c r="AE6" s="152">
        <f t="shared" si="0"/>
        <v>0</v>
      </c>
      <c r="AF6" s="151"/>
      <c r="AG6" s="152">
        <f t="shared" si="1"/>
        <v>0</v>
      </c>
      <c r="AH6" s="151"/>
      <c r="AI6" s="152">
        <f t="shared" si="2"/>
        <v>0</v>
      </c>
      <c r="AJ6" s="149"/>
      <c r="AK6" s="152">
        <v>0</v>
      </c>
      <c r="AL6" s="149"/>
      <c r="AM6" s="151"/>
      <c r="AN6" s="152">
        <f t="shared" si="3"/>
        <v>0</v>
      </c>
      <c r="AO6" s="151"/>
      <c r="AP6" s="152">
        <f t="shared" si="4"/>
        <v>0</v>
      </c>
      <c r="AQ6" s="174">
        <f>W6</f>
        <v>4450</v>
      </c>
      <c r="AR6" s="152">
        <f t="shared" ref="AR6:AR62" si="48">AQ6*$I6</f>
        <v>17249757.5</v>
      </c>
      <c r="AS6" s="149"/>
      <c r="AT6" s="149">
        <f t="shared" si="5"/>
        <v>4450</v>
      </c>
      <c r="AU6" s="152">
        <f t="shared" si="6"/>
        <v>0</v>
      </c>
      <c r="AV6" s="149">
        <f t="shared" si="7"/>
        <v>0</v>
      </c>
      <c r="AW6" s="152">
        <f t="shared" si="8"/>
        <v>0</v>
      </c>
      <c r="AX6" s="151">
        <f t="shared" si="9"/>
        <v>0</v>
      </c>
      <c r="AY6" s="152">
        <f t="shared" si="10"/>
        <v>0</v>
      </c>
      <c r="AZ6" s="153">
        <v>3.7</v>
      </c>
      <c r="BA6" s="153">
        <v>11.589</v>
      </c>
      <c r="BB6" s="153"/>
      <c r="BC6" s="154">
        <f t="shared" si="11"/>
        <v>14.860206999999999</v>
      </c>
      <c r="BD6" s="155">
        <f t="shared" si="12"/>
        <v>57603.363404449992</v>
      </c>
      <c r="BE6" s="156">
        <f>CD6</f>
        <v>3876.35</v>
      </c>
      <c r="BF6" s="157">
        <v>500</v>
      </c>
      <c r="BG6" s="157" t="s">
        <v>238</v>
      </c>
      <c r="BH6" s="156">
        <v>14.86</v>
      </c>
      <c r="BI6" s="158">
        <f t="shared" si="14"/>
        <v>57602.560999999994</v>
      </c>
      <c r="BJ6" s="156">
        <v>6.26</v>
      </c>
      <c r="BK6" s="158">
        <f t="shared" si="15"/>
        <v>24265.950999999997</v>
      </c>
      <c r="BL6" s="156">
        <v>37</v>
      </c>
      <c r="BM6" s="159">
        <f t="shared" si="16"/>
        <v>143424.94999999998</v>
      </c>
      <c r="BN6" s="157">
        <v>4102</v>
      </c>
      <c r="BO6" s="159">
        <f t="shared" si="17"/>
        <v>15900787.699999999</v>
      </c>
      <c r="BP6" s="160"/>
      <c r="BQ6" s="156">
        <v>5.79</v>
      </c>
      <c r="BR6" s="158">
        <f t="shared" si="18"/>
        <v>22444.066500000001</v>
      </c>
      <c r="BS6" s="156">
        <v>37.19</v>
      </c>
      <c r="BT6" s="159">
        <f t="shared" si="19"/>
        <v>144161.4565</v>
      </c>
      <c r="BU6" s="157">
        <v>4123</v>
      </c>
      <c r="BV6" s="161">
        <f t="shared" ref="BV6:BV62" si="49">BU6*$I6</f>
        <v>15982191.049999999</v>
      </c>
      <c r="BW6" s="157" t="s">
        <v>185</v>
      </c>
      <c r="BX6" s="157">
        <f t="shared" si="20"/>
        <v>3726</v>
      </c>
      <c r="BY6" s="161">
        <f t="shared" ref="BY6:BY62" si="50">BX6*$I6</f>
        <v>14443280.1</v>
      </c>
      <c r="BZ6" s="157">
        <f t="shared" si="21"/>
        <v>33.61</v>
      </c>
      <c r="CA6" s="161">
        <f t="shared" si="22"/>
        <v>130284.1235</v>
      </c>
      <c r="CB6" s="156">
        <f t="shared" si="23"/>
        <v>9.07</v>
      </c>
      <c r="CC6" s="161">
        <f t="shared" si="24"/>
        <v>35158.494500000001</v>
      </c>
      <c r="CD6" s="162">
        <f>N6</f>
        <v>3876.35</v>
      </c>
      <c r="CE6" s="163">
        <v>5.3</v>
      </c>
      <c r="CF6" s="164">
        <v>8.67</v>
      </c>
      <c r="CG6" s="165">
        <f t="shared" ref="CG6:CG62" si="51">CE6+CF6*(1-CE6/100)</f>
        <v>13.510490000000001</v>
      </c>
      <c r="CH6" s="166">
        <f t="shared" si="25"/>
        <v>52371.387911500002</v>
      </c>
      <c r="CI6" s="167">
        <v>36.049999999999997</v>
      </c>
      <c r="CJ6" s="166">
        <f t="shared" ref="CJ6:CJ32" si="52">CI6*$CD6</f>
        <v>139742.41749999998</v>
      </c>
      <c r="CK6" s="168">
        <v>4.45</v>
      </c>
      <c r="CL6" s="166">
        <f t="shared" si="26"/>
        <v>17249.7575</v>
      </c>
      <c r="CM6" s="167">
        <v>24.73</v>
      </c>
      <c r="CN6" s="166">
        <f t="shared" si="27"/>
        <v>95862.135500000004</v>
      </c>
      <c r="CO6" s="169">
        <f t="shared" si="28"/>
        <v>4515.1525000000001</v>
      </c>
      <c r="CP6" s="166">
        <f t="shared" si="29"/>
        <v>17502311.393375002</v>
      </c>
      <c r="CQ6" s="167">
        <v>4075</v>
      </c>
      <c r="CR6" s="166">
        <f t="shared" ref="CR6:CR32" si="53">CQ6*$CD6</f>
        <v>15796126.25</v>
      </c>
      <c r="CS6" s="170">
        <f t="shared" si="30"/>
        <v>36.083956043956043</v>
      </c>
      <c r="CT6" s="166">
        <f t="shared" si="31"/>
        <v>139874.043010989</v>
      </c>
      <c r="CU6" s="168">
        <v>4.3600000000000003</v>
      </c>
      <c r="CV6" s="166">
        <f t="shared" si="32"/>
        <v>16900.886000000002</v>
      </c>
      <c r="CW6" s="170">
        <f t="shared" si="33"/>
        <v>24.75329356357928</v>
      </c>
      <c r="CX6" s="166">
        <f t="shared" si="34"/>
        <v>95952.429505180538</v>
      </c>
      <c r="CY6" s="171">
        <f t="shared" si="35"/>
        <v>4078.8383045525902</v>
      </c>
      <c r="CZ6" s="166">
        <f t="shared" si="36"/>
        <v>15811004.861852434</v>
      </c>
      <c r="DA6" s="170" t="str">
        <f t="shared" si="37"/>
        <v>G11</v>
      </c>
      <c r="DB6" s="171">
        <f t="shared" si="38"/>
        <v>3688.5897776033489</v>
      </c>
      <c r="DC6" s="166">
        <f t="shared" si="39"/>
        <v>14298264.984412741</v>
      </c>
      <c r="DD6" s="170">
        <f t="shared" ref="DD6:DD62" si="54">((100-CG6)/(100-CK6))*CI6</f>
        <v>32.631573369963363</v>
      </c>
      <c r="DE6" s="221">
        <f t="shared" ref="DE6:DE63" si="55">DD6*$CD6</f>
        <v>126491.39943265748</v>
      </c>
      <c r="DF6" s="222">
        <f t="shared" ref="DF6:DF62" si="56">CG6-CU6</f>
        <v>9.1504900000000013</v>
      </c>
      <c r="DG6" s="221">
        <f t="shared" ref="DG6:DG63" si="57">DF6*$CD6</f>
        <v>35470.501911500003</v>
      </c>
      <c r="DH6" s="172">
        <f t="shared" si="40"/>
        <v>-1</v>
      </c>
      <c r="DI6" s="173">
        <f t="shared" si="41"/>
        <v>-44.161695447409784</v>
      </c>
      <c r="DJ6" s="174">
        <f t="shared" si="42"/>
        <v>-1</v>
      </c>
      <c r="DK6" s="175">
        <f t="shared" si="43"/>
        <v>327</v>
      </c>
      <c r="DL6" s="176">
        <f t="shared" si="44"/>
        <v>-1</v>
      </c>
      <c r="DM6" s="175" t="e">
        <f t="shared" si="45"/>
        <v>#VALUE!</v>
      </c>
      <c r="DN6" s="177"/>
      <c r="DO6" s="178">
        <f t="shared" si="46"/>
        <v>37.410222396651079</v>
      </c>
      <c r="DP6" s="179"/>
      <c r="DQ6" s="179"/>
      <c r="DR6" s="179"/>
      <c r="DS6" s="179"/>
      <c r="DT6" s="179"/>
      <c r="DU6" s="179"/>
      <c r="DV6" s="179"/>
      <c r="DW6" s="179"/>
      <c r="DX6" s="179"/>
      <c r="DY6" s="179"/>
      <c r="DZ6" s="179"/>
      <c r="EA6" s="179"/>
      <c r="EB6" s="180"/>
      <c r="EC6" s="181">
        <f t="shared" si="47"/>
        <v>44.161695447409784</v>
      </c>
      <c r="EE6" s="181"/>
    </row>
    <row r="7" spans="1:136" s="182" customFormat="1" ht="30">
      <c r="A7" s="74">
        <v>3</v>
      </c>
      <c r="B7" s="74">
        <v>8</v>
      </c>
      <c r="C7" s="138">
        <v>45810</v>
      </c>
      <c r="D7" s="139">
        <v>151001313</v>
      </c>
      <c r="E7" s="138">
        <v>45809</v>
      </c>
      <c r="F7" s="138"/>
      <c r="G7" s="138"/>
      <c r="H7" s="140">
        <v>4026</v>
      </c>
      <c r="I7" s="141">
        <v>4026</v>
      </c>
      <c r="J7" s="142"/>
      <c r="K7" s="143"/>
      <c r="L7" s="541">
        <v>59</v>
      </c>
      <c r="M7" s="144"/>
      <c r="N7" s="144">
        <v>4026</v>
      </c>
      <c r="O7" s="522" t="s">
        <v>180</v>
      </c>
      <c r="P7" s="145" t="s">
        <v>71</v>
      </c>
      <c r="Q7" s="146" t="s">
        <v>222</v>
      </c>
      <c r="R7" s="145"/>
      <c r="S7" s="145" t="s">
        <v>181</v>
      </c>
      <c r="T7" s="145"/>
      <c r="U7" s="147" t="s">
        <v>190</v>
      </c>
      <c r="V7" s="147" t="s">
        <v>194</v>
      </c>
      <c r="W7" s="147">
        <v>3550</v>
      </c>
      <c r="X7" s="519">
        <v>4057.7</v>
      </c>
      <c r="Y7" s="148">
        <v>4057.7</v>
      </c>
      <c r="Z7" s="150" t="s">
        <v>281</v>
      </c>
      <c r="AA7" s="149">
        <v>1653</v>
      </c>
      <c r="AB7" s="150" t="s">
        <v>238</v>
      </c>
      <c r="AC7" s="151">
        <v>4057.7</v>
      </c>
      <c r="AD7" s="151">
        <v>11.26</v>
      </c>
      <c r="AE7" s="152">
        <f t="shared" si="0"/>
        <v>45689.701999999997</v>
      </c>
      <c r="AF7" s="151">
        <v>5.2</v>
      </c>
      <c r="AG7" s="152">
        <f t="shared" si="1"/>
        <v>21100.04</v>
      </c>
      <c r="AH7" s="151">
        <v>44.15</v>
      </c>
      <c r="AI7" s="152">
        <f t="shared" si="2"/>
        <v>179147.45499999999</v>
      </c>
      <c r="AJ7" s="149">
        <v>3517</v>
      </c>
      <c r="AK7" s="152">
        <f t="shared" ref="AK7:AK21" si="58">AJ7*$AC7</f>
        <v>14270930.899999999</v>
      </c>
      <c r="AL7" s="149"/>
      <c r="AM7" s="151">
        <v>7</v>
      </c>
      <c r="AN7" s="152">
        <f t="shared" si="3"/>
        <v>28403.899999999998</v>
      </c>
      <c r="AO7" s="151">
        <v>43.31</v>
      </c>
      <c r="AP7" s="152">
        <f t="shared" si="4"/>
        <v>175738.98699999999</v>
      </c>
      <c r="AQ7" s="149">
        <v>3450</v>
      </c>
      <c r="AR7" s="152">
        <f t="shared" si="48"/>
        <v>13889700</v>
      </c>
      <c r="AS7" s="149" t="s">
        <v>190</v>
      </c>
      <c r="AT7" s="149">
        <f t="shared" si="5"/>
        <v>3292</v>
      </c>
      <c r="AU7" s="152">
        <f t="shared" si="6"/>
        <v>13357948.399999999</v>
      </c>
      <c r="AV7" s="149">
        <f t="shared" si="7"/>
        <v>41.33</v>
      </c>
      <c r="AW7" s="152">
        <f t="shared" si="8"/>
        <v>167704.74099999998</v>
      </c>
      <c r="AX7" s="151">
        <f t="shared" si="9"/>
        <v>4.26</v>
      </c>
      <c r="AY7" s="152">
        <f t="shared" si="10"/>
        <v>17285.802</v>
      </c>
      <c r="AZ7" s="153">
        <v>5.5</v>
      </c>
      <c r="BA7" s="153">
        <v>9.0640000000000001</v>
      </c>
      <c r="BB7" s="153"/>
      <c r="BC7" s="154">
        <f t="shared" si="11"/>
        <v>14.065479999999999</v>
      </c>
      <c r="BD7" s="155">
        <f t="shared" si="12"/>
        <v>56627.622479999998</v>
      </c>
      <c r="BE7" s="156">
        <f t="shared" ref="BE7:BE16" si="59">CD7</f>
        <v>4026</v>
      </c>
      <c r="BF7" s="157">
        <v>500</v>
      </c>
      <c r="BG7" s="157" t="s">
        <v>238</v>
      </c>
      <c r="BH7" s="156">
        <v>14.07</v>
      </c>
      <c r="BI7" s="158">
        <f t="shared" si="14"/>
        <v>56645.82</v>
      </c>
      <c r="BJ7" s="156">
        <v>7.25</v>
      </c>
      <c r="BK7" s="158">
        <f t="shared" si="15"/>
        <v>29188.5</v>
      </c>
      <c r="BL7" s="156">
        <v>34.49</v>
      </c>
      <c r="BM7" s="159">
        <f t="shared" si="16"/>
        <v>138856.74000000002</v>
      </c>
      <c r="BN7" s="157">
        <v>4012</v>
      </c>
      <c r="BO7" s="159">
        <f t="shared" si="17"/>
        <v>16152312</v>
      </c>
      <c r="BP7" s="160"/>
      <c r="BQ7" s="156">
        <v>6.92</v>
      </c>
      <c r="BR7" s="158">
        <f t="shared" si="18"/>
        <v>27859.919999999998</v>
      </c>
      <c r="BS7" s="156">
        <v>34.61</v>
      </c>
      <c r="BT7" s="159">
        <f t="shared" si="19"/>
        <v>139339.85999999999</v>
      </c>
      <c r="BU7" s="157">
        <v>4026</v>
      </c>
      <c r="BV7" s="161">
        <f t="shared" si="49"/>
        <v>16208676</v>
      </c>
      <c r="BW7" s="157" t="s">
        <v>185</v>
      </c>
      <c r="BX7" s="157">
        <f t="shared" si="20"/>
        <v>3717</v>
      </c>
      <c r="BY7" s="161">
        <f t="shared" si="50"/>
        <v>14964642</v>
      </c>
      <c r="BZ7" s="157">
        <f t="shared" si="21"/>
        <v>31.95</v>
      </c>
      <c r="CA7" s="161">
        <f t="shared" si="22"/>
        <v>128630.7</v>
      </c>
      <c r="CB7" s="156">
        <f t="shared" si="23"/>
        <v>7.15</v>
      </c>
      <c r="CC7" s="161">
        <f t="shared" si="24"/>
        <v>28785.9</v>
      </c>
      <c r="CD7" s="162">
        <f>N7</f>
        <v>4026</v>
      </c>
      <c r="CE7" s="163">
        <v>6.4</v>
      </c>
      <c r="CF7" s="164">
        <v>9.2100000000000009</v>
      </c>
      <c r="CG7" s="165">
        <f t="shared" si="51"/>
        <v>15.020560000000001</v>
      </c>
      <c r="CH7" s="166">
        <f t="shared" si="25"/>
        <v>60472.774560000005</v>
      </c>
      <c r="CI7" s="167">
        <v>33.01</v>
      </c>
      <c r="CJ7" s="166">
        <f t="shared" si="52"/>
        <v>132898.25999999998</v>
      </c>
      <c r="CK7" s="168">
        <v>5.4</v>
      </c>
      <c r="CL7" s="166">
        <f t="shared" si="26"/>
        <v>21740.400000000001</v>
      </c>
      <c r="CM7" s="167">
        <v>26.53</v>
      </c>
      <c r="CN7" s="166">
        <f t="shared" si="27"/>
        <v>106809.78</v>
      </c>
      <c r="CO7" s="169">
        <f t="shared" si="28"/>
        <v>4662.9648999999999</v>
      </c>
      <c r="CP7" s="166">
        <f t="shared" si="29"/>
        <v>18773096.687399998</v>
      </c>
      <c r="CQ7" s="167">
        <v>4007</v>
      </c>
      <c r="CR7" s="166">
        <f t="shared" si="53"/>
        <v>16132182</v>
      </c>
      <c r="CS7" s="170">
        <f t="shared" si="30"/>
        <v>32.936721987315011</v>
      </c>
      <c r="CT7" s="166">
        <f t="shared" si="31"/>
        <v>132603.24272093023</v>
      </c>
      <c r="CU7" s="168">
        <v>5.61</v>
      </c>
      <c r="CV7" s="166">
        <f t="shared" si="32"/>
        <v>22585.86</v>
      </c>
      <c r="CW7" s="170">
        <f t="shared" si="33"/>
        <v>26.471106765327697</v>
      </c>
      <c r="CX7" s="166">
        <f t="shared" si="34"/>
        <v>106572.6758372093</v>
      </c>
      <c r="CY7" s="171">
        <f t="shared" si="35"/>
        <v>3998.1049682875268</v>
      </c>
      <c r="CZ7" s="166">
        <f t="shared" si="36"/>
        <v>16096370.602325583</v>
      </c>
      <c r="DA7" s="170" t="str">
        <f t="shared" si="37"/>
        <v>G12</v>
      </c>
      <c r="DB7" s="171">
        <f t="shared" si="38"/>
        <v>3599.4991128964057</v>
      </c>
      <c r="DC7" s="166">
        <f t="shared" si="39"/>
        <v>14491583.428520929</v>
      </c>
      <c r="DD7" s="170">
        <f t="shared" si="54"/>
        <v>29.65297372515856</v>
      </c>
      <c r="DE7" s="221">
        <f t="shared" si="55"/>
        <v>119382.87221748836</v>
      </c>
      <c r="DF7" s="222">
        <f t="shared" si="56"/>
        <v>9.4105600000000003</v>
      </c>
      <c r="DG7" s="221">
        <f t="shared" si="57"/>
        <v>37886.914559999997</v>
      </c>
      <c r="DH7" s="172">
        <f t="shared" si="40"/>
        <v>1</v>
      </c>
      <c r="DI7" s="173">
        <f t="shared" si="41"/>
        <v>-27.895031712473155</v>
      </c>
      <c r="DJ7" s="174">
        <f t="shared" si="42"/>
        <v>2</v>
      </c>
      <c r="DK7" s="175">
        <f t="shared" si="43"/>
        <v>-576</v>
      </c>
      <c r="DL7" s="176">
        <f t="shared" si="44"/>
        <v>2</v>
      </c>
      <c r="DM7" s="175">
        <f t="shared" si="45"/>
        <v>0</v>
      </c>
      <c r="DN7" s="177"/>
      <c r="DO7" s="178">
        <f t="shared" si="46"/>
        <v>117.50088710359432</v>
      </c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80"/>
      <c r="EC7" s="181">
        <f t="shared" si="47"/>
        <v>27.895031712473155</v>
      </c>
      <c r="EE7" s="181"/>
    </row>
    <row r="8" spans="1:136" s="182" customFormat="1" ht="30">
      <c r="A8" s="74">
        <v>4</v>
      </c>
      <c r="B8" s="74">
        <v>10</v>
      </c>
      <c r="C8" s="138">
        <v>45811</v>
      </c>
      <c r="D8" s="139">
        <v>151000184</v>
      </c>
      <c r="E8" s="138">
        <v>45808</v>
      </c>
      <c r="F8" s="138"/>
      <c r="G8" s="138"/>
      <c r="H8" s="140">
        <v>3921.25</v>
      </c>
      <c r="I8" s="141">
        <v>3921.25</v>
      </c>
      <c r="J8" s="142"/>
      <c r="K8" s="143"/>
      <c r="L8" s="541">
        <v>58</v>
      </c>
      <c r="M8" s="144"/>
      <c r="N8" s="144">
        <v>3921.25</v>
      </c>
      <c r="O8" s="522" t="s">
        <v>180</v>
      </c>
      <c r="P8" s="145" t="s">
        <v>70</v>
      </c>
      <c r="Q8" s="146" t="s">
        <v>64</v>
      </c>
      <c r="R8" s="145"/>
      <c r="S8" s="145" t="s">
        <v>181</v>
      </c>
      <c r="T8" s="145"/>
      <c r="U8" s="147" t="s">
        <v>188</v>
      </c>
      <c r="V8" s="147" t="s">
        <v>189</v>
      </c>
      <c r="W8" s="147">
        <v>4450</v>
      </c>
      <c r="X8" s="519">
        <v>3956.11</v>
      </c>
      <c r="Y8" s="148">
        <v>3956.11</v>
      </c>
      <c r="Z8" s="150" t="s">
        <v>280</v>
      </c>
      <c r="AA8" s="149">
        <v>1653</v>
      </c>
      <c r="AB8" s="150" t="s">
        <v>238</v>
      </c>
      <c r="AC8" s="151">
        <v>3956.11</v>
      </c>
      <c r="AD8" s="151">
        <v>11.11</v>
      </c>
      <c r="AE8" s="152">
        <f t="shared" si="0"/>
        <v>43952.382100000003</v>
      </c>
      <c r="AF8" s="151">
        <v>7.22</v>
      </c>
      <c r="AG8" s="152">
        <f t="shared" si="1"/>
        <v>28563.1142</v>
      </c>
      <c r="AH8" s="151">
        <v>30.88</v>
      </c>
      <c r="AI8" s="152">
        <f t="shared" si="2"/>
        <v>122164.6768</v>
      </c>
      <c r="AJ8" s="149">
        <v>4342</v>
      </c>
      <c r="AK8" s="152">
        <f t="shared" si="58"/>
        <v>17177429.620000001</v>
      </c>
      <c r="AL8" s="149"/>
      <c r="AM8" s="151">
        <v>7.03</v>
      </c>
      <c r="AN8" s="152">
        <f t="shared" si="3"/>
        <v>27811.453300000001</v>
      </c>
      <c r="AO8" s="151">
        <v>30.94</v>
      </c>
      <c r="AP8" s="152">
        <f t="shared" si="4"/>
        <v>122402.04340000001</v>
      </c>
      <c r="AQ8" s="149">
        <v>4351</v>
      </c>
      <c r="AR8" s="152">
        <f t="shared" si="48"/>
        <v>17061358.75</v>
      </c>
      <c r="AS8" s="149" t="s">
        <v>188</v>
      </c>
      <c r="AT8" s="149">
        <f t="shared" si="5"/>
        <v>4160</v>
      </c>
      <c r="AU8" s="152">
        <f t="shared" si="6"/>
        <v>16457417.6</v>
      </c>
      <c r="AV8" s="149">
        <f t="shared" si="7"/>
        <v>29.58</v>
      </c>
      <c r="AW8" s="152">
        <f t="shared" si="8"/>
        <v>117021.7338</v>
      </c>
      <c r="AX8" s="151">
        <f t="shared" si="9"/>
        <v>4.0799999999999992</v>
      </c>
      <c r="AY8" s="152">
        <f t="shared" si="10"/>
        <v>16140.928799999998</v>
      </c>
      <c r="AZ8" s="153">
        <v>2.1</v>
      </c>
      <c r="BA8" s="153">
        <v>8.9670000000000005</v>
      </c>
      <c r="BB8" s="153"/>
      <c r="BC8" s="154">
        <f t="shared" si="11"/>
        <v>10.878693</v>
      </c>
      <c r="BD8" s="155">
        <f t="shared" si="12"/>
        <v>42658.074926250003</v>
      </c>
      <c r="BE8" s="156">
        <f>CD8</f>
        <v>3921.25</v>
      </c>
      <c r="BF8" s="157">
        <v>500</v>
      </c>
      <c r="BG8" s="157" t="s">
        <v>238</v>
      </c>
      <c r="BH8" s="156">
        <v>10.88</v>
      </c>
      <c r="BI8" s="158">
        <f t="shared" si="14"/>
        <v>42663.200000000004</v>
      </c>
      <c r="BJ8" s="156">
        <v>5.69</v>
      </c>
      <c r="BK8" s="158">
        <f t="shared" si="15"/>
        <v>22311.912500000002</v>
      </c>
      <c r="BL8" s="156">
        <v>48.2</v>
      </c>
      <c r="BM8" s="159">
        <f t="shared" si="16"/>
        <v>189004.25</v>
      </c>
      <c r="BN8" s="157">
        <v>3075</v>
      </c>
      <c r="BO8" s="159">
        <f t="shared" si="17"/>
        <v>12057843.75</v>
      </c>
      <c r="BP8" s="160"/>
      <c r="BQ8" s="156">
        <v>5.38</v>
      </c>
      <c r="BR8" s="158">
        <f t="shared" si="18"/>
        <v>21096.325000000001</v>
      </c>
      <c r="BS8" s="156">
        <v>48.36</v>
      </c>
      <c r="BT8" s="159">
        <f t="shared" si="19"/>
        <v>189631.65</v>
      </c>
      <c r="BU8" s="157">
        <v>3085</v>
      </c>
      <c r="BV8" s="161">
        <f t="shared" si="49"/>
        <v>12097056.25</v>
      </c>
      <c r="BW8" s="157" t="s">
        <v>187</v>
      </c>
      <c r="BX8" s="157">
        <f t="shared" si="20"/>
        <v>2906</v>
      </c>
      <c r="BY8" s="161">
        <f t="shared" si="50"/>
        <v>11395152.5</v>
      </c>
      <c r="BZ8" s="157">
        <f t="shared" si="21"/>
        <v>45.55</v>
      </c>
      <c r="CA8" s="161">
        <f t="shared" si="22"/>
        <v>178612.9375</v>
      </c>
      <c r="CB8" s="156">
        <f t="shared" si="23"/>
        <v>5.5000000000000009</v>
      </c>
      <c r="CC8" s="161">
        <f t="shared" si="24"/>
        <v>21566.875000000004</v>
      </c>
      <c r="CD8" s="162">
        <f>N8</f>
        <v>3921.25</v>
      </c>
      <c r="CE8" s="163">
        <v>2.2999999999999998</v>
      </c>
      <c r="CF8" s="164">
        <v>6.91</v>
      </c>
      <c r="CG8" s="165">
        <f t="shared" si="51"/>
        <v>9.0510699999999993</v>
      </c>
      <c r="CH8" s="166">
        <f t="shared" si="25"/>
        <v>35491.508237499998</v>
      </c>
      <c r="CI8" s="167">
        <v>47.58</v>
      </c>
      <c r="CJ8" s="166">
        <f t="shared" si="52"/>
        <v>186573.07499999998</v>
      </c>
      <c r="CK8" s="168">
        <v>3.56</v>
      </c>
      <c r="CL8" s="166">
        <f t="shared" si="26"/>
        <v>13959.65</v>
      </c>
      <c r="CM8" s="167">
        <v>23.18</v>
      </c>
      <c r="CN8" s="166">
        <f t="shared" si="27"/>
        <v>90894.574999999997</v>
      </c>
      <c r="CO8" s="169">
        <f t="shared" si="28"/>
        <v>3559.6126000000004</v>
      </c>
      <c r="CP8" s="166">
        <f t="shared" si="29"/>
        <v>13958130.907750001</v>
      </c>
      <c r="CQ8" s="167">
        <v>3191</v>
      </c>
      <c r="CR8" s="166">
        <f t="shared" si="53"/>
        <v>12512708.75</v>
      </c>
      <c r="CS8" s="170">
        <f t="shared" si="30"/>
        <v>47.081702613023644</v>
      </c>
      <c r="CT8" s="166">
        <f t="shared" si="31"/>
        <v>184619.12637131897</v>
      </c>
      <c r="CU8" s="168">
        <v>4.57</v>
      </c>
      <c r="CV8" s="166">
        <f t="shared" si="32"/>
        <v>17920.112500000003</v>
      </c>
      <c r="CW8" s="170">
        <f t="shared" si="33"/>
        <v>22.93723973454998</v>
      </c>
      <c r="CX8" s="166">
        <f t="shared" si="34"/>
        <v>89942.651309104112</v>
      </c>
      <c r="CY8" s="171">
        <f t="shared" si="35"/>
        <v>3157.581190377437</v>
      </c>
      <c r="CZ8" s="166">
        <f t="shared" si="36"/>
        <v>12381665.242767524</v>
      </c>
      <c r="DA8" s="170" t="str">
        <f t="shared" si="37"/>
        <v>G14</v>
      </c>
      <c r="DB8" s="171">
        <f t="shared" si="38"/>
        <v>3009.3118584612198</v>
      </c>
      <c r="DC8" s="166">
        <f t="shared" si="39"/>
        <v>11800264.124991057</v>
      </c>
      <c r="DD8" s="170">
        <f t="shared" si="54"/>
        <v>44.870905116134388</v>
      </c>
      <c r="DE8" s="221">
        <f t="shared" si="55"/>
        <v>175950.03668664198</v>
      </c>
      <c r="DF8" s="222">
        <f t="shared" si="56"/>
        <v>4.481069999999999</v>
      </c>
      <c r="DG8" s="221">
        <f t="shared" si="57"/>
        <v>17571.395737499995</v>
      </c>
      <c r="DH8" s="172">
        <f t="shared" si="40"/>
        <v>-4</v>
      </c>
      <c r="DI8" s="173">
        <f t="shared" si="41"/>
        <v>72.581190377436997</v>
      </c>
      <c r="DJ8" s="174">
        <f t="shared" si="42"/>
        <v>-5</v>
      </c>
      <c r="DK8" s="175">
        <f t="shared" si="43"/>
        <v>1266</v>
      </c>
      <c r="DL8" s="176">
        <f t="shared" si="44"/>
        <v>-5</v>
      </c>
      <c r="DM8" s="175">
        <f t="shared" si="45"/>
        <v>0</v>
      </c>
      <c r="DN8" s="177"/>
      <c r="DO8" s="178">
        <f t="shared" si="46"/>
        <v>-103.3118584612198</v>
      </c>
      <c r="DP8" s="179"/>
      <c r="DQ8" s="179"/>
      <c r="DR8" s="179"/>
      <c r="DS8" s="179"/>
      <c r="DT8" s="179"/>
      <c r="DU8" s="179"/>
      <c r="DV8" s="179"/>
      <c r="DW8" s="179"/>
      <c r="DX8" s="179"/>
      <c r="DY8" s="179"/>
      <c r="DZ8" s="179"/>
      <c r="EA8" s="179"/>
      <c r="EB8" s="180"/>
      <c r="EC8" s="181">
        <f t="shared" si="47"/>
        <v>-72.581190377436997</v>
      </c>
      <c r="EE8" s="181"/>
    </row>
    <row r="9" spans="1:136" s="182" customFormat="1" ht="45">
      <c r="A9" s="74">
        <v>5</v>
      </c>
      <c r="B9" s="74">
        <v>11</v>
      </c>
      <c r="C9" s="138">
        <v>45811</v>
      </c>
      <c r="D9" s="139">
        <v>161005906</v>
      </c>
      <c r="E9" s="138">
        <v>45809</v>
      </c>
      <c r="F9" s="138"/>
      <c r="G9" s="138"/>
      <c r="H9" s="140">
        <v>4069.65</v>
      </c>
      <c r="I9" s="141">
        <v>4069.65</v>
      </c>
      <c r="J9" s="142"/>
      <c r="K9" s="143"/>
      <c r="L9" s="543">
        <v>58</v>
      </c>
      <c r="M9" s="144"/>
      <c r="N9" s="144">
        <v>4069.65</v>
      </c>
      <c r="O9" s="522" t="s">
        <v>180</v>
      </c>
      <c r="P9" s="145" t="s">
        <v>69</v>
      </c>
      <c r="Q9" s="146" t="s">
        <v>50</v>
      </c>
      <c r="R9" s="145"/>
      <c r="S9" s="145" t="s">
        <v>181</v>
      </c>
      <c r="T9" s="145"/>
      <c r="U9" s="147" t="s">
        <v>182</v>
      </c>
      <c r="V9" s="147" t="s">
        <v>183</v>
      </c>
      <c r="W9" s="147">
        <v>4150</v>
      </c>
      <c r="X9" s="519">
        <v>4101.2299999999996</v>
      </c>
      <c r="Y9" s="148">
        <v>4101.2299999999996</v>
      </c>
      <c r="Z9" s="150" t="s">
        <v>281</v>
      </c>
      <c r="AA9" s="149">
        <v>1644</v>
      </c>
      <c r="AB9" s="150" t="s">
        <v>238</v>
      </c>
      <c r="AC9" s="151">
        <v>4101.2299999999996</v>
      </c>
      <c r="AD9" s="151">
        <v>12.63</v>
      </c>
      <c r="AE9" s="152">
        <f t="shared" si="0"/>
        <v>51798.534899999999</v>
      </c>
      <c r="AF9" s="151">
        <v>5.44</v>
      </c>
      <c r="AG9" s="152">
        <f t="shared" si="1"/>
        <v>22310.691199999997</v>
      </c>
      <c r="AH9" s="151">
        <v>45.12</v>
      </c>
      <c r="AI9" s="152">
        <f t="shared" si="2"/>
        <v>185047.49759999997</v>
      </c>
      <c r="AJ9" s="149">
        <v>3358</v>
      </c>
      <c r="AK9" s="152">
        <v>0</v>
      </c>
      <c r="AL9" s="149"/>
      <c r="AM9" s="151">
        <v>6.56</v>
      </c>
      <c r="AN9" s="152">
        <f t="shared" si="3"/>
        <v>26904.068799999997</v>
      </c>
      <c r="AO9" s="151">
        <v>44.59</v>
      </c>
      <c r="AP9" s="152">
        <f t="shared" si="4"/>
        <v>182873.84570000001</v>
      </c>
      <c r="AQ9" s="149">
        <v>3318</v>
      </c>
      <c r="AR9" s="152">
        <f t="shared" si="48"/>
        <v>13503098.700000001</v>
      </c>
      <c r="AS9" s="149" t="s">
        <v>193</v>
      </c>
      <c r="AT9" s="149">
        <f t="shared" si="5"/>
        <v>3102</v>
      </c>
      <c r="AU9" s="152">
        <f t="shared" si="6"/>
        <v>12722015.459999999</v>
      </c>
      <c r="AV9" s="149">
        <f t="shared" si="7"/>
        <v>41.69</v>
      </c>
      <c r="AW9" s="152">
        <f t="shared" si="8"/>
        <v>170980.27869999997</v>
      </c>
      <c r="AX9" s="151">
        <f t="shared" si="9"/>
        <v>6.0700000000000012</v>
      </c>
      <c r="AY9" s="152">
        <f t="shared" si="10"/>
        <v>24894.466100000001</v>
      </c>
      <c r="AZ9" s="153">
        <v>2.2000000000000002</v>
      </c>
      <c r="BA9" s="153">
        <v>6.6719999999999997</v>
      </c>
      <c r="BB9" s="153"/>
      <c r="BC9" s="154">
        <f t="shared" si="11"/>
        <v>8.7252159999999996</v>
      </c>
      <c r="BD9" s="155">
        <f t="shared" si="12"/>
        <v>35508.575294399998</v>
      </c>
      <c r="BE9" s="156">
        <f t="shared" si="59"/>
        <v>4069.65</v>
      </c>
      <c r="BF9" s="157">
        <v>501</v>
      </c>
      <c r="BG9" s="157" t="s">
        <v>238</v>
      </c>
      <c r="BH9" s="156">
        <v>8.73</v>
      </c>
      <c r="BI9" s="158">
        <f t="shared" si="14"/>
        <v>35528.044500000004</v>
      </c>
      <c r="BJ9" s="156">
        <v>5.5</v>
      </c>
      <c r="BK9" s="158">
        <f t="shared" si="15"/>
        <v>22383.075000000001</v>
      </c>
      <c r="BL9" s="156">
        <v>48.32</v>
      </c>
      <c r="BM9" s="159">
        <f t="shared" si="16"/>
        <v>196645.48800000001</v>
      </c>
      <c r="BN9" s="157">
        <v>3164</v>
      </c>
      <c r="BO9" s="159">
        <f t="shared" si="17"/>
        <v>12876372.6</v>
      </c>
      <c r="BP9" s="160"/>
      <c r="BQ9" s="156">
        <v>5.27</v>
      </c>
      <c r="BR9" s="158">
        <f t="shared" si="18"/>
        <v>21447.055499999999</v>
      </c>
      <c r="BS9" s="156">
        <v>48.44</v>
      </c>
      <c r="BT9" s="159">
        <f t="shared" si="19"/>
        <v>197133.84599999999</v>
      </c>
      <c r="BU9" s="157">
        <v>3172</v>
      </c>
      <c r="BV9" s="161">
        <f t="shared" si="49"/>
        <v>12908929.800000001</v>
      </c>
      <c r="BW9" s="157" t="s">
        <v>193</v>
      </c>
      <c r="BX9" s="157">
        <f t="shared" si="20"/>
        <v>3056</v>
      </c>
      <c r="BY9" s="161">
        <f t="shared" si="50"/>
        <v>12436850.4</v>
      </c>
      <c r="BZ9" s="157">
        <f t="shared" si="21"/>
        <v>46.67</v>
      </c>
      <c r="CA9" s="161">
        <f t="shared" si="22"/>
        <v>189930.5655</v>
      </c>
      <c r="CB9" s="156">
        <f t="shared" si="23"/>
        <v>3.4600000000000009</v>
      </c>
      <c r="CC9" s="161">
        <f t="shared" si="24"/>
        <v>14080.989000000003</v>
      </c>
      <c r="CD9" s="162">
        <f t="shared" ref="CD9" si="60">N9</f>
        <v>4069.65</v>
      </c>
      <c r="CE9" s="163">
        <v>2.5</v>
      </c>
      <c r="CF9" s="164">
        <v>6.69</v>
      </c>
      <c r="CG9" s="165">
        <f t="shared" si="51"/>
        <v>9.0227500000000003</v>
      </c>
      <c r="CH9" s="166">
        <f t="shared" si="25"/>
        <v>36719.434537500005</v>
      </c>
      <c r="CI9" s="167">
        <v>46.68</v>
      </c>
      <c r="CJ9" s="166">
        <f t="shared" si="52"/>
        <v>189971.26200000002</v>
      </c>
      <c r="CK9" s="168">
        <v>4.41</v>
      </c>
      <c r="CL9" s="166">
        <f t="shared" si="26"/>
        <v>17947.156500000001</v>
      </c>
      <c r="CM9" s="167">
        <v>23.21</v>
      </c>
      <c r="CN9" s="166">
        <f t="shared" si="27"/>
        <v>94456.57650000001</v>
      </c>
      <c r="CO9" s="169">
        <f t="shared" si="28"/>
        <v>3520.5855999999994</v>
      </c>
      <c r="CP9" s="166">
        <f t="shared" si="29"/>
        <v>14327551.187039997</v>
      </c>
      <c r="CQ9" s="169">
        <v>3133</v>
      </c>
      <c r="CR9" s="166">
        <f t="shared" si="53"/>
        <v>12750213.450000001</v>
      </c>
      <c r="CS9" s="170">
        <f t="shared" si="30"/>
        <v>47.397853331938485</v>
      </c>
      <c r="CT9" s="166">
        <f t="shared" si="31"/>
        <v>192892.67381232345</v>
      </c>
      <c r="CU9" s="168">
        <v>2.94</v>
      </c>
      <c r="CV9" s="166">
        <f t="shared" si="32"/>
        <v>11964.771000000001</v>
      </c>
      <c r="CW9" s="170">
        <f t="shared" si="33"/>
        <v>23.566927502876872</v>
      </c>
      <c r="CX9" s="166">
        <f t="shared" si="34"/>
        <v>95909.146512082865</v>
      </c>
      <c r="CY9" s="171">
        <f t="shared" si="35"/>
        <v>3181.1798305262055</v>
      </c>
      <c r="CZ9" s="166">
        <f t="shared" si="36"/>
        <v>12946288.497300973</v>
      </c>
      <c r="DA9" s="170" t="str">
        <f t="shared" si="37"/>
        <v>G14</v>
      </c>
      <c r="DB9" s="171">
        <f t="shared" si="38"/>
        <v>2981.8152971022073</v>
      </c>
      <c r="DC9" s="166">
        <f t="shared" si="39"/>
        <v>12134944.623851998</v>
      </c>
      <c r="DD9" s="170">
        <f t="shared" si="54"/>
        <v>44.427429961293022</v>
      </c>
      <c r="DE9" s="221">
        <f t="shared" si="55"/>
        <v>180804.09034197615</v>
      </c>
      <c r="DF9" s="222">
        <f t="shared" si="56"/>
        <v>6.0827500000000008</v>
      </c>
      <c r="DG9" s="221">
        <f t="shared" si="57"/>
        <v>24754.663537500004</v>
      </c>
      <c r="DH9" s="172">
        <f t="shared" si="40"/>
        <v>-3</v>
      </c>
      <c r="DI9" s="173">
        <f t="shared" si="41"/>
        <v>9.1798305262054782</v>
      </c>
      <c r="DJ9" s="174">
        <f t="shared" si="42"/>
        <v>-3</v>
      </c>
      <c r="DK9" s="175">
        <f t="shared" si="43"/>
        <v>146</v>
      </c>
      <c r="DL9" s="176">
        <f t="shared" si="44"/>
        <v>-3</v>
      </c>
      <c r="DM9" s="175">
        <f t="shared" si="45"/>
        <v>-3</v>
      </c>
      <c r="DN9" s="177"/>
      <c r="DO9" s="178">
        <f t="shared" si="46"/>
        <v>74.184702897792704</v>
      </c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80"/>
      <c r="EC9" s="181">
        <f t="shared" si="47"/>
        <v>-9.1798305262054782</v>
      </c>
      <c r="EE9" s="181"/>
    </row>
    <row r="10" spans="1:136" s="182" customFormat="1" ht="30">
      <c r="A10" s="74">
        <v>7</v>
      </c>
      <c r="B10" s="74" t="s">
        <v>282</v>
      </c>
      <c r="C10" s="138">
        <v>45812</v>
      </c>
      <c r="D10" s="139">
        <v>161002561</v>
      </c>
      <c r="E10" s="138" t="s">
        <v>275</v>
      </c>
      <c r="F10" s="138"/>
      <c r="G10" s="138"/>
      <c r="H10" s="647">
        <v>3745.85</v>
      </c>
      <c r="I10" s="141">
        <v>435.1</v>
      </c>
      <c r="J10" s="142">
        <f>(Y10/X10)*100</f>
        <v>11.615447956165053</v>
      </c>
      <c r="K10" s="568">
        <f>ROUND(((J10*H10)/100),2)</f>
        <v>435.1</v>
      </c>
      <c r="L10" s="337">
        <v>58</v>
      </c>
      <c r="M10" s="144"/>
      <c r="N10" s="144">
        <v>435.1</v>
      </c>
      <c r="O10" s="522" t="s">
        <v>180</v>
      </c>
      <c r="P10" s="145" t="s">
        <v>72</v>
      </c>
      <c r="Q10" s="146" t="s">
        <v>51</v>
      </c>
      <c r="R10" s="145"/>
      <c r="S10" s="145" t="s">
        <v>181</v>
      </c>
      <c r="T10" s="145"/>
      <c r="U10" s="147" t="s">
        <v>191</v>
      </c>
      <c r="V10" s="147" t="s">
        <v>192</v>
      </c>
      <c r="W10" s="147">
        <v>5350</v>
      </c>
      <c r="X10" s="653">
        <v>3934.76</v>
      </c>
      <c r="Y10" s="148">
        <v>457.04</v>
      </c>
      <c r="Z10" s="150" t="s">
        <v>280</v>
      </c>
      <c r="AA10" s="149">
        <v>1643</v>
      </c>
      <c r="AB10" s="150" t="s">
        <v>238</v>
      </c>
      <c r="AC10" s="151">
        <v>457.04</v>
      </c>
      <c r="AD10" s="151">
        <v>11.89</v>
      </c>
      <c r="AE10" s="152">
        <f t="shared" si="0"/>
        <v>5434.2056000000002</v>
      </c>
      <c r="AF10" s="151">
        <v>8.49</v>
      </c>
      <c r="AG10" s="152">
        <f t="shared" si="1"/>
        <v>3880.2696000000001</v>
      </c>
      <c r="AH10" s="151">
        <v>21.63</v>
      </c>
      <c r="AI10" s="152">
        <f t="shared" si="2"/>
        <v>9885.7752</v>
      </c>
      <c r="AJ10" s="149">
        <v>5223</v>
      </c>
      <c r="AK10" s="152">
        <v>0</v>
      </c>
      <c r="AL10" s="149"/>
      <c r="AM10" s="151">
        <v>8.2899999999999991</v>
      </c>
      <c r="AN10" s="152">
        <f t="shared" si="3"/>
        <v>3788.8615999999997</v>
      </c>
      <c r="AO10" s="151">
        <v>21.68</v>
      </c>
      <c r="AP10" s="152">
        <f t="shared" si="4"/>
        <v>9908.6272000000008</v>
      </c>
      <c r="AQ10" s="149">
        <v>5234</v>
      </c>
      <c r="AR10" s="152">
        <f t="shared" si="48"/>
        <v>2277313.4</v>
      </c>
      <c r="AS10" s="149" t="s">
        <v>191</v>
      </c>
      <c r="AT10" s="149">
        <f t="shared" si="5"/>
        <v>5029</v>
      </c>
      <c r="AU10" s="152">
        <f t="shared" si="6"/>
        <v>2298454.16</v>
      </c>
      <c r="AV10" s="149">
        <f t="shared" si="7"/>
        <v>20.83</v>
      </c>
      <c r="AW10" s="152">
        <f t="shared" si="8"/>
        <v>9520.1432000000004</v>
      </c>
      <c r="AX10" s="151">
        <f t="shared" si="9"/>
        <v>3.6000000000000014</v>
      </c>
      <c r="AY10" s="152">
        <f t="shared" si="10"/>
        <v>1645.3440000000007</v>
      </c>
      <c r="AZ10" s="153">
        <v>4.3</v>
      </c>
      <c r="BA10" s="153">
        <v>8.0850000000000009</v>
      </c>
      <c r="BB10" s="153"/>
      <c r="BC10" s="154">
        <f t="shared" si="11"/>
        <v>12.037345</v>
      </c>
      <c r="BD10" s="155">
        <f t="shared" si="12"/>
        <v>5237.4488095000006</v>
      </c>
      <c r="BE10" s="156">
        <f t="shared" si="59"/>
        <v>435.1</v>
      </c>
      <c r="BF10" s="157">
        <v>501</v>
      </c>
      <c r="BG10" s="157" t="s">
        <v>238</v>
      </c>
      <c r="BH10" s="156">
        <v>14.64</v>
      </c>
      <c r="BI10" s="158">
        <f t="shared" si="14"/>
        <v>6369.8640000000005</v>
      </c>
      <c r="BJ10" s="156">
        <v>6.15</v>
      </c>
      <c r="BK10" s="158">
        <f t="shared" si="15"/>
        <v>2675.8650000000002</v>
      </c>
      <c r="BL10" s="156">
        <v>42.85</v>
      </c>
      <c r="BM10" s="159">
        <f t="shared" si="16"/>
        <v>18644.035</v>
      </c>
      <c r="BN10" s="157">
        <v>3390</v>
      </c>
      <c r="BO10" s="159">
        <f t="shared" si="17"/>
        <v>1474989</v>
      </c>
      <c r="BP10" s="160"/>
      <c r="BQ10" s="156">
        <v>5.76</v>
      </c>
      <c r="BR10" s="158">
        <f t="shared" si="18"/>
        <v>2506.1759999999999</v>
      </c>
      <c r="BS10" s="156">
        <v>43.03</v>
      </c>
      <c r="BT10" s="159">
        <f t="shared" si="19"/>
        <v>18722.353000000003</v>
      </c>
      <c r="BU10" s="157">
        <v>3404</v>
      </c>
      <c r="BV10" s="161">
        <f t="shared" si="49"/>
        <v>1481080.4000000001</v>
      </c>
      <c r="BW10" s="157" t="s">
        <v>190</v>
      </c>
      <c r="BX10" s="157">
        <f t="shared" si="20"/>
        <v>3083</v>
      </c>
      <c r="BY10" s="161">
        <f t="shared" si="50"/>
        <v>1341413.3</v>
      </c>
      <c r="BZ10" s="157">
        <f t="shared" si="21"/>
        <v>38.979999999999997</v>
      </c>
      <c r="CA10" s="161">
        <f t="shared" si="22"/>
        <v>16960.198</v>
      </c>
      <c r="CB10" s="156">
        <f t="shared" si="23"/>
        <v>8.8800000000000008</v>
      </c>
      <c r="CC10" s="161">
        <f t="shared" si="24"/>
        <v>3863.6880000000006</v>
      </c>
      <c r="CD10" s="162">
        <f>N10</f>
        <v>435.1</v>
      </c>
      <c r="CE10" s="163">
        <v>4.8</v>
      </c>
      <c r="CF10" s="164">
        <v>7.64</v>
      </c>
      <c r="CG10" s="165">
        <f t="shared" si="51"/>
        <v>12.07328</v>
      </c>
      <c r="CH10" s="166">
        <f t="shared" si="25"/>
        <v>5253.0841280000004</v>
      </c>
      <c r="CI10" s="167">
        <v>41.95</v>
      </c>
      <c r="CJ10" s="166">
        <f t="shared" si="52"/>
        <v>18252.445000000003</v>
      </c>
      <c r="CK10" s="168">
        <v>4.7</v>
      </c>
      <c r="CL10" s="166">
        <f t="shared" si="26"/>
        <v>2044.9700000000003</v>
      </c>
      <c r="CM10" s="167">
        <v>24.48</v>
      </c>
      <c r="CN10" s="166">
        <f t="shared" si="27"/>
        <v>10651.248000000001</v>
      </c>
      <c r="CO10" s="169">
        <f t="shared" si="28"/>
        <v>3923.5134999999991</v>
      </c>
      <c r="CP10" s="166">
        <f t="shared" si="29"/>
        <v>1707120.7238499997</v>
      </c>
      <c r="CQ10" s="169">
        <v>3723</v>
      </c>
      <c r="CR10" s="166">
        <f t="shared" si="53"/>
        <v>1619877.3</v>
      </c>
      <c r="CS10" s="170">
        <f t="shared" si="30"/>
        <v>42.438609653725088</v>
      </c>
      <c r="CT10" s="166">
        <f t="shared" si="31"/>
        <v>18465.039060335788</v>
      </c>
      <c r="CU10" s="168">
        <v>3.59</v>
      </c>
      <c r="CV10" s="166">
        <f t="shared" si="32"/>
        <v>1562.009</v>
      </c>
      <c r="CW10" s="170">
        <f t="shared" si="33"/>
        <v>24.765129066107033</v>
      </c>
      <c r="CX10" s="166">
        <f t="shared" si="34"/>
        <v>10775.30765666317</v>
      </c>
      <c r="CY10" s="171">
        <f t="shared" si="35"/>
        <v>3766.3633788037778</v>
      </c>
      <c r="CZ10" s="166">
        <f t="shared" si="36"/>
        <v>1638744.7061175238</v>
      </c>
      <c r="DA10" s="170" t="str">
        <f t="shared" si="37"/>
        <v>G12</v>
      </c>
      <c r="DB10" s="171">
        <f>((100-CG10)/(100-CK10))*CQ10</f>
        <v>3434.9546543546699</v>
      </c>
      <c r="DC10" s="166">
        <f t="shared" si="39"/>
        <v>1494548.770109717</v>
      </c>
      <c r="DD10" s="170">
        <f t="shared" si="54"/>
        <v>38.704364155299061</v>
      </c>
      <c r="DE10" s="221">
        <f t="shared" si="55"/>
        <v>16840.268843970622</v>
      </c>
      <c r="DF10" s="222">
        <f t="shared" si="56"/>
        <v>8.4832800000000006</v>
      </c>
      <c r="DG10" s="221">
        <f t="shared" si="57"/>
        <v>3691.0751280000004</v>
      </c>
      <c r="DH10" s="172">
        <f t="shared" si="40"/>
        <v>-5</v>
      </c>
      <c r="DI10" s="173">
        <f t="shared" si="41"/>
        <v>362.36337880377778</v>
      </c>
      <c r="DJ10" s="174">
        <f t="shared" si="42"/>
        <v>-6</v>
      </c>
      <c r="DK10" s="175">
        <f t="shared" si="43"/>
        <v>1830</v>
      </c>
      <c r="DL10" s="176">
        <f t="shared" si="44"/>
        <v>-6</v>
      </c>
      <c r="DM10" s="175">
        <f t="shared" si="45"/>
        <v>0</v>
      </c>
      <c r="DN10" s="177"/>
      <c r="DO10" s="178">
        <f t="shared" si="46"/>
        <v>-351.95465435466986</v>
      </c>
      <c r="DP10" s="179"/>
      <c r="DQ10" s="179"/>
      <c r="DR10" s="179"/>
      <c r="DS10" s="179"/>
      <c r="DT10" s="179"/>
      <c r="DU10" s="179"/>
      <c r="DV10" s="179"/>
      <c r="DW10" s="179"/>
      <c r="DX10" s="179"/>
      <c r="DY10" s="179"/>
      <c r="DZ10" s="179"/>
      <c r="EA10" s="179"/>
      <c r="EB10" s="180"/>
      <c r="EC10" s="181">
        <f t="shared" si="47"/>
        <v>-362.36337880377778</v>
      </c>
      <c r="EE10" s="181"/>
    </row>
    <row r="11" spans="1:136" s="182" customFormat="1" ht="30">
      <c r="A11" s="74">
        <v>8</v>
      </c>
      <c r="B11" s="74" t="s">
        <v>283</v>
      </c>
      <c r="C11" s="138">
        <v>45812</v>
      </c>
      <c r="D11" s="139">
        <v>161002561</v>
      </c>
      <c r="E11" s="138" t="s">
        <v>275</v>
      </c>
      <c r="F11" s="138"/>
      <c r="G11" s="138"/>
      <c r="H11" s="649"/>
      <c r="I11" s="141">
        <v>3310.75</v>
      </c>
      <c r="J11" s="142">
        <f>(Y11/X10)*100</f>
        <v>88.384552043834944</v>
      </c>
      <c r="K11" s="568">
        <f>ROUND(((J11*H10)/100),2)</f>
        <v>3310.75</v>
      </c>
      <c r="L11" s="337">
        <v>58</v>
      </c>
      <c r="M11" s="144"/>
      <c r="N11" s="144">
        <v>3310.75</v>
      </c>
      <c r="O11" s="522" t="s">
        <v>180</v>
      </c>
      <c r="P11" s="145" t="s">
        <v>72</v>
      </c>
      <c r="Q11" s="146" t="s">
        <v>231</v>
      </c>
      <c r="R11" s="145"/>
      <c r="S11" s="145" t="s">
        <v>181</v>
      </c>
      <c r="T11" s="145"/>
      <c r="U11" s="147" t="s">
        <v>182</v>
      </c>
      <c r="V11" s="147" t="s">
        <v>183</v>
      </c>
      <c r="W11" s="147">
        <v>4150</v>
      </c>
      <c r="X11" s="655"/>
      <c r="Y11" s="148">
        <v>3477.72</v>
      </c>
      <c r="Z11" s="150" t="s">
        <v>280</v>
      </c>
      <c r="AA11" s="149">
        <v>1643</v>
      </c>
      <c r="AB11" s="150" t="s">
        <v>238</v>
      </c>
      <c r="AC11" s="151">
        <v>3477.72</v>
      </c>
      <c r="AD11" s="151">
        <v>11.67</v>
      </c>
      <c r="AE11" s="152">
        <f t="shared" si="0"/>
        <v>40584.992399999996</v>
      </c>
      <c r="AF11" s="151">
        <v>7.11</v>
      </c>
      <c r="AG11" s="152">
        <f t="shared" si="1"/>
        <v>24726.589199999999</v>
      </c>
      <c r="AH11" s="151">
        <v>34.119999999999997</v>
      </c>
      <c r="AI11" s="152">
        <f t="shared" si="2"/>
        <v>118659.80639999999</v>
      </c>
      <c r="AJ11" s="149">
        <v>4070</v>
      </c>
      <c r="AK11" s="152">
        <v>0</v>
      </c>
      <c r="AL11" s="149"/>
      <c r="AM11" s="151">
        <v>7.44</v>
      </c>
      <c r="AN11" s="152">
        <f t="shared" si="3"/>
        <v>25874.236799999999</v>
      </c>
      <c r="AO11" s="151">
        <v>34</v>
      </c>
      <c r="AP11" s="152">
        <f t="shared" si="4"/>
        <v>118242.48</v>
      </c>
      <c r="AQ11" s="149">
        <v>4056</v>
      </c>
      <c r="AR11" s="152">
        <f t="shared" si="48"/>
        <v>13428402</v>
      </c>
      <c r="AS11" s="149" t="s">
        <v>185</v>
      </c>
      <c r="AT11" s="149">
        <f t="shared" si="5"/>
        <v>3871</v>
      </c>
      <c r="AU11" s="152">
        <f t="shared" si="6"/>
        <v>13462254.119999999</v>
      </c>
      <c r="AV11" s="149">
        <f t="shared" si="7"/>
        <v>32.450000000000003</v>
      </c>
      <c r="AW11" s="152">
        <f t="shared" si="8"/>
        <v>112852.01400000001</v>
      </c>
      <c r="AX11" s="151">
        <f t="shared" si="9"/>
        <v>4.2299999999999995</v>
      </c>
      <c r="AY11" s="152">
        <f t="shared" si="10"/>
        <v>14710.755599999997</v>
      </c>
      <c r="AZ11" s="153">
        <v>3.7</v>
      </c>
      <c r="BA11" s="153">
        <v>11.365</v>
      </c>
      <c r="BB11" s="153"/>
      <c r="BC11" s="154">
        <f t="shared" si="11"/>
        <v>14.644494999999999</v>
      </c>
      <c r="BD11" s="155">
        <f t="shared" si="12"/>
        <v>48484.261821249995</v>
      </c>
      <c r="BE11" s="156">
        <f t="shared" si="59"/>
        <v>3310.75</v>
      </c>
      <c r="BF11" s="157">
        <v>501</v>
      </c>
      <c r="BG11" s="157" t="s">
        <v>238</v>
      </c>
      <c r="BH11" s="156">
        <v>12.04</v>
      </c>
      <c r="BI11" s="158">
        <f t="shared" si="14"/>
        <v>39861.43</v>
      </c>
      <c r="BJ11" s="156">
        <v>5.64</v>
      </c>
      <c r="BK11" s="158">
        <f t="shared" si="15"/>
        <v>18672.629999999997</v>
      </c>
      <c r="BL11" s="156">
        <v>42.51</v>
      </c>
      <c r="BM11" s="159">
        <f t="shared" si="16"/>
        <v>140739.98249999998</v>
      </c>
      <c r="BN11" s="157">
        <v>3690</v>
      </c>
      <c r="BO11" s="159">
        <f t="shared" si="17"/>
        <v>12216667.5</v>
      </c>
      <c r="BP11" s="160"/>
      <c r="BQ11" s="156">
        <v>5.32</v>
      </c>
      <c r="BR11" s="158">
        <f t="shared" si="18"/>
        <v>17613.190000000002</v>
      </c>
      <c r="BS11" s="156">
        <v>42.65</v>
      </c>
      <c r="BT11" s="159">
        <f t="shared" si="19"/>
        <v>141203.48749999999</v>
      </c>
      <c r="BU11" s="157">
        <v>3703</v>
      </c>
      <c r="BV11" s="161">
        <f t="shared" si="49"/>
        <v>12259707.25</v>
      </c>
      <c r="BW11" s="157" t="s">
        <v>184</v>
      </c>
      <c r="BX11" s="157">
        <f t="shared" si="20"/>
        <v>3440</v>
      </c>
      <c r="BY11" s="161">
        <f t="shared" si="50"/>
        <v>11388980</v>
      </c>
      <c r="BZ11" s="157">
        <f t="shared" si="21"/>
        <v>39.619999999999997</v>
      </c>
      <c r="CA11" s="161">
        <f t="shared" si="22"/>
        <v>131171.91499999998</v>
      </c>
      <c r="CB11" s="156">
        <f t="shared" si="23"/>
        <v>6.7199999999999989</v>
      </c>
      <c r="CC11" s="161">
        <f t="shared" si="24"/>
        <v>22248.239999999998</v>
      </c>
      <c r="CD11" s="162">
        <f>N11</f>
        <v>3310.75</v>
      </c>
      <c r="CE11" s="163">
        <v>4</v>
      </c>
      <c r="CF11" s="164">
        <v>7.84</v>
      </c>
      <c r="CG11" s="165">
        <f t="shared" si="51"/>
        <v>11.526399999999999</v>
      </c>
      <c r="CH11" s="166">
        <f t="shared" si="25"/>
        <v>38161.028799999993</v>
      </c>
      <c r="CI11" s="167">
        <v>44.82</v>
      </c>
      <c r="CJ11" s="166">
        <f t="shared" si="52"/>
        <v>148387.815</v>
      </c>
      <c r="CK11" s="168">
        <v>4.55</v>
      </c>
      <c r="CL11" s="166">
        <f t="shared" si="26"/>
        <v>15063.912499999999</v>
      </c>
      <c r="CM11" s="167">
        <v>24.34</v>
      </c>
      <c r="CN11" s="166">
        <f t="shared" si="27"/>
        <v>80583.654999999999</v>
      </c>
      <c r="CO11" s="169">
        <f t="shared" si="28"/>
        <v>3675.2518</v>
      </c>
      <c r="CP11" s="166">
        <f t="shared" si="29"/>
        <v>12167839.896849999</v>
      </c>
      <c r="CQ11" s="169">
        <v>3304</v>
      </c>
      <c r="CR11" s="166">
        <f t="shared" si="53"/>
        <v>10938718</v>
      </c>
      <c r="CS11" s="170">
        <f t="shared" si="30"/>
        <v>45.350608695652177</v>
      </c>
      <c r="CT11" s="166">
        <f t="shared" si="31"/>
        <v>150144.52773913046</v>
      </c>
      <c r="CU11" s="168">
        <v>3.42</v>
      </c>
      <c r="CV11" s="166">
        <f t="shared" si="32"/>
        <v>11322.764999999999</v>
      </c>
      <c r="CW11" s="170">
        <f t="shared" si="33"/>
        <v>24.628152959664746</v>
      </c>
      <c r="CX11" s="166">
        <f t="shared" si="34"/>
        <v>81537.657411210064</v>
      </c>
      <c r="CY11" s="171">
        <f t="shared" si="35"/>
        <v>3343.1149292823466</v>
      </c>
      <c r="CZ11" s="166">
        <f t="shared" si="36"/>
        <v>11068217.752121529</v>
      </c>
      <c r="DA11" s="170" t="str">
        <f t="shared" si="37"/>
        <v>G14</v>
      </c>
      <c r="DB11" s="171">
        <f t="shared" ref="DB11" si="61">((100-CG11)/(100-CK11))*CQ11</f>
        <v>3062.5120419067575</v>
      </c>
      <c r="DC11" s="166">
        <f t="shared" si="39"/>
        <v>10139211.742742797</v>
      </c>
      <c r="DD11" s="170">
        <f t="shared" si="54"/>
        <v>41.544125217391304</v>
      </c>
      <c r="DE11" s="221">
        <f t="shared" si="55"/>
        <v>137542.21256347827</v>
      </c>
      <c r="DF11" s="222">
        <f t="shared" si="56"/>
        <v>8.1063999999999989</v>
      </c>
      <c r="DG11" s="221">
        <f t="shared" si="57"/>
        <v>26838.263799999997</v>
      </c>
      <c r="DH11" s="172">
        <f t="shared" si="40"/>
        <v>-3</v>
      </c>
      <c r="DI11" s="173">
        <f t="shared" si="41"/>
        <v>-359.88507071765343</v>
      </c>
      <c r="DJ11" s="174">
        <f t="shared" si="42"/>
        <v>-1</v>
      </c>
      <c r="DK11" s="175">
        <f t="shared" si="43"/>
        <v>353</v>
      </c>
      <c r="DL11" s="176">
        <f t="shared" si="44"/>
        <v>-1</v>
      </c>
      <c r="DM11" s="175">
        <f t="shared" si="45"/>
        <v>0</v>
      </c>
      <c r="DN11" s="177"/>
      <c r="DO11" s="178">
        <f t="shared" si="46"/>
        <v>377.48795809324247</v>
      </c>
      <c r="DP11" s="179"/>
      <c r="DQ11" s="179"/>
      <c r="DR11" s="179"/>
      <c r="DS11" s="179"/>
      <c r="DT11" s="179"/>
      <c r="DU11" s="179"/>
      <c r="DV11" s="179"/>
      <c r="DW11" s="179"/>
      <c r="DX11" s="179"/>
      <c r="DY11" s="179"/>
      <c r="DZ11" s="179"/>
      <c r="EA11" s="179"/>
      <c r="EB11" s="180"/>
      <c r="EC11" s="181">
        <f t="shared" si="47"/>
        <v>359.88507071765343</v>
      </c>
      <c r="EE11" s="181"/>
    </row>
    <row r="12" spans="1:136" s="182" customFormat="1" ht="45">
      <c r="A12" s="74">
        <v>9</v>
      </c>
      <c r="B12" s="74">
        <v>16</v>
      </c>
      <c r="C12" s="138">
        <v>45812</v>
      </c>
      <c r="D12" s="139">
        <v>151000841</v>
      </c>
      <c r="E12" s="138">
        <v>45811</v>
      </c>
      <c r="F12" s="138"/>
      <c r="G12" s="138"/>
      <c r="H12" s="140">
        <v>3955.65</v>
      </c>
      <c r="I12" s="141">
        <v>3955.65</v>
      </c>
      <c r="J12" s="142"/>
      <c r="K12" s="568"/>
      <c r="L12" s="337">
        <v>59</v>
      </c>
      <c r="M12" s="144"/>
      <c r="N12" s="144">
        <v>3955.65</v>
      </c>
      <c r="O12" s="522" t="s">
        <v>180</v>
      </c>
      <c r="P12" s="145" t="s">
        <v>69</v>
      </c>
      <c r="Q12" s="146" t="s">
        <v>50</v>
      </c>
      <c r="R12" s="145"/>
      <c r="S12" s="145" t="s">
        <v>181</v>
      </c>
      <c r="T12" s="145"/>
      <c r="U12" s="147" t="s">
        <v>182</v>
      </c>
      <c r="V12" s="147" t="s">
        <v>183</v>
      </c>
      <c r="W12" s="147">
        <v>4150</v>
      </c>
      <c r="X12" s="519">
        <v>4190.34</v>
      </c>
      <c r="Y12" s="148">
        <v>4190.34</v>
      </c>
      <c r="Z12" s="150" t="s">
        <v>240</v>
      </c>
      <c r="AA12" s="149">
        <v>1644</v>
      </c>
      <c r="AB12" s="150" t="s">
        <v>238</v>
      </c>
      <c r="AC12" s="151">
        <v>4190.34</v>
      </c>
      <c r="AD12" s="151">
        <v>12.22</v>
      </c>
      <c r="AE12" s="152">
        <f t="shared" si="0"/>
        <v>51205.954800000007</v>
      </c>
      <c r="AF12" s="151">
        <v>6.35</v>
      </c>
      <c r="AG12" s="152">
        <f t="shared" si="1"/>
        <v>26608.659</v>
      </c>
      <c r="AH12" s="151">
        <v>42.48</v>
      </c>
      <c r="AI12" s="152">
        <f t="shared" si="2"/>
        <v>178005.64319999999</v>
      </c>
      <c r="AJ12" s="149">
        <v>3702</v>
      </c>
      <c r="AK12" s="152">
        <f t="shared" si="58"/>
        <v>15512638.68</v>
      </c>
      <c r="AL12" s="149"/>
      <c r="AM12" s="151">
        <v>6.04</v>
      </c>
      <c r="AN12" s="152">
        <f t="shared" si="3"/>
        <v>25309.653600000001</v>
      </c>
      <c r="AO12" s="151">
        <v>42.62</v>
      </c>
      <c r="AP12" s="152">
        <f t="shared" si="4"/>
        <v>178592.29079999999</v>
      </c>
      <c r="AQ12" s="149">
        <v>3714</v>
      </c>
      <c r="AR12" s="152">
        <f t="shared" si="48"/>
        <v>14691284.1</v>
      </c>
      <c r="AS12" s="149" t="s">
        <v>184</v>
      </c>
      <c r="AT12" s="149">
        <f t="shared" si="5"/>
        <v>3470</v>
      </c>
      <c r="AU12" s="152">
        <f t="shared" si="6"/>
        <v>14540479.800000001</v>
      </c>
      <c r="AV12" s="149">
        <f t="shared" si="7"/>
        <v>39.82</v>
      </c>
      <c r="AW12" s="152">
        <f t="shared" si="8"/>
        <v>166859.3388</v>
      </c>
      <c r="AX12" s="151">
        <f t="shared" si="9"/>
        <v>6.1800000000000006</v>
      </c>
      <c r="AY12" s="152">
        <f t="shared" si="10"/>
        <v>25896.301200000002</v>
      </c>
      <c r="AZ12" s="153">
        <v>4.0999999999999996</v>
      </c>
      <c r="BA12" s="153">
        <v>5.7069999999999999</v>
      </c>
      <c r="BB12" s="153"/>
      <c r="BC12" s="154">
        <f t="shared" si="11"/>
        <v>9.5730129999999996</v>
      </c>
      <c r="BD12" s="155">
        <f t="shared" si="12"/>
        <v>37867.488873449998</v>
      </c>
      <c r="BE12" s="156">
        <f t="shared" si="59"/>
        <v>3955.65</v>
      </c>
      <c r="BF12" s="157">
        <v>502</v>
      </c>
      <c r="BG12" s="157" t="s">
        <v>239</v>
      </c>
      <c r="BH12" s="156">
        <v>9.57</v>
      </c>
      <c r="BI12" s="158">
        <f t="shared" si="14"/>
        <v>37855.570500000002</v>
      </c>
      <c r="BJ12" s="156">
        <v>5.31</v>
      </c>
      <c r="BK12" s="158">
        <f t="shared" si="15"/>
        <v>21004.501499999998</v>
      </c>
      <c r="BL12" s="156">
        <v>50.38</v>
      </c>
      <c r="BM12" s="159">
        <f t="shared" si="16"/>
        <v>199285.64700000003</v>
      </c>
      <c r="BN12" s="157">
        <v>2811</v>
      </c>
      <c r="BO12" s="159">
        <f t="shared" si="17"/>
        <v>11119332.15</v>
      </c>
      <c r="BP12" s="160"/>
      <c r="BQ12" s="156">
        <v>5.1100000000000003</v>
      </c>
      <c r="BR12" s="158">
        <f t="shared" si="18"/>
        <v>20213.371500000001</v>
      </c>
      <c r="BS12" s="156">
        <v>50.49</v>
      </c>
      <c r="BT12" s="159">
        <f t="shared" si="19"/>
        <v>199720.76850000001</v>
      </c>
      <c r="BU12" s="157">
        <v>2817</v>
      </c>
      <c r="BV12" s="161">
        <f t="shared" si="49"/>
        <v>11143066.050000001</v>
      </c>
      <c r="BW12" s="157" t="s">
        <v>187</v>
      </c>
      <c r="BX12" s="157">
        <f t="shared" si="20"/>
        <v>2685</v>
      </c>
      <c r="BY12" s="161">
        <f t="shared" si="50"/>
        <v>10620920.25</v>
      </c>
      <c r="BZ12" s="157">
        <f t="shared" si="21"/>
        <v>48.12</v>
      </c>
      <c r="CA12" s="161">
        <f t="shared" si="22"/>
        <v>190345.878</v>
      </c>
      <c r="CB12" s="156">
        <f t="shared" si="23"/>
        <v>4.46</v>
      </c>
      <c r="CC12" s="161">
        <f t="shared" si="24"/>
        <v>17642.199000000001</v>
      </c>
      <c r="CD12" s="162">
        <f>N12</f>
        <v>3955.65</v>
      </c>
      <c r="CE12" s="163">
        <v>4.5999999999999996</v>
      </c>
      <c r="CF12" s="164">
        <v>6.78</v>
      </c>
      <c r="CG12" s="165">
        <f t="shared" si="51"/>
        <v>11.06812</v>
      </c>
      <c r="CH12" s="166">
        <f t="shared" si="25"/>
        <v>43781.608877999999</v>
      </c>
      <c r="CI12" s="167">
        <v>50.18</v>
      </c>
      <c r="CJ12" s="166">
        <f t="shared" si="52"/>
        <v>198494.51699999999</v>
      </c>
      <c r="CK12" s="168">
        <v>3.72</v>
      </c>
      <c r="CL12" s="166">
        <f t="shared" si="26"/>
        <v>14715.018000000002</v>
      </c>
      <c r="CM12" s="167">
        <v>21.09</v>
      </c>
      <c r="CN12" s="166">
        <f t="shared" si="27"/>
        <v>83424.658500000005</v>
      </c>
      <c r="CO12" s="169">
        <f t="shared" si="28"/>
        <v>3291.6369999999997</v>
      </c>
      <c r="CP12" s="166">
        <f t="shared" si="29"/>
        <v>13020563.899049999</v>
      </c>
      <c r="CQ12" s="169">
        <v>2837</v>
      </c>
      <c r="CR12" s="166">
        <f t="shared" si="53"/>
        <v>11222179.050000001</v>
      </c>
      <c r="CS12" s="170">
        <f t="shared" si="30"/>
        <v>50.789790195263812</v>
      </c>
      <c r="CT12" s="166">
        <f t="shared" si="31"/>
        <v>200906.6335858953</v>
      </c>
      <c r="CU12" s="168">
        <v>2.5499999999999998</v>
      </c>
      <c r="CV12" s="166">
        <f t="shared" si="32"/>
        <v>10086.907499999999</v>
      </c>
      <c r="CW12" s="170">
        <f t="shared" si="33"/>
        <v>21.346286871624429</v>
      </c>
      <c r="CX12" s="166">
        <f t="shared" si="34"/>
        <v>84438.43966374117</v>
      </c>
      <c r="CY12" s="171">
        <f t="shared" si="35"/>
        <v>2871.4753842958039</v>
      </c>
      <c r="CZ12" s="166">
        <f t="shared" si="36"/>
        <v>11358551.603889696</v>
      </c>
      <c r="DA12" s="170" t="str">
        <f t="shared" si="37"/>
        <v>G15</v>
      </c>
      <c r="DB12" s="171">
        <f t="shared" si="38"/>
        <v>2620.4792642293314</v>
      </c>
      <c r="DC12" s="166">
        <f t="shared" si="39"/>
        <v>10365698.801548755</v>
      </c>
      <c r="DD12" s="170">
        <f t="shared" si="54"/>
        <v>46.350246555878691</v>
      </c>
      <c r="DE12" s="221">
        <f t="shared" si="55"/>
        <v>183345.35278876155</v>
      </c>
      <c r="DF12" s="222">
        <f t="shared" si="56"/>
        <v>8.5181199999999997</v>
      </c>
      <c r="DG12" s="221">
        <f t="shared" si="57"/>
        <v>33694.701377999998</v>
      </c>
      <c r="DH12" s="172">
        <f t="shared" si="40"/>
        <v>-4</v>
      </c>
      <c r="DI12" s="173">
        <f t="shared" si="41"/>
        <v>54.475384295803906</v>
      </c>
      <c r="DJ12" s="174">
        <f t="shared" si="42"/>
        <v>-4</v>
      </c>
      <c r="DK12" s="175">
        <f t="shared" si="43"/>
        <v>897</v>
      </c>
      <c r="DL12" s="176">
        <f t="shared" si="44"/>
        <v>-4</v>
      </c>
      <c r="DM12" s="175">
        <f t="shared" si="45"/>
        <v>-1</v>
      </c>
      <c r="DN12" s="177"/>
      <c r="DO12" s="178">
        <f t="shared" si="46"/>
        <v>64.52073577066858</v>
      </c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80"/>
      <c r="EC12" s="181">
        <f t="shared" si="47"/>
        <v>-54.475384295803906</v>
      </c>
      <c r="EE12" s="181"/>
    </row>
    <row r="13" spans="1:136" s="182" customFormat="1" ht="30">
      <c r="A13" s="74">
        <v>12</v>
      </c>
      <c r="B13" s="74">
        <v>19</v>
      </c>
      <c r="C13" s="138">
        <v>45812</v>
      </c>
      <c r="D13" s="139">
        <v>151001316</v>
      </c>
      <c r="E13" s="138">
        <v>45810</v>
      </c>
      <c r="F13" s="138"/>
      <c r="G13" s="138"/>
      <c r="H13" s="140">
        <v>3910.1</v>
      </c>
      <c r="I13" s="141">
        <v>3910.1</v>
      </c>
      <c r="J13" s="142"/>
      <c r="K13" s="568"/>
      <c r="L13" s="337">
        <v>58</v>
      </c>
      <c r="M13" s="144"/>
      <c r="N13" s="144">
        <v>3910.1</v>
      </c>
      <c r="O13" s="522" t="s">
        <v>180</v>
      </c>
      <c r="P13" s="145" t="s">
        <v>71</v>
      </c>
      <c r="Q13" s="146" t="s">
        <v>52</v>
      </c>
      <c r="R13" s="145"/>
      <c r="S13" s="145" t="s">
        <v>181</v>
      </c>
      <c r="T13" s="145"/>
      <c r="U13" s="147" t="s">
        <v>190</v>
      </c>
      <c r="V13" s="147" t="s">
        <v>194</v>
      </c>
      <c r="W13" s="147">
        <v>3550</v>
      </c>
      <c r="X13" s="519">
        <v>3942.83</v>
      </c>
      <c r="Y13" s="148">
        <v>3942.83</v>
      </c>
      <c r="Z13" s="150" t="s">
        <v>237</v>
      </c>
      <c r="AA13" s="149">
        <v>1662</v>
      </c>
      <c r="AB13" s="150" t="s">
        <v>244</v>
      </c>
      <c r="AC13" s="151">
        <v>3942.83</v>
      </c>
      <c r="AD13" s="151">
        <v>11.33</v>
      </c>
      <c r="AE13" s="152">
        <f t="shared" si="0"/>
        <v>44672.263899999998</v>
      </c>
      <c r="AF13" s="151">
        <v>6</v>
      </c>
      <c r="AG13" s="152">
        <f t="shared" si="1"/>
        <v>23656.98</v>
      </c>
      <c r="AH13" s="151">
        <v>45.55</v>
      </c>
      <c r="AI13" s="152">
        <f t="shared" si="2"/>
        <v>179595.90649999998</v>
      </c>
      <c r="AJ13" s="149">
        <v>3468</v>
      </c>
      <c r="AK13" s="152">
        <f t="shared" si="58"/>
        <v>13673734.439999999</v>
      </c>
      <c r="AL13" s="149"/>
      <c r="AM13" s="151">
        <v>6.36</v>
      </c>
      <c r="AN13" s="152">
        <f t="shared" si="3"/>
        <v>25076.398799999999</v>
      </c>
      <c r="AO13" s="151">
        <v>45.38</v>
      </c>
      <c r="AP13" s="152">
        <f t="shared" si="4"/>
        <v>178925.62540000002</v>
      </c>
      <c r="AQ13" s="149">
        <v>3455</v>
      </c>
      <c r="AR13" s="152">
        <f t="shared" si="48"/>
        <v>13509395.5</v>
      </c>
      <c r="AS13" s="149" t="s">
        <v>190</v>
      </c>
      <c r="AT13" s="149">
        <f t="shared" si="5"/>
        <v>3272</v>
      </c>
      <c r="AU13" s="152">
        <f t="shared" si="6"/>
        <v>12900939.76</v>
      </c>
      <c r="AV13" s="149">
        <f t="shared" si="7"/>
        <v>42.97</v>
      </c>
      <c r="AW13" s="152">
        <f t="shared" si="8"/>
        <v>169423.4051</v>
      </c>
      <c r="AX13" s="151">
        <f t="shared" si="9"/>
        <v>4.97</v>
      </c>
      <c r="AY13" s="152">
        <f t="shared" si="10"/>
        <v>19595.865099999999</v>
      </c>
      <c r="AZ13" s="153">
        <v>3</v>
      </c>
      <c r="BA13" s="153">
        <v>7.9809999999999999</v>
      </c>
      <c r="BB13" s="153"/>
      <c r="BC13" s="154">
        <f t="shared" si="11"/>
        <v>10.741569999999999</v>
      </c>
      <c r="BD13" s="155">
        <f t="shared" si="12"/>
        <v>42000.612857</v>
      </c>
      <c r="BE13" s="156">
        <f t="shared" si="59"/>
        <v>3910.1</v>
      </c>
      <c r="BF13" s="157">
        <v>502</v>
      </c>
      <c r="BG13" s="157" t="s">
        <v>239</v>
      </c>
      <c r="BH13" s="156">
        <v>10.74</v>
      </c>
      <c r="BI13" s="158">
        <f t="shared" si="14"/>
        <v>41994.474000000002</v>
      </c>
      <c r="BJ13" s="156">
        <v>6.12</v>
      </c>
      <c r="BK13" s="158">
        <f t="shared" si="15"/>
        <v>23929.811999999998</v>
      </c>
      <c r="BL13" s="156">
        <v>46.48</v>
      </c>
      <c r="BM13" s="159">
        <f t="shared" si="16"/>
        <v>181741.44799999997</v>
      </c>
      <c r="BN13" s="157">
        <v>3071</v>
      </c>
      <c r="BO13" s="159">
        <f t="shared" si="17"/>
        <v>12007917.1</v>
      </c>
      <c r="BP13" s="160"/>
      <c r="BQ13" s="156">
        <v>5.78</v>
      </c>
      <c r="BR13" s="158">
        <f t="shared" si="18"/>
        <v>22600.378000000001</v>
      </c>
      <c r="BS13" s="156">
        <v>46.65</v>
      </c>
      <c r="BT13" s="159">
        <f t="shared" si="19"/>
        <v>182406.16499999998</v>
      </c>
      <c r="BU13" s="157">
        <v>3082</v>
      </c>
      <c r="BV13" s="161">
        <f t="shared" si="49"/>
        <v>12050928.199999999</v>
      </c>
      <c r="BW13" s="157" t="s">
        <v>187</v>
      </c>
      <c r="BX13" s="157">
        <f t="shared" si="20"/>
        <v>2920</v>
      </c>
      <c r="BY13" s="161">
        <f t="shared" si="50"/>
        <v>11417492</v>
      </c>
      <c r="BZ13" s="157">
        <f t="shared" si="21"/>
        <v>44.19</v>
      </c>
      <c r="CA13" s="161">
        <f t="shared" si="22"/>
        <v>172787.31899999999</v>
      </c>
      <c r="CB13" s="156">
        <f t="shared" si="23"/>
        <v>4.96</v>
      </c>
      <c r="CC13" s="161">
        <f t="shared" si="24"/>
        <v>19394.095999999998</v>
      </c>
      <c r="CD13" s="162">
        <f t="shared" ref="CD13:CD62" si="62">N13</f>
        <v>3910.1</v>
      </c>
      <c r="CE13" s="163">
        <v>3.2</v>
      </c>
      <c r="CF13" s="164">
        <v>7.91</v>
      </c>
      <c r="CG13" s="165">
        <f t="shared" si="51"/>
        <v>10.85688</v>
      </c>
      <c r="CH13" s="166">
        <f t="shared" si="25"/>
        <v>42451.486488000002</v>
      </c>
      <c r="CI13" s="167">
        <v>47.79</v>
      </c>
      <c r="CJ13" s="166">
        <f>CI13*$CD13</f>
        <v>186863.679</v>
      </c>
      <c r="CK13" s="168">
        <v>4.2300000000000004</v>
      </c>
      <c r="CL13" s="166">
        <f t="shared" si="26"/>
        <v>16539.723000000002</v>
      </c>
      <c r="CM13" s="167">
        <v>23.41</v>
      </c>
      <c r="CN13" s="166">
        <f t="shared" si="27"/>
        <v>91535.440999999992</v>
      </c>
      <c r="CO13" s="169">
        <f t="shared" si="28"/>
        <v>3442.3243000000002</v>
      </c>
      <c r="CP13" s="166">
        <f t="shared" si="29"/>
        <v>13459832.24543</v>
      </c>
      <c r="CQ13" s="167">
        <v>3111</v>
      </c>
      <c r="CR13" s="166">
        <f>CQ13*$CD13</f>
        <v>12164321.1</v>
      </c>
      <c r="CS13" s="170">
        <f t="shared" si="30"/>
        <v>48.239107236086454</v>
      </c>
      <c r="CT13" s="166">
        <f t="shared" si="31"/>
        <v>188619.73320382164</v>
      </c>
      <c r="CU13" s="168">
        <v>3.33</v>
      </c>
      <c r="CV13" s="166">
        <f t="shared" si="32"/>
        <v>13020.633</v>
      </c>
      <c r="CW13" s="170">
        <f t="shared" si="33"/>
        <v>23.62999582332672</v>
      </c>
      <c r="CX13" s="166">
        <f t="shared" si="34"/>
        <v>92395.646668789806</v>
      </c>
      <c r="CY13" s="171">
        <f t="shared" si="35"/>
        <v>3140.2356687898091</v>
      </c>
      <c r="CZ13" s="166">
        <f t="shared" si="36"/>
        <v>12278635.488535032</v>
      </c>
      <c r="DA13" s="170" t="str">
        <f t="shared" si="37"/>
        <v>G14</v>
      </c>
      <c r="DB13" s="171">
        <f t="shared" si="38"/>
        <v>2895.7319235668788</v>
      </c>
      <c r="DC13" s="166">
        <f t="shared" si="39"/>
        <v>11322601.394338852</v>
      </c>
      <c r="DD13" s="170">
        <f t="shared" si="54"/>
        <v>44.483133599248198</v>
      </c>
      <c r="DE13" s="221">
        <f t="shared" si="55"/>
        <v>173933.50068642039</v>
      </c>
      <c r="DF13" s="222">
        <f t="shared" si="56"/>
        <v>7.5268800000000002</v>
      </c>
      <c r="DG13" s="221">
        <f t="shared" si="57"/>
        <v>29430.853488000001</v>
      </c>
      <c r="DH13" s="172">
        <f t="shared" si="40"/>
        <v>-1</v>
      </c>
      <c r="DI13" s="173">
        <f t="shared" si="41"/>
        <v>58.235668789809097</v>
      </c>
      <c r="DJ13" s="174">
        <f t="shared" si="42"/>
        <v>-2</v>
      </c>
      <c r="DK13" s="175">
        <f t="shared" si="43"/>
        <v>373</v>
      </c>
      <c r="DL13" s="176">
        <f t="shared" si="44"/>
        <v>-2</v>
      </c>
      <c r="DM13" s="175">
        <f t="shared" si="45"/>
        <v>0</v>
      </c>
      <c r="DN13" s="177"/>
      <c r="DO13" s="178">
        <f t="shared" si="46"/>
        <v>24.268076433121223</v>
      </c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80"/>
      <c r="EC13" s="181">
        <f t="shared" si="47"/>
        <v>-58.235668789809097</v>
      </c>
      <c r="EE13" s="181"/>
    </row>
    <row r="14" spans="1:136" s="182" customFormat="1" ht="45">
      <c r="A14" s="74">
        <v>13</v>
      </c>
      <c r="B14" s="74">
        <v>21</v>
      </c>
      <c r="C14" s="138">
        <v>45813</v>
      </c>
      <c r="D14" s="139">
        <v>141000119</v>
      </c>
      <c r="E14" s="138">
        <v>45812</v>
      </c>
      <c r="F14" s="138"/>
      <c r="G14" s="138"/>
      <c r="H14" s="140">
        <v>3650.15</v>
      </c>
      <c r="I14" s="141">
        <v>3650.15</v>
      </c>
      <c r="J14" s="142"/>
      <c r="K14" s="568"/>
      <c r="L14" s="337">
        <v>54</v>
      </c>
      <c r="M14" s="144"/>
      <c r="N14" s="144">
        <v>3650.15</v>
      </c>
      <c r="O14" s="522" t="s">
        <v>180</v>
      </c>
      <c r="P14" s="145" t="s">
        <v>69</v>
      </c>
      <c r="Q14" s="146" t="s">
        <v>50</v>
      </c>
      <c r="R14" s="145"/>
      <c r="S14" s="145" t="s">
        <v>181</v>
      </c>
      <c r="T14" s="145"/>
      <c r="U14" s="147" t="s">
        <v>182</v>
      </c>
      <c r="V14" s="147" t="s">
        <v>183</v>
      </c>
      <c r="W14" s="147">
        <v>4150</v>
      </c>
      <c r="X14" s="519">
        <v>3759.95</v>
      </c>
      <c r="Y14" s="148">
        <v>3759.95</v>
      </c>
      <c r="Z14" s="150" t="s">
        <v>284</v>
      </c>
      <c r="AA14" s="149">
        <v>1660</v>
      </c>
      <c r="AB14" s="150" t="s">
        <v>244</v>
      </c>
      <c r="AC14" s="151">
        <v>3759.95</v>
      </c>
      <c r="AD14" s="151">
        <v>12.02</v>
      </c>
      <c r="AE14" s="152">
        <f t="shared" si="0"/>
        <v>45194.598999999995</v>
      </c>
      <c r="AF14" s="151">
        <v>6.75</v>
      </c>
      <c r="AG14" s="152">
        <f t="shared" si="1"/>
        <v>25379.662499999999</v>
      </c>
      <c r="AH14" s="151">
        <v>45.13</v>
      </c>
      <c r="AI14" s="152">
        <f t="shared" si="2"/>
        <v>169686.5435</v>
      </c>
      <c r="AJ14" s="149">
        <v>3285</v>
      </c>
      <c r="AK14" s="152">
        <f t="shared" si="58"/>
        <v>12351435.75</v>
      </c>
      <c r="AL14" s="149"/>
      <c r="AM14" s="151">
        <v>7.09</v>
      </c>
      <c r="AN14" s="152">
        <f t="shared" si="3"/>
        <v>26658.045499999997</v>
      </c>
      <c r="AO14" s="151">
        <v>44.97</v>
      </c>
      <c r="AP14" s="152">
        <f t="shared" si="4"/>
        <v>169084.9515</v>
      </c>
      <c r="AQ14" s="149">
        <v>3273</v>
      </c>
      <c r="AR14" s="152">
        <f t="shared" si="48"/>
        <v>11946940.950000001</v>
      </c>
      <c r="AS14" s="149" t="s">
        <v>193</v>
      </c>
      <c r="AT14" s="149">
        <f t="shared" si="5"/>
        <v>3099</v>
      </c>
      <c r="AU14" s="152">
        <f t="shared" si="6"/>
        <v>11652085.049999999</v>
      </c>
      <c r="AV14" s="149">
        <f t="shared" si="7"/>
        <v>42.58</v>
      </c>
      <c r="AW14" s="152">
        <f t="shared" si="8"/>
        <v>160098.67099999997</v>
      </c>
      <c r="AX14" s="151">
        <f t="shared" si="9"/>
        <v>4.93</v>
      </c>
      <c r="AY14" s="152">
        <f t="shared" si="10"/>
        <v>18536.553499999998</v>
      </c>
      <c r="AZ14" s="153">
        <v>3.7</v>
      </c>
      <c r="BA14" s="153">
        <v>4.1710000000000003</v>
      </c>
      <c r="BB14" s="153"/>
      <c r="BC14" s="154">
        <f t="shared" si="11"/>
        <v>7.7166730000000001</v>
      </c>
      <c r="BD14" s="155">
        <f t="shared" si="12"/>
        <v>28167.01395095</v>
      </c>
      <c r="BE14" s="156">
        <f t="shared" si="59"/>
        <v>3650.15</v>
      </c>
      <c r="BF14" s="157">
        <v>502</v>
      </c>
      <c r="BG14" s="157" t="s">
        <v>239</v>
      </c>
      <c r="BH14" s="156">
        <v>7.72</v>
      </c>
      <c r="BI14" s="158">
        <f t="shared" si="14"/>
        <v>28179.157999999999</v>
      </c>
      <c r="BJ14" s="156">
        <v>4.97</v>
      </c>
      <c r="BK14" s="158">
        <f t="shared" si="15"/>
        <v>18141.245500000001</v>
      </c>
      <c r="BL14" s="156">
        <v>43.96</v>
      </c>
      <c r="BM14" s="159">
        <f t="shared" si="16"/>
        <v>160460.59400000001</v>
      </c>
      <c r="BN14" s="157">
        <v>3466</v>
      </c>
      <c r="BO14" s="159">
        <f t="shared" si="17"/>
        <v>12651419.9</v>
      </c>
      <c r="BP14" s="160"/>
      <c r="BQ14" s="156">
        <v>4.72</v>
      </c>
      <c r="BR14" s="158">
        <f t="shared" si="18"/>
        <v>17228.707999999999</v>
      </c>
      <c r="BS14" s="156">
        <v>44.08</v>
      </c>
      <c r="BT14" s="159">
        <f t="shared" si="19"/>
        <v>160898.61199999999</v>
      </c>
      <c r="BU14" s="157">
        <v>3475</v>
      </c>
      <c r="BV14" s="161">
        <f t="shared" si="49"/>
        <v>12684271.25</v>
      </c>
      <c r="BW14" s="157" t="s">
        <v>190</v>
      </c>
      <c r="BX14" s="157">
        <f t="shared" si="20"/>
        <v>3366</v>
      </c>
      <c r="BY14" s="161">
        <f t="shared" si="50"/>
        <v>12286404.9</v>
      </c>
      <c r="BZ14" s="157">
        <f t="shared" si="21"/>
        <v>42.69</v>
      </c>
      <c r="CA14" s="161">
        <f t="shared" si="22"/>
        <v>155824.90349999999</v>
      </c>
      <c r="CB14" s="156">
        <f t="shared" si="23"/>
        <v>3</v>
      </c>
      <c r="CC14" s="161">
        <f t="shared" si="24"/>
        <v>10950.45</v>
      </c>
      <c r="CD14" s="162">
        <f t="shared" si="62"/>
        <v>3650.15</v>
      </c>
      <c r="CE14" s="163">
        <v>4</v>
      </c>
      <c r="CF14" s="164">
        <v>7.88</v>
      </c>
      <c r="CG14" s="165">
        <f t="shared" si="51"/>
        <v>11.5648</v>
      </c>
      <c r="CH14" s="166">
        <f t="shared" si="25"/>
        <v>42213.254720000004</v>
      </c>
      <c r="CI14" s="167">
        <v>42.75</v>
      </c>
      <c r="CJ14" s="166">
        <f t="shared" si="52"/>
        <v>156043.91250000001</v>
      </c>
      <c r="CK14" s="168">
        <v>3.72</v>
      </c>
      <c r="CL14" s="166">
        <f t="shared" si="26"/>
        <v>13578.558000000001</v>
      </c>
      <c r="CM14" s="167">
        <v>22.65</v>
      </c>
      <c r="CN14" s="166">
        <f t="shared" si="27"/>
        <v>82675.897499999992</v>
      </c>
      <c r="CO14" s="169">
        <f t="shared" si="28"/>
        <v>3990.8742999999995</v>
      </c>
      <c r="CP14" s="166">
        <f t="shared" si="29"/>
        <v>14567289.826144999</v>
      </c>
      <c r="CQ14" s="167">
        <v>3503</v>
      </c>
      <c r="CR14" s="166">
        <f t="shared" si="53"/>
        <v>12786475.450000001</v>
      </c>
      <c r="CS14" s="170">
        <f t="shared" si="30"/>
        <v>43.051931865392604</v>
      </c>
      <c r="CT14" s="166">
        <f t="shared" si="31"/>
        <v>157146.00909846282</v>
      </c>
      <c r="CU14" s="168">
        <v>3.04</v>
      </c>
      <c r="CV14" s="166">
        <f t="shared" si="32"/>
        <v>11096.456</v>
      </c>
      <c r="CW14" s="170">
        <f t="shared" si="33"/>
        <v>22.809970918155376</v>
      </c>
      <c r="CX14" s="166">
        <f t="shared" si="34"/>
        <v>83259.815346904841</v>
      </c>
      <c r="CY14" s="171">
        <f t="shared" si="35"/>
        <v>3527.7407561279597</v>
      </c>
      <c r="CZ14" s="166">
        <f t="shared" si="36"/>
        <v>12876782.920980472</v>
      </c>
      <c r="DA14" s="170" t="str">
        <f t="shared" si="37"/>
        <v>G13</v>
      </c>
      <c r="DB14" s="171">
        <f t="shared" si="38"/>
        <v>3217.5789945990855</v>
      </c>
      <c r="DC14" s="166">
        <f t="shared" si="39"/>
        <v>11744645.967135852</v>
      </c>
      <c r="DD14" s="170">
        <f t="shared" si="54"/>
        <v>39.26677191524719</v>
      </c>
      <c r="DE14" s="221">
        <f t="shared" si="55"/>
        <v>143329.60750643953</v>
      </c>
      <c r="DF14" s="222">
        <f t="shared" si="56"/>
        <v>8.524799999999999</v>
      </c>
      <c r="DG14" s="221">
        <f t="shared" si="57"/>
        <v>31116.798719999999</v>
      </c>
      <c r="DH14" s="172">
        <f t="shared" si="40"/>
        <v>-2</v>
      </c>
      <c r="DI14" s="173">
        <f t="shared" si="41"/>
        <v>52.740756127959685</v>
      </c>
      <c r="DJ14" s="174">
        <f t="shared" si="42"/>
        <v>-2</v>
      </c>
      <c r="DK14" s="175">
        <f t="shared" si="43"/>
        <v>-202</v>
      </c>
      <c r="DL14" s="176">
        <f t="shared" si="44"/>
        <v>-2</v>
      </c>
      <c r="DM14" s="175">
        <f t="shared" si="45"/>
        <v>-3</v>
      </c>
      <c r="DN14" s="177"/>
      <c r="DO14" s="178">
        <f t="shared" si="46"/>
        <v>148.42100540091451</v>
      </c>
      <c r="DP14" s="179"/>
      <c r="DQ14" s="179"/>
      <c r="DR14" s="179"/>
      <c r="DS14" s="179"/>
      <c r="DT14" s="179"/>
      <c r="DU14" s="179"/>
      <c r="DV14" s="179"/>
      <c r="DW14" s="179"/>
      <c r="DX14" s="179"/>
      <c r="DY14" s="179"/>
      <c r="DZ14" s="179"/>
      <c r="EA14" s="179"/>
      <c r="EB14" s="180"/>
      <c r="EC14" s="181">
        <f t="shared" si="47"/>
        <v>-52.740756127959685</v>
      </c>
      <c r="EE14" s="181"/>
    </row>
    <row r="15" spans="1:136" s="182" customFormat="1" ht="30">
      <c r="A15" s="74">
        <v>15</v>
      </c>
      <c r="B15" s="74">
        <v>23</v>
      </c>
      <c r="C15" s="138">
        <v>45814</v>
      </c>
      <c r="D15" s="139">
        <v>161016404</v>
      </c>
      <c r="E15" s="138">
        <v>45753</v>
      </c>
      <c r="F15" s="138"/>
      <c r="G15" s="138"/>
      <c r="H15" s="140">
        <v>3866.1</v>
      </c>
      <c r="I15" s="141">
        <v>3866.1</v>
      </c>
      <c r="J15" s="142"/>
      <c r="K15" s="568"/>
      <c r="L15" s="337">
        <v>58</v>
      </c>
      <c r="M15" s="144"/>
      <c r="N15" s="144">
        <v>3866.1</v>
      </c>
      <c r="O15" s="522" t="s">
        <v>180</v>
      </c>
      <c r="P15" s="145" t="s">
        <v>71</v>
      </c>
      <c r="Q15" s="146" t="s">
        <v>52</v>
      </c>
      <c r="R15" s="145"/>
      <c r="S15" s="145" t="s">
        <v>181</v>
      </c>
      <c r="T15" s="145"/>
      <c r="U15" s="147" t="s">
        <v>190</v>
      </c>
      <c r="V15" s="147" t="s">
        <v>194</v>
      </c>
      <c r="W15" s="147">
        <v>3550</v>
      </c>
      <c r="X15" s="519">
        <v>3956.55</v>
      </c>
      <c r="Y15" s="148">
        <v>3956.55</v>
      </c>
      <c r="Z15" s="150" t="s">
        <v>284</v>
      </c>
      <c r="AA15" s="149">
        <v>1662</v>
      </c>
      <c r="AB15" s="150" t="s">
        <v>244</v>
      </c>
      <c r="AC15" s="151">
        <v>3956.55</v>
      </c>
      <c r="AD15" s="151">
        <v>10.84</v>
      </c>
      <c r="AE15" s="152">
        <f t="shared" si="0"/>
        <v>42889.002</v>
      </c>
      <c r="AF15" s="151">
        <v>6.39</v>
      </c>
      <c r="AG15" s="152">
        <f t="shared" si="1"/>
        <v>25282.354500000001</v>
      </c>
      <c r="AH15" s="151">
        <v>43.78</v>
      </c>
      <c r="AI15" s="152">
        <f t="shared" si="2"/>
        <v>173217.75900000002</v>
      </c>
      <c r="AJ15" s="149">
        <v>3445</v>
      </c>
      <c r="AK15" s="152">
        <f t="shared" si="58"/>
        <v>13630314.75</v>
      </c>
      <c r="AL15" s="149"/>
      <c r="AM15" s="151">
        <v>6.22</v>
      </c>
      <c r="AN15" s="152">
        <f t="shared" si="3"/>
        <v>24609.741000000002</v>
      </c>
      <c r="AO15" s="151">
        <v>43.86</v>
      </c>
      <c r="AP15" s="152">
        <f t="shared" si="4"/>
        <v>173534.283</v>
      </c>
      <c r="AQ15" s="149">
        <v>3451</v>
      </c>
      <c r="AR15" s="152">
        <f t="shared" si="48"/>
        <v>13341911.1</v>
      </c>
      <c r="AS15" s="149" t="s">
        <v>190</v>
      </c>
      <c r="AT15" s="149">
        <f t="shared" si="5"/>
        <v>3281</v>
      </c>
      <c r="AU15" s="152">
        <f t="shared" si="6"/>
        <v>12981440.550000001</v>
      </c>
      <c r="AV15" s="149">
        <f t="shared" si="7"/>
        <v>41.7</v>
      </c>
      <c r="AW15" s="152">
        <f t="shared" si="8"/>
        <v>164988.13500000001</v>
      </c>
      <c r="AX15" s="151">
        <f t="shared" si="9"/>
        <v>4.62</v>
      </c>
      <c r="AY15" s="152">
        <f t="shared" si="10"/>
        <v>18279.261000000002</v>
      </c>
      <c r="AZ15" s="153">
        <v>5.2</v>
      </c>
      <c r="BA15" s="153">
        <v>8.1959999999999997</v>
      </c>
      <c r="BB15" s="153"/>
      <c r="BC15" s="154">
        <f t="shared" si="11"/>
        <v>12.969808</v>
      </c>
      <c r="BD15" s="155">
        <f t="shared" si="12"/>
        <v>50142.574708799999</v>
      </c>
      <c r="BE15" s="156">
        <f t="shared" si="59"/>
        <v>3866.1</v>
      </c>
      <c r="BF15" s="157">
        <v>502</v>
      </c>
      <c r="BG15" s="157" t="s">
        <v>239</v>
      </c>
      <c r="BH15" s="156">
        <v>12.97</v>
      </c>
      <c r="BI15" s="158">
        <f t="shared" si="14"/>
        <v>50143.317000000003</v>
      </c>
      <c r="BJ15" s="156">
        <v>6.64</v>
      </c>
      <c r="BK15" s="158">
        <f t="shared" si="15"/>
        <v>25670.903999999999</v>
      </c>
      <c r="BL15" s="156">
        <v>40.36</v>
      </c>
      <c r="BM15" s="159">
        <f t="shared" si="16"/>
        <v>156035.796</v>
      </c>
      <c r="BN15" s="157">
        <v>4039</v>
      </c>
      <c r="BO15" s="159">
        <f t="shared" si="17"/>
        <v>15615177.9</v>
      </c>
      <c r="BP15" s="160"/>
      <c r="BQ15" s="156">
        <v>6.38</v>
      </c>
      <c r="BR15" s="158">
        <f t="shared" si="18"/>
        <v>24665.718000000001</v>
      </c>
      <c r="BS15" s="156">
        <v>40.47</v>
      </c>
      <c r="BT15" s="159">
        <f t="shared" si="19"/>
        <v>156461.06699999998</v>
      </c>
      <c r="BU15" s="157">
        <v>4050</v>
      </c>
      <c r="BV15" s="161">
        <f t="shared" si="49"/>
        <v>15657705</v>
      </c>
      <c r="BW15" s="157" t="s">
        <v>185</v>
      </c>
      <c r="BX15" s="157">
        <f t="shared" si="20"/>
        <v>3765</v>
      </c>
      <c r="BY15" s="161">
        <f t="shared" si="50"/>
        <v>14555866.5</v>
      </c>
      <c r="BZ15" s="157">
        <f t="shared" si="21"/>
        <v>37.619999999999997</v>
      </c>
      <c r="CA15" s="161">
        <f t="shared" si="22"/>
        <v>145442.682</v>
      </c>
      <c r="CB15" s="156">
        <f t="shared" si="23"/>
        <v>6.5900000000000007</v>
      </c>
      <c r="CC15" s="161">
        <f t="shared" si="24"/>
        <v>25477.599000000002</v>
      </c>
      <c r="CD15" s="162">
        <f t="shared" si="62"/>
        <v>3866.1</v>
      </c>
      <c r="CE15" s="163">
        <v>6.5</v>
      </c>
      <c r="CF15" s="164">
        <v>7.58</v>
      </c>
      <c r="CG15" s="165">
        <f t="shared" si="51"/>
        <v>13.587300000000001</v>
      </c>
      <c r="CH15" s="166">
        <f t="shared" si="25"/>
        <v>52529.860530000005</v>
      </c>
      <c r="CI15" s="167">
        <v>38.06</v>
      </c>
      <c r="CJ15" s="166">
        <f t="shared" si="52"/>
        <v>147143.766</v>
      </c>
      <c r="CK15" s="168">
        <v>4.83</v>
      </c>
      <c r="CL15" s="166">
        <f t="shared" si="26"/>
        <v>18673.262999999999</v>
      </c>
      <c r="CM15" s="167">
        <v>25.27</v>
      </c>
      <c r="CN15" s="166">
        <f t="shared" si="27"/>
        <v>97696.346999999994</v>
      </c>
      <c r="CO15" s="169">
        <f t="shared" si="28"/>
        <v>4270.6785999999993</v>
      </c>
      <c r="CP15" s="166">
        <f t="shared" si="29"/>
        <v>16510870.535459997</v>
      </c>
      <c r="CQ15" s="167">
        <v>4056</v>
      </c>
      <c r="CR15" s="166">
        <f t="shared" si="53"/>
        <v>15680901.6</v>
      </c>
      <c r="CS15" s="170">
        <f t="shared" si="30"/>
        <v>38.479911736891879</v>
      </c>
      <c r="CT15" s="166">
        <f t="shared" si="31"/>
        <v>148767.1867659977</v>
      </c>
      <c r="CU15" s="168">
        <v>3.78</v>
      </c>
      <c r="CV15" s="166">
        <f t="shared" si="32"/>
        <v>14613.857999999998</v>
      </c>
      <c r="CW15" s="170">
        <f t="shared" si="33"/>
        <v>25.548801092781336</v>
      </c>
      <c r="CX15" s="166">
        <f t="shared" si="34"/>
        <v>98774.219904801925</v>
      </c>
      <c r="CY15" s="171">
        <f t="shared" si="35"/>
        <v>4100.7493958180094</v>
      </c>
      <c r="CZ15" s="166">
        <f t="shared" si="36"/>
        <v>15853907.239172006</v>
      </c>
      <c r="DA15" s="170" t="str">
        <f t="shared" si="37"/>
        <v>G11</v>
      </c>
      <c r="DB15" s="171">
        <f t="shared" si="38"/>
        <v>3682.7772533361353</v>
      </c>
      <c r="DC15" s="166">
        <f t="shared" si="39"/>
        <v>14237985.139122833</v>
      </c>
      <c r="DD15" s="170">
        <f t="shared" si="54"/>
        <v>34.557816139539774</v>
      </c>
      <c r="DE15" s="221">
        <f t="shared" si="55"/>
        <v>133603.97297707471</v>
      </c>
      <c r="DF15" s="222">
        <f t="shared" si="56"/>
        <v>9.8073000000000015</v>
      </c>
      <c r="DG15" s="221">
        <f t="shared" si="57"/>
        <v>37916.002530000005</v>
      </c>
      <c r="DH15" s="172">
        <f t="shared" si="40"/>
        <v>2</v>
      </c>
      <c r="DI15" s="173">
        <f t="shared" si="41"/>
        <v>50.749395818009361</v>
      </c>
      <c r="DJ15" s="174">
        <f t="shared" si="42"/>
        <v>2</v>
      </c>
      <c r="DK15" s="175">
        <f t="shared" si="43"/>
        <v>-599</v>
      </c>
      <c r="DL15" s="176">
        <f t="shared" si="44"/>
        <v>2</v>
      </c>
      <c r="DM15" s="175">
        <f t="shared" si="45"/>
        <v>0</v>
      </c>
      <c r="DN15" s="177"/>
      <c r="DO15" s="178">
        <f t="shared" si="46"/>
        <v>82.222746663864655</v>
      </c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80"/>
      <c r="EC15" s="181">
        <f t="shared" si="47"/>
        <v>-50.749395818009361</v>
      </c>
      <c r="EE15" s="181"/>
    </row>
    <row r="16" spans="1:136" s="182" customFormat="1" ht="30">
      <c r="A16" s="74">
        <v>18</v>
      </c>
      <c r="B16" s="74">
        <v>27</v>
      </c>
      <c r="C16" s="138">
        <v>45815</v>
      </c>
      <c r="D16" s="139">
        <v>161002894</v>
      </c>
      <c r="E16" s="138">
        <v>45814</v>
      </c>
      <c r="F16" s="138"/>
      <c r="G16" s="138"/>
      <c r="H16" s="140">
        <v>4010.85</v>
      </c>
      <c r="I16" s="141">
        <v>4010.85</v>
      </c>
      <c r="J16" s="142"/>
      <c r="K16" s="568"/>
      <c r="L16" s="337">
        <v>58</v>
      </c>
      <c r="M16" s="144"/>
      <c r="N16" s="144">
        <v>4010.85</v>
      </c>
      <c r="O16" s="522" t="s">
        <v>180</v>
      </c>
      <c r="P16" s="145" t="s">
        <v>70</v>
      </c>
      <c r="Q16" s="146" t="s">
        <v>64</v>
      </c>
      <c r="R16" s="145"/>
      <c r="S16" s="145" t="s">
        <v>181</v>
      </c>
      <c r="T16" s="145"/>
      <c r="U16" s="147" t="s">
        <v>188</v>
      </c>
      <c r="V16" s="147" t="s">
        <v>189</v>
      </c>
      <c r="W16" s="147">
        <v>4450</v>
      </c>
      <c r="X16" s="519">
        <v>4042.42</v>
      </c>
      <c r="Y16" s="148">
        <v>4042.42</v>
      </c>
      <c r="Z16" s="150" t="s">
        <v>242</v>
      </c>
      <c r="AA16" s="149">
        <v>1662</v>
      </c>
      <c r="AB16" s="150" t="s">
        <v>244</v>
      </c>
      <c r="AC16" s="151">
        <v>4042.42</v>
      </c>
      <c r="AD16" s="151">
        <v>10.63</v>
      </c>
      <c r="AE16" s="152">
        <f t="shared" si="0"/>
        <v>42970.924600000006</v>
      </c>
      <c r="AF16" s="151">
        <v>7.23</v>
      </c>
      <c r="AG16" s="152">
        <f t="shared" si="1"/>
        <v>29226.696600000003</v>
      </c>
      <c r="AH16" s="151">
        <v>40.65</v>
      </c>
      <c r="AI16" s="152">
        <f t="shared" si="2"/>
        <v>164324.37299999999</v>
      </c>
      <c r="AJ16" s="149">
        <v>3711</v>
      </c>
      <c r="AK16" s="152">
        <f t="shared" si="58"/>
        <v>15001420.620000001</v>
      </c>
      <c r="AL16" s="149"/>
      <c r="AM16" s="151">
        <v>6.56</v>
      </c>
      <c r="AN16" s="152">
        <f t="shared" si="3"/>
        <v>26518.2752</v>
      </c>
      <c r="AO16" s="151">
        <v>40.94</v>
      </c>
      <c r="AP16" s="152">
        <f t="shared" si="4"/>
        <v>165496.67480000001</v>
      </c>
      <c r="AQ16" s="149">
        <v>3738</v>
      </c>
      <c r="AR16" s="152">
        <f t="shared" si="48"/>
        <v>14992557.299999999</v>
      </c>
      <c r="AS16" s="149" t="s">
        <v>184</v>
      </c>
      <c r="AT16" s="149">
        <f t="shared" si="5"/>
        <v>3575</v>
      </c>
      <c r="AU16" s="152">
        <f t="shared" si="6"/>
        <v>14451651.5</v>
      </c>
      <c r="AV16" s="149">
        <f t="shared" si="7"/>
        <v>39.159999999999997</v>
      </c>
      <c r="AW16" s="152">
        <f t="shared" si="8"/>
        <v>158301.1672</v>
      </c>
      <c r="AX16" s="151">
        <f t="shared" si="9"/>
        <v>4.0700000000000012</v>
      </c>
      <c r="AY16" s="152">
        <f t="shared" si="10"/>
        <v>16452.649400000006</v>
      </c>
      <c r="AZ16" s="153">
        <v>3.4</v>
      </c>
      <c r="BA16" s="153">
        <v>10.628</v>
      </c>
      <c r="BB16" s="153"/>
      <c r="BC16" s="154">
        <f t="shared" si="11"/>
        <v>13.666648</v>
      </c>
      <c r="BD16" s="155">
        <f t="shared" si="12"/>
        <v>54814.875130799999</v>
      </c>
      <c r="BE16" s="156">
        <f t="shared" si="59"/>
        <v>4010.85</v>
      </c>
      <c r="BF16" s="157">
        <v>503</v>
      </c>
      <c r="BG16" s="157" t="s">
        <v>244</v>
      </c>
      <c r="BH16" s="156">
        <v>13.666648</v>
      </c>
      <c r="BI16" s="158">
        <f t="shared" si="14"/>
        <v>54814.875130799999</v>
      </c>
      <c r="BJ16" s="156">
        <v>8.89</v>
      </c>
      <c r="BK16" s="158">
        <f t="shared" si="15"/>
        <v>35656.4565</v>
      </c>
      <c r="BL16" s="156">
        <v>44.48</v>
      </c>
      <c r="BM16" s="159">
        <f t="shared" si="16"/>
        <v>178402.60799999998</v>
      </c>
      <c r="BN16" s="157">
        <v>3225</v>
      </c>
      <c r="BO16" s="159">
        <f t="shared" si="17"/>
        <v>12934991.25</v>
      </c>
      <c r="BP16" s="160"/>
      <c r="BQ16" s="156">
        <v>8.64</v>
      </c>
      <c r="BR16" s="158">
        <f t="shared" si="18"/>
        <v>34653.743999999999</v>
      </c>
      <c r="BS16" s="156">
        <v>44.6</v>
      </c>
      <c r="BT16" s="159">
        <f t="shared" si="19"/>
        <v>178883.91</v>
      </c>
      <c r="BU16" s="157">
        <v>3234</v>
      </c>
      <c r="BV16" s="161">
        <f t="shared" si="49"/>
        <v>12971088.9</v>
      </c>
      <c r="BW16" s="157" t="s">
        <v>193</v>
      </c>
      <c r="BX16" s="157">
        <f t="shared" si="20"/>
        <v>3056</v>
      </c>
      <c r="BY16" s="161">
        <f t="shared" si="50"/>
        <v>12257157.6</v>
      </c>
      <c r="BZ16" s="157">
        <f t="shared" si="21"/>
        <v>42.15</v>
      </c>
      <c r="CA16" s="161">
        <f t="shared" si="22"/>
        <v>169057.32749999998</v>
      </c>
      <c r="CB16" s="156">
        <f t="shared" si="23"/>
        <v>5.0266479999999998</v>
      </c>
      <c r="CC16" s="161">
        <f t="shared" si="24"/>
        <v>20161.1311308</v>
      </c>
      <c r="CD16" s="162">
        <f t="shared" si="62"/>
        <v>4010.85</v>
      </c>
      <c r="CE16" s="163">
        <v>3.6</v>
      </c>
      <c r="CF16" s="164">
        <v>6.45</v>
      </c>
      <c r="CG16" s="165">
        <f t="shared" si="51"/>
        <v>9.8178000000000001</v>
      </c>
      <c r="CH16" s="166">
        <f t="shared" si="25"/>
        <v>39377.723129999998</v>
      </c>
      <c r="CI16" s="167">
        <v>46.55</v>
      </c>
      <c r="CJ16" s="166">
        <f t="shared" si="52"/>
        <v>186705.06749999998</v>
      </c>
      <c r="CK16" s="168">
        <v>3.84</v>
      </c>
      <c r="CL16" s="166">
        <f t="shared" si="26"/>
        <v>15401.663999999999</v>
      </c>
      <c r="CM16" s="167">
        <v>23.26</v>
      </c>
      <c r="CN16" s="166">
        <f t="shared" si="27"/>
        <v>93292.370999999999</v>
      </c>
      <c r="CO16" s="169">
        <f t="shared" si="28"/>
        <v>3615.7891</v>
      </c>
      <c r="CP16" s="166">
        <f t="shared" si="29"/>
        <v>14502387.711734999</v>
      </c>
      <c r="CQ16" s="167">
        <v>3298</v>
      </c>
      <c r="CR16" s="166">
        <f t="shared" si="53"/>
        <v>13227783.299999999</v>
      </c>
      <c r="CS16" s="170">
        <f t="shared" si="30"/>
        <v>46.583886231281205</v>
      </c>
      <c r="CT16" s="166">
        <f t="shared" si="31"/>
        <v>186840.98009073423</v>
      </c>
      <c r="CU16" s="168">
        <v>3.77</v>
      </c>
      <c r="CV16" s="166">
        <f t="shared" si="32"/>
        <v>15120.904500000001</v>
      </c>
      <c r="CW16" s="170">
        <f t="shared" si="33"/>
        <v>23.276932196339441</v>
      </c>
      <c r="CX16" s="166">
        <f t="shared" si="34"/>
        <v>93360.283499688041</v>
      </c>
      <c r="CY16" s="171">
        <f t="shared" si="35"/>
        <v>3300.400790349418</v>
      </c>
      <c r="CZ16" s="166">
        <f t="shared" si="36"/>
        <v>13237412.509972963</v>
      </c>
      <c r="DA16" s="170" t="str">
        <f t="shared" si="37"/>
        <v>G14</v>
      </c>
      <c r="DB16" s="171">
        <f t="shared" si="38"/>
        <v>3092.9793635607321</v>
      </c>
      <c r="DC16" s="166">
        <f t="shared" si="39"/>
        <v>12405476.280337563</v>
      </c>
      <c r="DD16" s="170">
        <f t="shared" si="54"/>
        <v>43.656212666389351</v>
      </c>
      <c r="DE16" s="221">
        <f t="shared" si="55"/>
        <v>175098.52057298773</v>
      </c>
      <c r="DF16" s="222">
        <f t="shared" si="56"/>
        <v>6.0478000000000005</v>
      </c>
      <c r="DG16" s="221">
        <f t="shared" si="57"/>
        <v>24256.818630000002</v>
      </c>
      <c r="DH16" s="172">
        <f t="shared" si="40"/>
        <v>-4</v>
      </c>
      <c r="DI16" s="173">
        <f t="shared" si="41"/>
        <v>66.400790349418003</v>
      </c>
      <c r="DJ16" s="174">
        <f t="shared" si="42"/>
        <v>-4</v>
      </c>
      <c r="DK16" s="175">
        <f t="shared" si="43"/>
        <v>504</v>
      </c>
      <c r="DL16" s="176">
        <f t="shared" si="44"/>
        <v>-4</v>
      </c>
      <c r="DM16" s="175">
        <f t="shared" si="45"/>
        <v>-2</v>
      </c>
      <c r="DN16" s="177"/>
      <c r="DO16" s="178">
        <f t="shared" si="46"/>
        <v>-36.979363560732054</v>
      </c>
      <c r="DP16" s="179"/>
      <c r="DQ16" s="179"/>
      <c r="DR16" s="179"/>
      <c r="DS16" s="179"/>
      <c r="DT16" s="179"/>
      <c r="DU16" s="179"/>
      <c r="DV16" s="179"/>
      <c r="DW16" s="179"/>
      <c r="DX16" s="179"/>
      <c r="DY16" s="179"/>
      <c r="DZ16" s="179"/>
      <c r="EA16" s="179"/>
      <c r="EB16" s="180"/>
      <c r="EC16" s="181">
        <f t="shared" si="47"/>
        <v>-66.400790349418003</v>
      </c>
      <c r="EE16" s="181"/>
    </row>
    <row r="17" spans="1:135" s="182" customFormat="1" ht="45">
      <c r="A17" s="74">
        <v>20</v>
      </c>
      <c r="B17" s="74">
        <v>30</v>
      </c>
      <c r="C17" s="138">
        <v>45816</v>
      </c>
      <c r="D17" s="139">
        <v>161005914</v>
      </c>
      <c r="E17" s="138">
        <v>45815</v>
      </c>
      <c r="F17" s="138"/>
      <c r="G17" s="138"/>
      <c r="H17" s="140">
        <v>3814.7</v>
      </c>
      <c r="I17" s="141">
        <v>3814.7</v>
      </c>
      <c r="J17" s="142"/>
      <c r="K17" s="568"/>
      <c r="L17" s="337">
        <v>55</v>
      </c>
      <c r="M17" s="144"/>
      <c r="N17" s="144">
        <v>3814.7</v>
      </c>
      <c r="O17" s="522" t="s">
        <v>180</v>
      </c>
      <c r="P17" s="145" t="s">
        <v>69</v>
      </c>
      <c r="Q17" s="146" t="s">
        <v>50</v>
      </c>
      <c r="R17" s="145"/>
      <c r="S17" s="145" t="s">
        <v>181</v>
      </c>
      <c r="T17" s="145"/>
      <c r="U17" s="147" t="s">
        <v>182</v>
      </c>
      <c r="V17" s="147" t="s">
        <v>183</v>
      </c>
      <c r="W17" s="147">
        <v>4150</v>
      </c>
      <c r="X17" s="519">
        <v>3926.89</v>
      </c>
      <c r="Y17" s="148">
        <v>3926.89</v>
      </c>
      <c r="Z17" s="150" t="s">
        <v>245</v>
      </c>
      <c r="AA17" s="149">
        <v>1660</v>
      </c>
      <c r="AB17" s="150" t="s">
        <v>244</v>
      </c>
      <c r="AC17" s="151">
        <v>3926.89</v>
      </c>
      <c r="AD17" s="151">
        <v>11.82</v>
      </c>
      <c r="AE17" s="152">
        <f t="shared" si="0"/>
        <v>46415.839800000002</v>
      </c>
      <c r="AF17" s="151">
        <v>6.68</v>
      </c>
      <c r="AG17" s="152">
        <f t="shared" si="1"/>
        <v>26231.625199999999</v>
      </c>
      <c r="AH17" s="151">
        <v>42.6</v>
      </c>
      <c r="AI17" s="152">
        <f t="shared" si="2"/>
        <v>167285.514</v>
      </c>
      <c r="AJ17" s="149">
        <v>3573</v>
      </c>
      <c r="AK17" s="152">
        <f t="shared" si="58"/>
        <v>14030777.969999999</v>
      </c>
      <c r="AL17" s="149"/>
      <c r="AM17" s="151">
        <v>7.56</v>
      </c>
      <c r="AN17" s="152">
        <f t="shared" si="3"/>
        <v>29687.288399999998</v>
      </c>
      <c r="AO17" s="151">
        <v>42.2</v>
      </c>
      <c r="AP17" s="152">
        <f t="shared" si="4"/>
        <v>165714.758</v>
      </c>
      <c r="AQ17" s="149">
        <v>3539</v>
      </c>
      <c r="AR17" s="152">
        <f t="shared" si="48"/>
        <v>13500223.299999999</v>
      </c>
      <c r="AS17" s="149" t="s">
        <v>190</v>
      </c>
      <c r="AT17" s="149">
        <f t="shared" si="5"/>
        <v>3376</v>
      </c>
      <c r="AU17" s="152">
        <f t="shared" si="6"/>
        <v>13257180.639999999</v>
      </c>
      <c r="AV17" s="149">
        <f t="shared" si="7"/>
        <v>40.26</v>
      </c>
      <c r="AW17" s="152">
        <f t="shared" si="8"/>
        <v>158096.59139999998</v>
      </c>
      <c r="AX17" s="151">
        <f t="shared" si="9"/>
        <v>4.2600000000000007</v>
      </c>
      <c r="AY17" s="152">
        <f t="shared" si="10"/>
        <v>16728.551400000004</v>
      </c>
      <c r="AZ17" s="153">
        <v>4.2</v>
      </c>
      <c r="BA17" s="153">
        <v>6.532</v>
      </c>
      <c r="BB17" s="153"/>
      <c r="BC17" s="154">
        <f t="shared" si="11"/>
        <v>10.457656</v>
      </c>
      <c r="BD17" s="155">
        <f t="shared" si="12"/>
        <v>39892.820343200001</v>
      </c>
      <c r="BE17" s="156">
        <f>CD17</f>
        <v>3814.7</v>
      </c>
      <c r="BF17" s="157">
        <v>503</v>
      </c>
      <c r="BG17" s="157" t="s">
        <v>244</v>
      </c>
      <c r="BH17" s="156">
        <v>10.457656</v>
      </c>
      <c r="BI17" s="158">
        <f t="shared" si="14"/>
        <v>39892.820343200001</v>
      </c>
      <c r="BJ17" s="156">
        <v>8.01</v>
      </c>
      <c r="BK17" s="158">
        <f t="shared" si="15"/>
        <v>30555.746999999999</v>
      </c>
      <c r="BL17" s="156">
        <v>44.22</v>
      </c>
      <c r="BM17" s="159">
        <f t="shared" si="16"/>
        <v>168686.03399999999</v>
      </c>
      <c r="BN17" s="157">
        <v>3257</v>
      </c>
      <c r="BO17" s="159">
        <f t="shared" si="17"/>
        <v>12424477.899999999</v>
      </c>
      <c r="BP17" s="160"/>
      <c r="BQ17" s="156">
        <v>7.78</v>
      </c>
      <c r="BR17" s="158">
        <f t="shared" si="18"/>
        <v>29678.365999999998</v>
      </c>
      <c r="BS17" s="156">
        <v>44.33</v>
      </c>
      <c r="BT17" s="159">
        <f t="shared" si="19"/>
        <v>169105.65099999998</v>
      </c>
      <c r="BU17" s="157">
        <v>3265</v>
      </c>
      <c r="BV17" s="161">
        <f t="shared" si="49"/>
        <v>12454995.5</v>
      </c>
      <c r="BW17" s="157" t="s">
        <v>193</v>
      </c>
      <c r="BX17" s="157">
        <f t="shared" si="20"/>
        <v>3170</v>
      </c>
      <c r="BY17" s="161">
        <f t="shared" si="50"/>
        <v>12092599</v>
      </c>
      <c r="BZ17" s="157">
        <f t="shared" si="21"/>
        <v>43.04</v>
      </c>
      <c r="CA17" s="161">
        <f t="shared" si="22"/>
        <v>164184.68799999999</v>
      </c>
      <c r="CB17" s="156">
        <f t="shared" si="23"/>
        <v>2.6776559999999998</v>
      </c>
      <c r="CC17" s="161">
        <f t="shared" si="24"/>
        <v>10214.454343199999</v>
      </c>
      <c r="CD17" s="162">
        <f t="shared" si="62"/>
        <v>3814.7</v>
      </c>
      <c r="CE17" s="163">
        <v>3.9</v>
      </c>
      <c r="CF17" s="164">
        <v>6.51</v>
      </c>
      <c r="CG17" s="165">
        <f t="shared" si="51"/>
        <v>10.15611</v>
      </c>
      <c r="CH17" s="166">
        <f t="shared" si="25"/>
        <v>38742.512816999995</v>
      </c>
      <c r="CI17" s="167">
        <v>46.61</v>
      </c>
      <c r="CJ17" s="166">
        <f t="shared" si="52"/>
        <v>177803.16699999999</v>
      </c>
      <c r="CK17" s="168">
        <v>3.33</v>
      </c>
      <c r="CL17" s="166">
        <f t="shared" si="26"/>
        <v>12702.950999999999</v>
      </c>
      <c r="CM17" s="167">
        <v>24.25</v>
      </c>
      <c r="CN17" s="166">
        <f t="shared" si="27"/>
        <v>92506.474999999991</v>
      </c>
      <c r="CO17" s="169">
        <f t="shared" si="28"/>
        <v>3684.3780999999999</v>
      </c>
      <c r="CP17" s="166">
        <f t="shared" si="29"/>
        <v>14054797.138069998</v>
      </c>
      <c r="CQ17" s="167">
        <v>3355</v>
      </c>
      <c r="CR17" s="166">
        <f t="shared" si="53"/>
        <v>12798318.5</v>
      </c>
      <c r="CS17" s="170">
        <f t="shared" si="30"/>
        <v>46.190524464673629</v>
      </c>
      <c r="CT17" s="166">
        <f t="shared" si="31"/>
        <v>176202.99367539049</v>
      </c>
      <c r="CU17" s="168">
        <v>4.2</v>
      </c>
      <c r="CV17" s="166">
        <f t="shared" si="32"/>
        <v>16021.74</v>
      </c>
      <c r="CW17" s="170">
        <f t="shared" si="33"/>
        <v>24.031757525602565</v>
      </c>
      <c r="CX17" s="166">
        <f t="shared" si="34"/>
        <v>91673.945432916094</v>
      </c>
      <c r="CY17" s="171">
        <f t="shared" si="35"/>
        <v>3324.8060411709939</v>
      </c>
      <c r="CZ17" s="166">
        <f t="shared" si="36"/>
        <v>12683137.605254989</v>
      </c>
      <c r="DA17" s="170" t="str">
        <f t="shared" si="37"/>
        <v>G14</v>
      </c>
      <c r="DB17" s="171">
        <f t="shared" si="38"/>
        <v>3118.0950755146373</v>
      </c>
      <c r="DC17" s="166">
        <f t="shared" si="39"/>
        <v>11894597.284565687</v>
      </c>
      <c r="DD17" s="170">
        <f t="shared" si="54"/>
        <v>43.318751555808419</v>
      </c>
      <c r="DE17" s="221">
        <f t="shared" si="55"/>
        <v>165248.04155994236</v>
      </c>
      <c r="DF17" s="222">
        <f t="shared" si="56"/>
        <v>5.9561099999999998</v>
      </c>
      <c r="DG17" s="221">
        <f t="shared" si="57"/>
        <v>22720.772816999997</v>
      </c>
      <c r="DH17" s="172">
        <f t="shared" si="40"/>
        <v>-3</v>
      </c>
      <c r="DI17" s="173">
        <f t="shared" si="41"/>
        <v>59.806041170993922</v>
      </c>
      <c r="DJ17" s="174">
        <f t="shared" si="42"/>
        <v>-3</v>
      </c>
      <c r="DK17" s="175">
        <f t="shared" si="43"/>
        <v>274</v>
      </c>
      <c r="DL17" s="176">
        <f t="shared" si="44"/>
        <v>-3</v>
      </c>
      <c r="DM17" s="175">
        <f t="shared" si="45"/>
        <v>-2</v>
      </c>
      <c r="DN17" s="177"/>
      <c r="DO17" s="178">
        <f t="shared" si="46"/>
        <v>51.904924485362699</v>
      </c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80"/>
      <c r="EC17" s="181">
        <f t="shared" si="47"/>
        <v>-59.806041170993922</v>
      </c>
      <c r="EE17" s="181"/>
    </row>
    <row r="18" spans="1:135" s="182" customFormat="1" ht="30">
      <c r="A18" s="74">
        <v>23</v>
      </c>
      <c r="B18" s="74">
        <v>40</v>
      </c>
      <c r="C18" s="138">
        <v>45817</v>
      </c>
      <c r="D18" s="139">
        <v>141000003</v>
      </c>
      <c r="E18" s="138">
        <v>45817</v>
      </c>
      <c r="F18" s="138"/>
      <c r="G18" s="138"/>
      <c r="H18" s="647">
        <f>2064.85+1818.15</f>
        <v>3883</v>
      </c>
      <c r="I18" s="141">
        <v>699.2</v>
      </c>
      <c r="J18" s="142">
        <f>(Y18/X18)*100</f>
        <v>18.006571349732749</v>
      </c>
      <c r="K18" s="568">
        <f>ROUND(((J18*H18)/100),2)</f>
        <v>699.2</v>
      </c>
      <c r="L18" s="658">
        <v>57</v>
      </c>
      <c r="M18" s="144"/>
      <c r="N18" s="144">
        <v>699.2</v>
      </c>
      <c r="O18" s="522" t="s">
        <v>180</v>
      </c>
      <c r="P18" s="145" t="s">
        <v>228</v>
      </c>
      <c r="Q18" s="146" t="s">
        <v>276</v>
      </c>
      <c r="R18" s="145"/>
      <c r="S18" s="145" t="s">
        <v>181</v>
      </c>
      <c r="T18" s="145"/>
      <c r="U18" s="147" t="s">
        <v>188</v>
      </c>
      <c r="V18" s="147" t="s">
        <v>189</v>
      </c>
      <c r="W18" s="147">
        <v>4450</v>
      </c>
      <c r="X18" s="653">
        <v>3913.96</v>
      </c>
      <c r="Y18" s="148">
        <v>704.77</v>
      </c>
      <c r="Z18" s="150"/>
      <c r="AA18" s="149"/>
      <c r="AB18" s="150"/>
      <c r="AC18" s="151"/>
      <c r="AD18" s="151"/>
      <c r="AE18" s="152">
        <f t="shared" si="0"/>
        <v>0</v>
      </c>
      <c r="AF18" s="151"/>
      <c r="AG18" s="152">
        <f t="shared" si="1"/>
        <v>0</v>
      </c>
      <c r="AH18" s="151"/>
      <c r="AI18" s="152">
        <f t="shared" si="2"/>
        <v>0</v>
      </c>
      <c r="AJ18" s="149"/>
      <c r="AK18" s="152">
        <f t="shared" si="58"/>
        <v>0</v>
      </c>
      <c r="AL18" s="149"/>
      <c r="AM18" s="151"/>
      <c r="AN18" s="152">
        <f t="shared" si="3"/>
        <v>0</v>
      </c>
      <c r="AO18" s="151"/>
      <c r="AP18" s="152">
        <f t="shared" si="4"/>
        <v>0</v>
      </c>
      <c r="AQ18" s="174">
        <f t="shared" ref="AQ18:AQ19" si="63">W18</f>
        <v>4450</v>
      </c>
      <c r="AR18" s="152">
        <f t="shared" si="48"/>
        <v>3111440</v>
      </c>
      <c r="AS18" s="149"/>
      <c r="AT18" s="149">
        <f t="shared" si="5"/>
        <v>4450</v>
      </c>
      <c r="AU18" s="152">
        <f t="shared" si="6"/>
        <v>0</v>
      </c>
      <c r="AV18" s="149">
        <f t="shared" si="7"/>
        <v>0</v>
      </c>
      <c r="AW18" s="152">
        <f t="shared" si="8"/>
        <v>0</v>
      </c>
      <c r="AX18" s="151">
        <f t="shared" si="9"/>
        <v>0</v>
      </c>
      <c r="AY18" s="152">
        <f t="shared" si="10"/>
        <v>0</v>
      </c>
      <c r="AZ18" s="153">
        <v>4.5</v>
      </c>
      <c r="BA18" s="153">
        <v>8.282</v>
      </c>
      <c r="BB18" s="153"/>
      <c r="BC18" s="154">
        <f t="shared" si="11"/>
        <v>12.40931</v>
      </c>
      <c r="BD18" s="155">
        <f t="shared" si="12"/>
        <v>8676.5895519999995</v>
      </c>
      <c r="BE18" s="156">
        <f t="shared" ref="BE18:BE19" si="64">CD18</f>
        <v>699.2</v>
      </c>
      <c r="BF18" s="157">
        <v>506</v>
      </c>
      <c r="BG18" s="157" t="s">
        <v>246</v>
      </c>
      <c r="BH18" s="156">
        <v>12.41</v>
      </c>
      <c r="BI18" s="158">
        <f t="shared" si="14"/>
        <v>8677.0720000000001</v>
      </c>
      <c r="BJ18" s="156">
        <v>7.6</v>
      </c>
      <c r="BK18" s="158">
        <f t="shared" si="15"/>
        <v>5313.92</v>
      </c>
      <c r="BL18" s="156">
        <v>44.36</v>
      </c>
      <c r="BM18" s="159">
        <f t="shared" si="16"/>
        <v>31016.512000000002</v>
      </c>
      <c r="BN18" s="157">
        <v>3039</v>
      </c>
      <c r="BO18" s="159">
        <f t="shared" si="17"/>
        <v>2124868.8000000003</v>
      </c>
      <c r="BP18" s="160"/>
      <c r="BQ18" s="156">
        <v>7.28</v>
      </c>
      <c r="BR18" s="158">
        <f t="shared" si="18"/>
        <v>5090.1760000000004</v>
      </c>
      <c r="BS18" s="156">
        <v>44.51</v>
      </c>
      <c r="BT18" s="159">
        <f t="shared" si="19"/>
        <v>31121.392</v>
      </c>
      <c r="BU18" s="157">
        <v>3050</v>
      </c>
      <c r="BV18" s="161">
        <f t="shared" si="49"/>
        <v>2132560</v>
      </c>
      <c r="BW18" s="157" t="s">
        <v>187</v>
      </c>
      <c r="BX18" s="157">
        <f t="shared" si="20"/>
        <v>2881</v>
      </c>
      <c r="BY18" s="161">
        <f t="shared" si="50"/>
        <v>2014395.2000000002</v>
      </c>
      <c r="BZ18" s="157">
        <f t="shared" si="21"/>
        <v>42.05</v>
      </c>
      <c r="CA18" s="161">
        <f t="shared" si="22"/>
        <v>29401.360000000001</v>
      </c>
      <c r="CB18" s="156">
        <f t="shared" si="23"/>
        <v>5.13</v>
      </c>
      <c r="CC18" s="161">
        <f t="shared" si="24"/>
        <v>3586.8960000000002</v>
      </c>
      <c r="CD18" s="162">
        <f t="shared" si="62"/>
        <v>699.2</v>
      </c>
      <c r="CE18" s="163">
        <v>4</v>
      </c>
      <c r="CF18" s="164">
        <v>6.08</v>
      </c>
      <c r="CG18" s="165">
        <f t="shared" si="51"/>
        <v>9.8368000000000002</v>
      </c>
      <c r="CH18" s="166">
        <f t="shared" si="25"/>
        <v>6877.8905600000007</v>
      </c>
      <c r="CI18" s="167">
        <v>39.1</v>
      </c>
      <c r="CJ18" s="166">
        <f t="shared" si="52"/>
        <v>27338.720000000001</v>
      </c>
      <c r="CK18" s="168">
        <v>4.17</v>
      </c>
      <c r="CL18" s="166">
        <f t="shared" si="26"/>
        <v>2915.6640000000002</v>
      </c>
      <c r="CM18" s="167">
        <v>28.3</v>
      </c>
      <c r="CN18" s="166">
        <f t="shared" si="27"/>
        <v>19787.36</v>
      </c>
      <c r="CO18" s="169">
        <f t="shared" si="28"/>
        <v>4268.8737999999994</v>
      </c>
      <c r="CP18" s="166">
        <f t="shared" si="29"/>
        <v>2984796.5609599999</v>
      </c>
      <c r="CQ18" s="167">
        <v>4050</v>
      </c>
      <c r="CR18" s="166">
        <f t="shared" si="53"/>
        <v>2831760</v>
      </c>
      <c r="CS18" s="170">
        <f t="shared" si="30"/>
        <v>38.72054680162789</v>
      </c>
      <c r="CT18" s="166">
        <f t="shared" si="31"/>
        <v>27073.406323698222</v>
      </c>
      <c r="CU18" s="168">
        <v>5.0999999999999996</v>
      </c>
      <c r="CV18" s="166">
        <f t="shared" si="32"/>
        <v>3565.92</v>
      </c>
      <c r="CW18" s="170">
        <f t="shared" si="33"/>
        <v>28.025357403735786</v>
      </c>
      <c r="CX18" s="166">
        <f t="shared" si="34"/>
        <v>19595.329896692063</v>
      </c>
      <c r="CY18" s="171">
        <f t="shared" si="35"/>
        <v>4010.6960242095383</v>
      </c>
      <c r="CZ18" s="166">
        <f t="shared" si="36"/>
        <v>2804278.6601273096</v>
      </c>
      <c r="DA18" s="170" t="str">
        <f t="shared" si="37"/>
        <v>G11</v>
      </c>
      <c r="DB18" s="171">
        <f t="shared" si="38"/>
        <v>3810.5077741834502</v>
      </c>
      <c r="DC18" s="166">
        <f t="shared" si="39"/>
        <v>2664307.0357090686</v>
      </c>
      <c r="DD18" s="170">
        <f t="shared" si="54"/>
        <v>36.787865177919237</v>
      </c>
      <c r="DE18" s="221">
        <f t="shared" si="55"/>
        <v>25722.075332401131</v>
      </c>
      <c r="DF18" s="222">
        <f t="shared" si="56"/>
        <v>4.7368000000000006</v>
      </c>
      <c r="DG18" s="221">
        <f t="shared" si="57"/>
        <v>3311.9705600000007</v>
      </c>
      <c r="DH18" s="172">
        <f t="shared" si="40"/>
        <v>-1</v>
      </c>
      <c r="DI18" s="173">
        <f t="shared" si="41"/>
        <v>960.69602420953834</v>
      </c>
      <c r="DJ18" s="174">
        <f t="shared" si="42"/>
        <v>-5</v>
      </c>
      <c r="DK18" s="175">
        <f t="shared" si="43"/>
        <v>1400</v>
      </c>
      <c r="DL18" s="176">
        <f t="shared" si="44"/>
        <v>-5</v>
      </c>
      <c r="DM18" s="175" t="e">
        <f t="shared" si="45"/>
        <v>#VALUE!</v>
      </c>
      <c r="DN18" s="177"/>
      <c r="DO18" s="178">
        <f t="shared" si="46"/>
        <v>-929.50777418345024</v>
      </c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80"/>
      <c r="EC18" s="181">
        <f t="shared" si="47"/>
        <v>-960.69602420953834</v>
      </c>
      <c r="EE18" s="181"/>
    </row>
    <row r="19" spans="1:135" s="182" customFormat="1" ht="30">
      <c r="A19" s="74">
        <v>24</v>
      </c>
      <c r="B19" s="74">
        <v>40</v>
      </c>
      <c r="C19" s="138">
        <v>45817</v>
      </c>
      <c r="D19" s="139">
        <v>141000003</v>
      </c>
      <c r="E19" s="138">
        <v>45817</v>
      </c>
      <c r="F19" s="138"/>
      <c r="G19" s="138"/>
      <c r="H19" s="649"/>
      <c r="I19" s="141">
        <v>3183.8</v>
      </c>
      <c r="J19" s="142">
        <f>(Y19/X18)*100</f>
        <v>81.993428650267248</v>
      </c>
      <c r="K19" s="568">
        <f>ROUND(((J19*H18)/100),2)</f>
        <v>3183.8</v>
      </c>
      <c r="L19" s="659"/>
      <c r="M19" s="144"/>
      <c r="N19" s="144">
        <v>3183.8</v>
      </c>
      <c r="O19" s="522" t="s">
        <v>180</v>
      </c>
      <c r="P19" s="145" t="s">
        <v>228</v>
      </c>
      <c r="Q19" s="146" t="s">
        <v>229</v>
      </c>
      <c r="R19" s="145"/>
      <c r="S19" s="145" t="s">
        <v>181</v>
      </c>
      <c r="T19" s="145"/>
      <c r="U19" s="147" t="s">
        <v>188</v>
      </c>
      <c r="V19" s="147" t="s">
        <v>189</v>
      </c>
      <c r="W19" s="147">
        <v>4450</v>
      </c>
      <c r="X19" s="655"/>
      <c r="Y19" s="148">
        <v>3209.19</v>
      </c>
      <c r="Z19" s="150"/>
      <c r="AA19" s="149"/>
      <c r="AB19" s="150"/>
      <c r="AC19" s="151"/>
      <c r="AD19" s="151"/>
      <c r="AE19" s="152">
        <f t="shared" si="0"/>
        <v>0</v>
      </c>
      <c r="AF19" s="151"/>
      <c r="AG19" s="152">
        <f t="shared" si="1"/>
        <v>0</v>
      </c>
      <c r="AH19" s="151"/>
      <c r="AI19" s="152">
        <f t="shared" si="2"/>
        <v>0</v>
      </c>
      <c r="AJ19" s="149"/>
      <c r="AK19" s="152">
        <f t="shared" si="58"/>
        <v>0</v>
      </c>
      <c r="AL19" s="149"/>
      <c r="AM19" s="151"/>
      <c r="AN19" s="152">
        <f t="shared" si="3"/>
        <v>0</v>
      </c>
      <c r="AO19" s="151"/>
      <c r="AP19" s="152">
        <f t="shared" si="4"/>
        <v>0</v>
      </c>
      <c r="AQ19" s="174">
        <f t="shared" si="63"/>
        <v>4450</v>
      </c>
      <c r="AR19" s="152">
        <f t="shared" si="48"/>
        <v>14167910</v>
      </c>
      <c r="AS19" s="149"/>
      <c r="AT19" s="149">
        <f t="shared" si="5"/>
        <v>4450</v>
      </c>
      <c r="AU19" s="152">
        <f t="shared" si="6"/>
        <v>0</v>
      </c>
      <c r="AV19" s="149">
        <f t="shared" si="7"/>
        <v>0</v>
      </c>
      <c r="AW19" s="152">
        <f t="shared" si="8"/>
        <v>0</v>
      </c>
      <c r="AX19" s="151">
        <f t="shared" si="9"/>
        <v>0</v>
      </c>
      <c r="AY19" s="152">
        <f t="shared" si="10"/>
        <v>0</v>
      </c>
      <c r="AZ19" s="153">
        <v>4.5</v>
      </c>
      <c r="BA19" s="153">
        <v>8.282</v>
      </c>
      <c r="BB19" s="153"/>
      <c r="BC19" s="154">
        <f t="shared" si="11"/>
        <v>12.40931</v>
      </c>
      <c r="BD19" s="155">
        <f t="shared" si="12"/>
        <v>39508.761178000001</v>
      </c>
      <c r="BE19" s="156">
        <f t="shared" si="64"/>
        <v>3183.8</v>
      </c>
      <c r="BF19" s="157">
        <v>506</v>
      </c>
      <c r="BG19" s="157" t="s">
        <v>246</v>
      </c>
      <c r="BH19" s="156">
        <v>12.41</v>
      </c>
      <c r="BI19" s="158">
        <f t="shared" si="14"/>
        <v>39510.958000000006</v>
      </c>
      <c r="BJ19" s="156">
        <v>7.6</v>
      </c>
      <c r="BK19" s="158">
        <f t="shared" si="15"/>
        <v>24196.880000000001</v>
      </c>
      <c r="BL19" s="156">
        <v>44.36</v>
      </c>
      <c r="BM19" s="159">
        <f t="shared" si="16"/>
        <v>141233.36800000002</v>
      </c>
      <c r="BN19" s="157">
        <v>3039</v>
      </c>
      <c r="BO19" s="159">
        <f t="shared" si="17"/>
        <v>9675568.2000000011</v>
      </c>
      <c r="BP19" s="160"/>
      <c r="BQ19" s="156">
        <v>7.28</v>
      </c>
      <c r="BR19" s="158">
        <f t="shared" si="18"/>
        <v>23178.064000000002</v>
      </c>
      <c r="BS19" s="156">
        <v>44.51</v>
      </c>
      <c r="BT19" s="159">
        <f t="shared" si="19"/>
        <v>141710.93799999999</v>
      </c>
      <c r="BU19" s="157">
        <v>3050</v>
      </c>
      <c r="BV19" s="161">
        <f t="shared" si="49"/>
        <v>9710590</v>
      </c>
      <c r="BW19" s="157" t="s">
        <v>187</v>
      </c>
      <c r="BX19" s="157">
        <f t="shared" si="20"/>
        <v>2881</v>
      </c>
      <c r="BY19" s="161">
        <f t="shared" si="50"/>
        <v>9172527.8000000007</v>
      </c>
      <c r="BZ19" s="157">
        <f t="shared" si="21"/>
        <v>42.05</v>
      </c>
      <c r="CA19" s="161">
        <f t="shared" si="22"/>
        <v>133878.79</v>
      </c>
      <c r="CB19" s="156">
        <f t="shared" si="23"/>
        <v>5.13</v>
      </c>
      <c r="CC19" s="161">
        <f t="shared" si="24"/>
        <v>16332.894</v>
      </c>
      <c r="CD19" s="162">
        <f t="shared" si="62"/>
        <v>3183.8</v>
      </c>
      <c r="CE19" s="163">
        <v>4</v>
      </c>
      <c r="CF19" s="164">
        <v>6.08</v>
      </c>
      <c r="CG19" s="165">
        <f t="shared" si="51"/>
        <v>9.8368000000000002</v>
      </c>
      <c r="CH19" s="166">
        <f t="shared" si="25"/>
        <v>31318.403840000003</v>
      </c>
      <c r="CI19" s="167">
        <v>39.1</v>
      </c>
      <c r="CJ19" s="166">
        <f t="shared" si="52"/>
        <v>124486.58000000002</v>
      </c>
      <c r="CK19" s="168">
        <v>4.17</v>
      </c>
      <c r="CL19" s="166">
        <f t="shared" si="26"/>
        <v>13276.446</v>
      </c>
      <c r="CM19" s="167">
        <v>28.3</v>
      </c>
      <c r="CN19" s="166">
        <f t="shared" si="27"/>
        <v>90101.540000000008</v>
      </c>
      <c r="CO19" s="169">
        <f t="shared" si="28"/>
        <v>4268.8737999999994</v>
      </c>
      <c r="CP19" s="166">
        <f t="shared" si="29"/>
        <v>13591240.404439999</v>
      </c>
      <c r="CQ19" s="167">
        <v>4050</v>
      </c>
      <c r="CR19" s="166">
        <f t="shared" si="53"/>
        <v>12894390</v>
      </c>
      <c r="CS19" s="170">
        <f t="shared" si="30"/>
        <v>38.72054680162789</v>
      </c>
      <c r="CT19" s="166">
        <f t="shared" si="31"/>
        <v>123278.47690702288</v>
      </c>
      <c r="CU19" s="168">
        <v>5.0999999999999996</v>
      </c>
      <c r="CV19" s="166">
        <f t="shared" si="32"/>
        <v>16237.38</v>
      </c>
      <c r="CW19" s="170">
        <f t="shared" si="33"/>
        <v>28.025357403735786</v>
      </c>
      <c r="CX19" s="166">
        <f t="shared" si="34"/>
        <v>89227.132902013996</v>
      </c>
      <c r="CY19" s="171">
        <f t="shared" si="35"/>
        <v>4010.6960242095383</v>
      </c>
      <c r="CZ19" s="166">
        <f t="shared" si="36"/>
        <v>12769254.001878329</v>
      </c>
      <c r="DA19" s="170" t="str">
        <f t="shared" si="37"/>
        <v>G11</v>
      </c>
      <c r="DB19" s="171">
        <f t="shared" si="38"/>
        <v>3810.5077741834502</v>
      </c>
      <c r="DC19" s="166">
        <f t="shared" si="39"/>
        <v>12131894.65144527</v>
      </c>
      <c r="DD19" s="170">
        <f t="shared" si="54"/>
        <v>36.787865177919237</v>
      </c>
      <c r="DE19" s="221">
        <f t="shared" si="55"/>
        <v>117125.20515345928</v>
      </c>
      <c r="DF19" s="222">
        <f t="shared" si="56"/>
        <v>4.7368000000000006</v>
      </c>
      <c r="DG19" s="221">
        <f t="shared" si="57"/>
        <v>15081.023840000003</v>
      </c>
      <c r="DH19" s="172">
        <f t="shared" si="40"/>
        <v>-1</v>
      </c>
      <c r="DI19" s="173">
        <f t="shared" si="41"/>
        <v>960.69602420953834</v>
      </c>
      <c r="DJ19" s="174">
        <f t="shared" si="42"/>
        <v>-5</v>
      </c>
      <c r="DK19" s="175">
        <f t="shared" si="43"/>
        <v>1400</v>
      </c>
      <c r="DL19" s="176">
        <f t="shared" si="44"/>
        <v>-5</v>
      </c>
      <c r="DM19" s="175" t="e">
        <f t="shared" si="45"/>
        <v>#VALUE!</v>
      </c>
      <c r="DN19" s="177"/>
      <c r="DO19" s="178">
        <f t="shared" si="46"/>
        <v>-929.50777418345024</v>
      </c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80"/>
      <c r="EC19" s="181">
        <f t="shared" si="47"/>
        <v>-960.69602420953834</v>
      </c>
      <c r="EE19" s="181"/>
    </row>
    <row r="20" spans="1:135" s="182" customFormat="1" ht="45">
      <c r="A20" s="74">
        <v>25</v>
      </c>
      <c r="B20" s="74">
        <v>42</v>
      </c>
      <c r="C20" s="138">
        <v>45818</v>
      </c>
      <c r="D20" s="139">
        <v>151000844</v>
      </c>
      <c r="E20" s="138">
        <v>45813</v>
      </c>
      <c r="F20" s="138"/>
      <c r="G20" s="138"/>
      <c r="H20" s="140">
        <v>3962.15</v>
      </c>
      <c r="I20" s="141">
        <v>3962.15</v>
      </c>
      <c r="J20" s="142"/>
      <c r="K20" s="568"/>
      <c r="L20" s="337">
        <v>58</v>
      </c>
      <c r="M20" s="144"/>
      <c r="N20" s="144">
        <v>3962.15</v>
      </c>
      <c r="O20" s="522" t="s">
        <v>180</v>
      </c>
      <c r="P20" s="145" t="s">
        <v>69</v>
      </c>
      <c r="Q20" s="146" t="s">
        <v>50</v>
      </c>
      <c r="R20" s="145"/>
      <c r="S20" s="145" t="s">
        <v>181</v>
      </c>
      <c r="T20" s="145"/>
      <c r="U20" s="147" t="s">
        <v>182</v>
      </c>
      <c r="V20" s="147" t="s">
        <v>183</v>
      </c>
      <c r="W20" s="147">
        <v>4150</v>
      </c>
      <c r="X20" s="519">
        <v>4051.69</v>
      </c>
      <c r="Y20" s="148">
        <v>4051.69</v>
      </c>
      <c r="Z20" s="150" t="s">
        <v>241</v>
      </c>
      <c r="AA20" s="149">
        <v>1660</v>
      </c>
      <c r="AB20" s="150" t="s">
        <v>244</v>
      </c>
      <c r="AC20" s="151">
        <v>4051.69</v>
      </c>
      <c r="AD20" s="151">
        <v>12.41</v>
      </c>
      <c r="AE20" s="152">
        <f t="shared" si="0"/>
        <v>50281.472900000001</v>
      </c>
      <c r="AF20" s="151">
        <v>6.09</v>
      </c>
      <c r="AG20" s="152">
        <f t="shared" si="1"/>
        <v>24674.792099999999</v>
      </c>
      <c r="AH20" s="151">
        <v>38.880000000000003</v>
      </c>
      <c r="AI20" s="152">
        <f t="shared" si="2"/>
        <v>157529.7072</v>
      </c>
      <c r="AJ20" s="149">
        <v>4125</v>
      </c>
      <c r="AK20" s="152">
        <f>AJ20*$AC20</f>
        <v>16713221.25</v>
      </c>
      <c r="AL20" s="149"/>
      <c r="AM20" s="151">
        <v>6.44</v>
      </c>
      <c r="AN20" s="152">
        <f t="shared" si="3"/>
        <v>26092.883600000001</v>
      </c>
      <c r="AO20" s="151">
        <v>38.74</v>
      </c>
      <c r="AP20" s="152">
        <f t="shared" si="4"/>
        <v>156962.4706</v>
      </c>
      <c r="AQ20" s="149">
        <v>4110</v>
      </c>
      <c r="AR20" s="152">
        <f t="shared" si="48"/>
        <v>16284436.5</v>
      </c>
      <c r="AS20" s="149" t="s">
        <v>185</v>
      </c>
      <c r="AT20" s="149">
        <f t="shared" si="5"/>
        <v>3848</v>
      </c>
      <c r="AU20" s="152">
        <f>AT20*$AC20</f>
        <v>15590903.120000001</v>
      </c>
      <c r="AV20" s="149">
        <f t="shared" si="7"/>
        <v>36.270000000000003</v>
      </c>
      <c r="AW20" s="152">
        <f>AV20*$AC20</f>
        <v>146954.79630000002</v>
      </c>
      <c r="AX20" s="151">
        <f>$AD20-$AM20</f>
        <v>5.97</v>
      </c>
      <c r="AY20" s="152">
        <f>AX20*$AC20</f>
        <v>24188.5893</v>
      </c>
      <c r="AZ20" s="153">
        <v>3.7</v>
      </c>
      <c r="BA20" s="153">
        <v>7.2640000000000002</v>
      </c>
      <c r="BB20" s="153"/>
      <c r="BC20" s="154">
        <f t="shared" si="11"/>
        <v>10.695232000000001</v>
      </c>
      <c r="BD20" s="155" t="e">
        <f>BC20*#REF!</f>
        <v>#REF!</v>
      </c>
      <c r="BE20" s="156">
        <f>CD20</f>
        <v>3962.15</v>
      </c>
      <c r="BF20" s="157">
        <v>506</v>
      </c>
      <c r="BG20" s="157" t="s">
        <v>246</v>
      </c>
      <c r="BH20" s="156">
        <v>10.7</v>
      </c>
      <c r="BI20" s="158">
        <f t="shared" si="14"/>
        <v>42395.004999999997</v>
      </c>
      <c r="BJ20" s="156">
        <v>7.09</v>
      </c>
      <c r="BK20" s="158">
        <f t="shared" si="15"/>
        <v>28091.643499999998</v>
      </c>
      <c r="BL20" s="156">
        <v>42.75</v>
      </c>
      <c r="BM20" s="159">
        <f t="shared" si="16"/>
        <v>169381.91250000001</v>
      </c>
      <c r="BN20" s="157">
        <v>3412</v>
      </c>
      <c r="BO20" s="159">
        <f t="shared" si="17"/>
        <v>13518855.800000001</v>
      </c>
      <c r="BP20" s="160"/>
      <c r="BQ20" s="156">
        <v>6.72</v>
      </c>
      <c r="BR20" s="158">
        <f t="shared" si="18"/>
        <v>26625.648000000001</v>
      </c>
      <c r="BS20" s="156">
        <v>42.92</v>
      </c>
      <c r="BT20" s="159">
        <f t="shared" si="19"/>
        <v>170055.478</v>
      </c>
      <c r="BU20" s="157">
        <v>3426</v>
      </c>
      <c r="BV20" s="161">
        <f t="shared" si="49"/>
        <v>13574325.9</v>
      </c>
      <c r="BW20" s="157" t="s">
        <v>190</v>
      </c>
      <c r="BX20" s="157">
        <f t="shared" si="20"/>
        <v>3280</v>
      </c>
      <c r="BY20" s="161">
        <f t="shared" si="50"/>
        <v>12995852</v>
      </c>
      <c r="BZ20" s="157">
        <f t="shared" si="21"/>
        <v>41.09</v>
      </c>
      <c r="CA20" s="161">
        <f>BZ20*$BE20</f>
        <v>162804.74350000001</v>
      </c>
      <c r="CB20" s="156">
        <f t="shared" si="23"/>
        <v>3.9799999999999995</v>
      </c>
      <c r="CC20" s="161">
        <f>CB20*$BE20</f>
        <v>15769.356999999998</v>
      </c>
      <c r="CD20" s="162">
        <f t="shared" si="62"/>
        <v>3962.15</v>
      </c>
      <c r="CE20" s="163">
        <v>3.2</v>
      </c>
      <c r="CF20" s="164">
        <v>8.66</v>
      </c>
      <c r="CG20" s="165">
        <f>CE20+CF20*(1-CE20/100)</f>
        <v>11.582879999999999</v>
      </c>
      <c r="CH20" s="166" t="e">
        <f>CG20*#REF!</f>
        <v>#REF!</v>
      </c>
      <c r="CI20" s="167">
        <v>42.97</v>
      </c>
      <c r="CJ20" s="166">
        <f t="shared" si="52"/>
        <v>170253.58549999999</v>
      </c>
      <c r="CK20" s="168">
        <v>3.64</v>
      </c>
      <c r="CL20" s="166">
        <f t="shared" si="26"/>
        <v>14422.226000000001</v>
      </c>
      <c r="CM20" s="167">
        <v>28.36</v>
      </c>
      <c r="CN20" s="166">
        <f t="shared" si="27"/>
        <v>112366.57399999999</v>
      </c>
      <c r="CO20" s="169">
        <f t="shared" si="28"/>
        <v>3981.8148999999994</v>
      </c>
      <c r="CP20" s="166">
        <f t="shared" si="29"/>
        <v>15776547.906034999</v>
      </c>
      <c r="CQ20" s="167">
        <v>3501</v>
      </c>
      <c r="CR20" s="166">
        <f t="shared" si="53"/>
        <v>13871487.15</v>
      </c>
      <c r="CS20" s="170">
        <f t="shared" si="30"/>
        <v>42.764871315898709</v>
      </c>
      <c r="CT20" s="166">
        <f t="shared" si="31"/>
        <v>169440.83488428808</v>
      </c>
      <c r="CU20" s="168">
        <v>4.0999999999999996</v>
      </c>
      <c r="CV20" s="166" t="e">
        <f>CU20*#REF!</f>
        <v>#REF!</v>
      </c>
      <c r="CW20" s="170">
        <f t="shared" si="33"/>
        <v>28.22461602324616</v>
      </c>
      <c r="CX20" s="166" t="e">
        <f>CW20*#REF!</f>
        <v>#REF!</v>
      </c>
      <c r="CY20" s="171">
        <f t="shared" si="35"/>
        <v>3484.2870485678704</v>
      </c>
      <c r="CZ20" s="166" t="e">
        <f>CY20*#REF!</f>
        <v>#REF!</v>
      </c>
      <c r="DA20" s="170" t="str">
        <f t="shared" si="37"/>
        <v>G13</v>
      </c>
      <c r="DB20" s="171">
        <f t="shared" si="38"/>
        <v>3212.4152876712328</v>
      </c>
      <c r="DC20" s="166" t="e">
        <f>DB20*#REF!</f>
        <v>#REF!</v>
      </c>
      <c r="DD20" s="170">
        <f t="shared" si="54"/>
        <v>39.42801625570776</v>
      </c>
      <c r="DE20" s="221">
        <f t="shared" si="55"/>
        <v>156219.71460755251</v>
      </c>
      <c r="DF20" s="222">
        <f t="shared" si="56"/>
        <v>7.4828799999999998</v>
      </c>
      <c r="DG20" s="221">
        <f t="shared" si="57"/>
        <v>29648.292991999999</v>
      </c>
      <c r="DH20" s="172">
        <f t="shared" si="40"/>
        <v>-2</v>
      </c>
      <c r="DI20" s="173">
        <f t="shared" si="41"/>
        <v>58.287048567870443</v>
      </c>
      <c r="DJ20" s="174">
        <f t="shared" si="42"/>
        <v>-2</v>
      </c>
      <c r="DK20" s="175">
        <f t="shared" si="43"/>
        <v>684</v>
      </c>
      <c r="DL20" s="176">
        <f t="shared" si="44"/>
        <v>-2</v>
      </c>
      <c r="DM20" s="175">
        <f t="shared" si="45"/>
        <v>0</v>
      </c>
      <c r="DN20" s="177"/>
      <c r="DO20" s="178">
        <f t="shared" si="46"/>
        <v>67.584712328767182</v>
      </c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80"/>
      <c r="EC20" s="181">
        <f t="shared" si="47"/>
        <v>-58.287048567870443</v>
      </c>
      <c r="EE20" s="181"/>
    </row>
    <row r="21" spans="1:135" s="182" customFormat="1" ht="30">
      <c r="A21" s="74">
        <v>26</v>
      </c>
      <c r="B21" s="74">
        <v>44</v>
      </c>
      <c r="C21" s="138">
        <v>45818</v>
      </c>
      <c r="D21" s="139">
        <v>151001322</v>
      </c>
      <c r="E21" s="138">
        <v>45814</v>
      </c>
      <c r="F21" s="138"/>
      <c r="G21" s="138"/>
      <c r="H21" s="140">
        <v>3994.45</v>
      </c>
      <c r="I21" s="141">
        <v>3994.45</v>
      </c>
      <c r="J21" s="142"/>
      <c r="K21" s="568"/>
      <c r="L21" s="337">
        <v>58</v>
      </c>
      <c r="M21" s="144"/>
      <c r="N21" s="144">
        <v>3994.45</v>
      </c>
      <c r="O21" s="522" t="s">
        <v>180</v>
      </c>
      <c r="P21" s="145" t="s">
        <v>71</v>
      </c>
      <c r="Q21" s="146" t="s">
        <v>222</v>
      </c>
      <c r="R21" s="145"/>
      <c r="S21" s="145" t="s">
        <v>181</v>
      </c>
      <c r="T21" s="145"/>
      <c r="U21" s="147" t="s">
        <v>190</v>
      </c>
      <c r="V21" s="147" t="s">
        <v>194</v>
      </c>
      <c r="W21" s="147">
        <v>3550</v>
      </c>
      <c r="X21" s="519">
        <v>4034.02</v>
      </c>
      <c r="Y21" s="148">
        <v>4034.02</v>
      </c>
      <c r="Z21" s="150" t="s">
        <v>242</v>
      </c>
      <c r="AA21" s="149">
        <v>1662</v>
      </c>
      <c r="AB21" s="150" t="s">
        <v>244</v>
      </c>
      <c r="AC21" s="151">
        <v>4034.02</v>
      </c>
      <c r="AD21" s="151">
        <v>11.71</v>
      </c>
      <c r="AE21" s="152">
        <f t="shared" si="0"/>
        <v>47238.374200000006</v>
      </c>
      <c r="AF21" s="151">
        <v>6.73</v>
      </c>
      <c r="AG21" s="152">
        <f t="shared" si="1"/>
        <v>27148.954600000001</v>
      </c>
      <c r="AH21" s="151">
        <v>42.67</v>
      </c>
      <c r="AI21" s="152">
        <f t="shared" si="2"/>
        <v>172131.63340000002</v>
      </c>
      <c r="AJ21" s="149">
        <v>3539</v>
      </c>
      <c r="AK21" s="152">
        <f t="shared" si="58"/>
        <v>14276396.779999999</v>
      </c>
      <c r="AL21" s="149"/>
      <c r="AM21" s="151">
        <v>8.68</v>
      </c>
      <c r="AN21" s="152">
        <f t="shared" si="3"/>
        <v>35015.293599999997</v>
      </c>
      <c r="AO21" s="151">
        <v>41.78</v>
      </c>
      <c r="AP21" s="152">
        <f t="shared" si="4"/>
        <v>168541.35560000001</v>
      </c>
      <c r="AQ21" s="149">
        <v>3465</v>
      </c>
      <c r="AR21" s="152">
        <f t="shared" si="48"/>
        <v>13840769.25</v>
      </c>
      <c r="AS21" s="149" t="s">
        <v>190</v>
      </c>
      <c r="AT21" s="149">
        <f t="shared" si="5"/>
        <v>3350</v>
      </c>
      <c r="AU21" s="152">
        <f t="shared" ref="AU21" si="65">AT21*$AC21</f>
        <v>13513967</v>
      </c>
      <c r="AV21" s="149">
        <f t="shared" si="7"/>
        <v>40.39</v>
      </c>
      <c r="AW21" s="152">
        <f t="shared" ref="AW21" si="66">AV21*$AC21</f>
        <v>162934.06779999999</v>
      </c>
      <c r="AX21" s="151">
        <f t="shared" si="9"/>
        <v>3.0300000000000011</v>
      </c>
      <c r="AY21" s="152">
        <f t="shared" ref="AY21" si="67">AX21*$AC21</f>
        <v>12223.080600000005</v>
      </c>
      <c r="AZ21" s="153">
        <v>2.4</v>
      </c>
      <c r="BA21" s="153">
        <v>9.4689999999999994</v>
      </c>
      <c r="BB21" s="153"/>
      <c r="BC21" s="154">
        <f t="shared" si="11"/>
        <v>11.641743999999999</v>
      </c>
      <c r="BD21" s="155">
        <f t="shared" ref="BD21:BD62" si="68">BC21*$CD21</f>
        <v>46502.364320799992</v>
      </c>
      <c r="BE21" s="156">
        <f>CD21</f>
        <v>3994.45</v>
      </c>
      <c r="BF21" s="157">
        <v>507</v>
      </c>
      <c r="BG21" s="157" t="s">
        <v>246</v>
      </c>
      <c r="BH21" s="156">
        <v>11.64</v>
      </c>
      <c r="BI21" s="158">
        <f t="shared" si="14"/>
        <v>46495.398000000001</v>
      </c>
      <c r="BJ21" s="156">
        <v>6.83</v>
      </c>
      <c r="BK21" s="158">
        <f t="shared" si="15"/>
        <v>27282.093499999999</v>
      </c>
      <c r="BL21" s="156">
        <v>48.67</v>
      </c>
      <c r="BM21" s="159">
        <f t="shared" si="16"/>
        <v>194409.88149999999</v>
      </c>
      <c r="BN21" s="157">
        <v>3024</v>
      </c>
      <c r="BO21" s="159">
        <f t="shared" si="17"/>
        <v>12079216.799999999</v>
      </c>
      <c r="BP21" s="160"/>
      <c r="BQ21" s="156">
        <v>7</v>
      </c>
      <c r="BR21" s="158">
        <f t="shared" si="18"/>
        <v>27961.149999999998</v>
      </c>
      <c r="BS21" s="156">
        <v>48.58</v>
      </c>
      <c r="BT21" s="159">
        <f t="shared" si="19"/>
        <v>194050.38099999999</v>
      </c>
      <c r="BU21" s="157">
        <v>3018</v>
      </c>
      <c r="BV21" s="161">
        <f t="shared" si="49"/>
        <v>12055250.1</v>
      </c>
      <c r="BW21" s="157" t="s">
        <v>187</v>
      </c>
      <c r="BX21" s="157">
        <f t="shared" si="20"/>
        <v>2867</v>
      </c>
      <c r="BY21" s="161">
        <f t="shared" si="50"/>
        <v>11452088.15</v>
      </c>
      <c r="BZ21" s="157">
        <f t="shared" si="21"/>
        <v>46.16</v>
      </c>
      <c r="CA21" s="161">
        <f>BZ21*$BE21</f>
        <v>184383.81199999998</v>
      </c>
      <c r="CB21" s="156">
        <f t="shared" si="23"/>
        <v>4.6400000000000006</v>
      </c>
      <c r="CC21" s="161">
        <f>CB21*$BE21</f>
        <v>18534.248000000003</v>
      </c>
      <c r="CD21" s="162">
        <f t="shared" si="62"/>
        <v>3994.45</v>
      </c>
      <c r="CE21" s="163">
        <v>2.4</v>
      </c>
      <c r="CF21" s="164">
        <v>9.0500000000000007</v>
      </c>
      <c r="CG21" s="165">
        <f t="shared" si="51"/>
        <v>11.232800000000001</v>
      </c>
      <c r="CH21" s="166">
        <f t="shared" si="25"/>
        <v>44868.857960000001</v>
      </c>
      <c r="CI21" s="167">
        <v>48.41</v>
      </c>
      <c r="CJ21" s="166">
        <f t="shared" si="52"/>
        <v>193371.32449999999</v>
      </c>
      <c r="CK21" s="168">
        <v>5.03</v>
      </c>
      <c r="CL21" s="166">
        <f t="shared" si="26"/>
        <v>20092.083500000001</v>
      </c>
      <c r="CM21" s="167">
        <v>21.69</v>
      </c>
      <c r="CN21" s="166">
        <f t="shared" si="27"/>
        <v>86639.620500000005</v>
      </c>
      <c r="CO21" s="169">
        <f t="shared" si="28"/>
        <v>3267.5280999999995</v>
      </c>
      <c r="CP21" s="166">
        <f t="shared" si="29"/>
        <v>13051977.619044997</v>
      </c>
      <c r="CQ21" s="167">
        <v>3017</v>
      </c>
      <c r="CR21" s="166">
        <f t="shared" si="53"/>
        <v>12051255.65</v>
      </c>
      <c r="CS21" s="170">
        <f t="shared" si="30"/>
        <v>49.245973465304829</v>
      </c>
      <c r="CT21" s="166">
        <f t="shared" si="31"/>
        <v>196710.57870848686</v>
      </c>
      <c r="CU21" s="168">
        <v>3.39</v>
      </c>
      <c r="CV21" s="166">
        <f>CU21*$CD21</f>
        <v>13541.1855</v>
      </c>
      <c r="CW21" s="170">
        <f t="shared" si="33"/>
        <v>22.064556175634412</v>
      </c>
      <c r="CX21" s="166">
        <f>CW21*$CD21</f>
        <v>88135.766415762875</v>
      </c>
      <c r="CY21" s="171">
        <f t="shared" si="35"/>
        <v>3069.0993998104668</v>
      </c>
      <c r="CZ21" s="166">
        <f>CY21*$CD21</f>
        <v>12259364.097572919</v>
      </c>
      <c r="DA21" s="170" t="str">
        <f t="shared" si="37"/>
        <v>G15</v>
      </c>
      <c r="DB21" s="171">
        <f t="shared" si="38"/>
        <v>2819.9499041802678</v>
      </c>
      <c r="DC21" s="166">
        <f t="shared" ref="DC21:DC62" si="69">DB21*$CD21</f>
        <v>11264148.894752869</v>
      </c>
      <c r="DD21" s="170">
        <f t="shared" si="54"/>
        <v>45.248185237443401</v>
      </c>
      <c r="DE21" s="221">
        <f t="shared" si="55"/>
        <v>180741.61352170579</v>
      </c>
      <c r="DF21" s="222">
        <f t="shared" si="56"/>
        <v>7.8428000000000004</v>
      </c>
      <c r="DG21" s="221">
        <f t="shared" si="57"/>
        <v>31327.672460000002</v>
      </c>
      <c r="DH21" s="172">
        <f t="shared" si="40"/>
        <v>-2</v>
      </c>
      <c r="DI21" s="173">
        <f t="shared" si="41"/>
        <v>51.099399810466821</v>
      </c>
      <c r="DJ21" s="174">
        <f t="shared" si="42"/>
        <v>-2</v>
      </c>
      <c r="DK21" s="175">
        <f t="shared" si="43"/>
        <v>447</v>
      </c>
      <c r="DL21" s="176">
        <f t="shared" si="44"/>
        <v>-2</v>
      </c>
      <c r="DM21" s="175">
        <f t="shared" si="45"/>
        <v>0</v>
      </c>
      <c r="DN21" s="177"/>
      <c r="DO21" s="178">
        <f t="shared" si="46"/>
        <v>47.050095819732178</v>
      </c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80"/>
      <c r="EC21" s="181">
        <f t="shared" si="47"/>
        <v>-51.099399810466821</v>
      </c>
      <c r="EE21" s="181"/>
    </row>
    <row r="22" spans="1:135" s="182" customFormat="1" ht="45">
      <c r="A22" s="74">
        <v>27</v>
      </c>
      <c r="B22" s="74">
        <v>47</v>
      </c>
      <c r="C22" s="138">
        <v>45818</v>
      </c>
      <c r="D22" s="139">
        <v>161005915</v>
      </c>
      <c r="E22" s="138">
        <v>45817</v>
      </c>
      <c r="F22" s="138"/>
      <c r="G22" s="138"/>
      <c r="H22" s="140">
        <v>3967.6</v>
      </c>
      <c r="I22" s="141">
        <v>3967.6</v>
      </c>
      <c r="J22" s="142"/>
      <c r="K22" s="568"/>
      <c r="L22" s="337">
        <v>58</v>
      </c>
      <c r="M22" s="144"/>
      <c r="N22" s="144">
        <v>3967.6</v>
      </c>
      <c r="O22" s="522" t="s">
        <v>180</v>
      </c>
      <c r="P22" s="145" t="s">
        <v>69</v>
      </c>
      <c r="Q22" s="146" t="s">
        <v>50</v>
      </c>
      <c r="R22" s="145"/>
      <c r="S22" s="145" t="s">
        <v>181</v>
      </c>
      <c r="T22" s="145"/>
      <c r="U22" s="147" t="s">
        <v>182</v>
      </c>
      <c r="V22" s="147" t="s">
        <v>183</v>
      </c>
      <c r="W22" s="147">
        <v>4150</v>
      </c>
      <c r="X22" s="519">
        <v>4072.3</v>
      </c>
      <c r="Y22" s="148">
        <v>4072.3</v>
      </c>
      <c r="Z22" s="150" t="s">
        <v>262</v>
      </c>
      <c r="AA22" s="149">
        <v>1667</v>
      </c>
      <c r="AB22" s="150" t="s">
        <v>243</v>
      </c>
      <c r="AC22" s="151">
        <v>4072.3</v>
      </c>
      <c r="AD22" s="151">
        <v>11.94</v>
      </c>
      <c r="AE22" s="152">
        <f t="shared" si="0"/>
        <v>48623.262000000002</v>
      </c>
      <c r="AF22" s="151">
        <v>9.32</v>
      </c>
      <c r="AG22" s="152">
        <f t="shared" si="1"/>
        <v>37953.836000000003</v>
      </c>
      <c r="AH22" s="151">
        <v>28.87</v>
      </c>
      <c r="AI22" s="152">
        <f t="shared" si="2"/>
        <v>117567.30100000001</v>
      </c>
      <c r="AJ22" s="149">
        <v>4123</v>
      </c>
      <c r="AK22" s="152">
        <f>AJ22*$AC22</f>
        <v>16790092.900000002</v>
      </c>
      <c r="AL22" s="149"/>
      <c r="AM22" s="151">
        <v>8.92</v>
      </c>
      <c r="AN22" s="152">
        <f t="shared" si="3"/>
        <v>36324.916000000005</v>
      </c>
      <c r="AO22" s="151">
        <v>28.98</v>
      </c>
      <c r="AP22" s="152">
        <f t="shared" si="4"/>
        <v>118015.254</v>
      </c>
      <c r="AQ22" s="149">
        <v>4138</v>
      </c>
      <c r="AR22" s="152">
        <f t="shared" si="48"/>
        <v>16417928.799999999</v>
      </c>
      <c r="AS22" s="149" t="s">
        <v>185</v>
      </c>
      <c r="AT22" s="149">
        <f t="shared" si="5"/>
        <v>4001</v>
      </c>
      <c r="AU22" s="152">
        <f>AT22*$AC22</f>
        <v>16293272.300000001</v>
      </c>
      <c r="AV22" s="149">
        <f>ROUND(((100-AD22)/(100-AM22)*AO22),2)</f>
        <v>28.02</v>
      </c>
      <c r="AW22" s="152">
        <f>AV22*$AC22</f>
        <v>114105.84600000001</v>
      </c>
      <c r="AX22" s="151">
        <f>$AD22-$AM22</f>
        <v>3.0199999999999996</v>
      </c>
      <c r="AY22" s="152">
        <f>AX22*$AC22</f>
        <v>12298.346</v>
      </c>
      <c r="AZ22" s="153">
        <v>3.4</v>
      </c>
      <c r="BA22" s="153">
        <v>12.448</v>
      </c>
      <c r="BB22" s="153"/>
      <c r="BC22" s="154">
        <f t="shared" si="11"/>
        <v>15.424768</v>
      </c>
      <c r="BD22" s="155">
        <f t="shared" si="68"/>
        <v>61199.3095168</v>
      </c>
      <c r="BE22" s="156">
        <f>CD22</f>
        <v>3967.6</v>
      </c>
      <c r="BF22" s="157">
        <v>507</v>
      </c>
      <c r="BG22" s="157" t="s">
        <v>246</v>
      </c>
      <c r="BH22" s="156">
        <v>15.42</v>
      </c>
      <c r="BI22" s="158">
        <f t="shared" si="14"/>
        <v>61180.392</v>
      </c>
      <c r="BJ22" s="156">
        <v>6.45</v>
      </c>
      <c r="BK22" s="158">
        <f t="shared" si="15"/>
        <v>25591.02</v>
      </c>
      <c r="BL22" s="156">
        <v>49.55</v>
      </c>
      <c r="BM22" s="159">
        <f t="shared" si="16"/>
        <v>196594.58</v>
      </c>
      <c r="BN22" s="157">
        <v>2836</v>
      </c>
      <c r="BO22" s="159">
        <f t="shared" si="17"/>
        <v>11252113.6</v>
      </c>
      <c r="BP22" s="160"/>
      <c r="BQ22" s="156">
        <v>6.25</v>
      </c>
      <c r="BR22" s="158">
        <f t="shared" si="18"/>
        <v>24797.5</v>
      </c>
      <c r="BS22" s="156">
        <v>49.66</v>
      </c>
      <c r="BT22" s="159">
        <f t="shared" si="19"/>
        <v>197031.01599999997</v>
      </c>
      <c r="BU22" s="157">
        <v>2842</v>
      </c>
      <c r="BV22" s="161">
        <f t="shared" si="49"/>
        <v>11275919.199999999</v>
      </c>
      <c r="BW22" s="157" t="s">
        <v>187</v>
      </c>
      <c r="BX22" s="157">
        <f t="shared" si="20"/>
        <v>2564</v>
      </c>
      <c r="BY22" s="161">
        <f t="shared" si="50"/>
        <v>10172926.4</v>
      </c>
      <c r="BZ22" s="157">
        <f t="shared" si="21"/>
        <v>44.8</v>
      </c>
      <c r="CA22" s="161">
        <f>BZ22*$BE22</f>
        <v>177748.47999999998</v>
      </c>
      <c r="CB22" s="156">
        <f t="shared" si="23"/>
        <v>9.17</v>
      </c>
      <c r="CC22" s="161">
        <f>CB22*$BE22</f>
        <v>36382.892</v>
      </c>
      <c r="CD22" s="162">
        <f t="shared" si="62"/>
        <v>3967.6</v>
      </c>
      <c r="CE22" s="163">
        <v>3.7</v>
      </c>
      <c r="CF22" s="164">
        <v>7.08</v>
      </c>
      <c r="CG22" s="165">
        <f>CE22+CF22*(1-CE22/100)</f>
        <v>10.518039999999999</v>
      </c>
      <c r="CH22" s="166">
        <f>CG22*$CD22</f>
        <v>41731.375503999996</v>
      </c>
      <c r="CI22" s="167">
        <v>49.25</v>
      </c>
      <c r="CJ22" s="166">
        <f t="shared" si="52"/>
        <v>195404.3</v>
      </c>
      <c r="CK22" s="168">
        <v>4.45</v>
      </c>
      <c r="CL22" s="166">
        <f t="shared" si="26"/>
        <v>17655.82</v>
      </c>
      <c r="CM22" s="167">
        <v>22.19</v>
      </c>
      <c r="CN22" s="166">
        <f t="shared" si="27"/>
        <v>88041.044000000009</v>
      </c>
      <c r="CO22" s="169">
        <f t="shared" si="28"/>
        <v>3272.9004999999997</v>
      </c>
      <c r="CP22" s="166">
        <f t="shared" si="29"/>
        <v>12985560.023799999</v>
      </c>
      <c r="CQ22" s="167">
        <v>2883</v>
      </c>
      <c r="CR22" s="166">
        <f t="shared" si="53"/>
        <v>11438590.799999999</v>
      </c>
      <c r="CS22" s="170">
        <f t="shared" si="30"/>
        <v>49.554107796964949</v>
      </c>
      <c r="CT22" s="166">
        <f t="shared" si="31"/>
        <v>196610.87809523812</v>
      </c>
      <c r="CU22" s="168">
        <v>3.86</v>
      </c>
      <c r="CV22" s="166">
        <f>CU22*$CD22</f>
        <v>15314.936</v>
      </c>
      <c r="CW22" s="170">
        <f>((100-CU22)/(100-CK22))*CM22</f>
        <v>22.327018315018318</v>
      </c>
      <c r="CX22" s="166">
        <f>CW22*$CD22</f>
        <v>88584.67786666668</v>
      </c>
      <c r="CY22" s="171">
        <f>((100-CU22)/(100-CK22))*CQ22</f>
        <v>2900.8018838304556</v>
      </c>
      <c r="CZ22" s="166">
        <f>CY22*$CD22</f>
        <v>11509221.554285716</v>
      </c>
      <c r="DA22" s="170" t="str">
        <f>IF(CY22&gt;=7000,"G1",IF(CY22&gt;=6700,"G2",IF(CY22&gt;=6400,"G3",IF(CY22&gt;=6100,"G4",IF(CY22&gt;=5800,"G5",IF(CY22&gt;=5500,"G6",IF(CY22&gt;=5200,"G7",IF(CY22&gt;=4900,"G8",IF(CY22&gt;=4600,"G9",IF(CY22&gt;=4300,"G10",IF(CY22&gt;=4000,"G11",IF(CY22&gt;=3700,"G12",IF(CY22&gt;=3400,"G13",IF(CY22&gt;=3100,"G14",IF(CY22&gt;=2800,"G15",IF(CY22&gt;=2500,"G16",IF(CY22&gt;=2200,"G17")))))))))))))))))</f>
        <v>G15</v>
      </c>
      <c r="DB22" s="171">
        <f t="shared" si="38"/>
        <v>2699.9109437990583</v>
      </c>
      <c r="DC22" s="166">
        <f t="shared" si="69"/>
        <v>10712166.660617143</v>
      </c>
      <c r="DD22" s="170">
        <f t="shared" si="54"/>
        <v>46.122308006279439</v>
      </c>
      <c r="DE22" s="221">
        <f t="shared" si="55"/>
        <v>182994.8692457143</v>
      </c>
      <c r="DF22" s="222">
        <f t="shared" si="56"/>
        <v>6.6580399999999997</v>
      </c>
      <c r="DG22" s="221">
        <f t="shared" si="57"/>
        <v>26416.439503999998</v>
      </c>
      <c r="DH22" s="172">
        <f t="shared" si="40"/>
        <v>-4</v>
      </c>
      <c r="DI22" s="173">
        <f t="shared" si="41"/>
        <v>58.801883830455608</v>
      </c>
      <c r="DJ22" s="174">
        <f t="shared" si="42"/>
        <v>-4</v>
      </c>
      <c r="DK22" s="175">
        <f t="shared" si="43"/>
        <v>1296</v>
      </c>
      <c r="DL22" s="176">
        <f t="shared" si="44"/>
        <v>-4</v>
      </c>
      <c r="DM22" s="175">
        <f t="shared" si="45"/>
        <v>0</v>
      </c>
      <c r="DN22" s="177"/>
      <c r="DO22" s="178">
        <f t="shared" si="46"/>
        <v>-135.91094379905826</v>
      </c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80"/>
      <c r="EC22" s="181">
        <f t="shared" si="47"/>
        <v>-58.801883830455608</v>
      </c>
      <c r="EE22" s="181"/>
    </row>
    <row r="23" spans="1:135" s="182" customFormat="1" ht="31.5">
      <c r="A23" s="74">
        <v>28</v>
      </c>
      <c r="B23" s="74">
        <v>49</v>
      </c>
      <c r="C23" s="138">
        <v>45819</v>
      </c>
      <c r="D23" s="139">
        <v>162000378</v>
      </c>
      <c r="E23" s="138">
        <v>45817</v>
      </c>
      <c r="F23" s="614" t="s">
        <v>262</v>
      </c>
      <c r="G23" s="614" t="s">
        <v>262</v>
      </c>
      <c r="H23" s="140">
        <v>3916.25</v>
      </c>
      <c r="I23" s="141">
        <v>3916.25</v>
      </c>
      <c r="J23" s="142"/>
      <c r="K23" s="568"/>
      <c r="L23" s="337">
        <v>59</v>
      </c>
      <c r="M23" s="144"/>
      <c r="N23" s="144">
        <v>3916.25</v>
      </c>
      <c r="O23" s="522" t="s">
        <v>180</v>
      </c>
      <c r="P23" s="145" t="s">
        <v>68</v>
      </c>
      <c r="Q23" s="146" t="s">
        <v>63</v>
      </c>
      <c r="R23" s="145"/>
      <c r="S23" s="145" t="s">
        <v>181</v>
      </c>
      <c r="T23" s="145"/>
      <c r="U23" s="147" t="s">
        <v>188</v>
      </c>
      <c r="V23" s="147" t="s">
        <v>189</v>
      </c>
      <c r="W23" s="147">
        <v>4450</v>
      </c>
      <c r="X23" s="519">
        <v>4060.44</v>
      </c>
      <c r="Y23" s="148">
        <v>4060.44</v>
      </c>
      <c r="Z23" s="150" t="s">
        <v>262</v>
      </c>
      <c r="AA23" s="149">
        <v>1666</v>
      </c>
      <c r="AB23" s="150" t="s">
        <v>243</v>
      </c>
      <c r="AC23" s="151">
        <v>4060.44</v>
      </c>
      <c r="AD23" s="151">
        <v>12.24</v>
      </c>
      <c r="AE23" s="152">
        <f t="shared" si="0"/>
        <v>49699.785600000003</v>
      </c>
      <c r="AF23" s="151">
        <v>7.12</v>
      </c>
      <c r="AG23" s="152">
        <f t="shared" si="1"/>
        <v>28910.3328</v>
      </c>
      <c r="AH23" s="151">
        <v>33.46</v>
      </c>
      <c r="AI23" s="152">
        <f t="shared" si="2"/>
        <v>135862.3224</v>
      </c>
      <c r="AJ23" s="149">
        <v>4143</v>
      </c>
      <c r="AK23" s="152">
        <f t="shared" ref="AK23:AK40" si="70">AJ23*$AC23</f>
        <v>16822402.920000002</v>
      </c>
      <c r="AL23" s="149"/>
      <c r="AM23" s="151">
        <v>7.42</v>
      </c>
      <c r="AN23" s="152">
        <f t="shared" si="3"/>
        <v>30128.464800000002</v>
      </c>
      <c r="AO23" s="151">
        <v>33.25</v>
      </c>
      <c r="AP23" s="152">
        <f t="shared" si="4"/>
        <v>135009.63</v>
      </c>
      <c r="AQ23" s="149">
        <v>4130</v>
      </c>
      <c r="AR23" s="152">
        <f t="shared" si="48"/>
        <v>16174112.5</v>
      </c>
      <c r="AS23" s="149" t="s">
        <v>185</v>
      </c>
      <c r="AT23" s="149">
        <f t="shared" si="5"/>
        <v>3915</v>
      </c>
      <c r="AU23" s="152">
        <f t="shared" ref="AU23:AU62" si="71">AT23*$AC23</f>
        <v>15896622.6</v>
      </c>
      <c r="AV23" s="149">
        <f t="shared" ref="AV23:AV36" si="72">ROUND(((100-AD23)/(100-AM23)*AO23),2)</f>
        <v>31.52</v>
      </c>
      <c r="AW23" s="152">
        <f t="shared" ref="AW23:AW62" si="73">AV23*$AC23</f>
        <v>127985.06879999999</v>
      </c>
      <c r="AX23" s="151">
        <f t="shared" si="9"/>
        <v>4.82</v>
      </c>
      <c r="AY23" s="152">
        <f t="shared" ref="AY23:AY62" si="74">AX23*$AC23</f>
        <v>19571.320800000001</v>
      </c>
      <c r="AZ23" s="153">
        <v>4.0999999999999996</v>
      </c>
      <c r="BA23" s="153">
        <v>7.8390000000000004</v>
      </c>
      <c r="BB23" s="153"/>
      <c r="BC23" s="154">
        <f t="shared" si="11"/>
        <v>11.617601000000001</v>
      </c>
      <c r="BD23" s="155">
        <f t="shared" si="68"/>
        <v>45497.429916250003</v>
      </c>
      <c r="BE23" s="156">
        <v>3916.25</v>
      </c>
      <c r="BF23" s="157">
        <v>508</v>
      </c>
      <c r="BG23" s="157" t="s">
        <v>243</v>
      </c>
      <c r="BH23" s="156">
        <v>11.62</v>
      </c>
      <c r="BI23" s="158">
        <f t="shared" si="14"/>
        <v>45506.824999999997</v>
      </c>
      <c r="BJ23" s="156">
        <v>8.5</v>
      </c>
      <c r="BK23" s="158">
        <f t="shared" si="15"/>
        <v>33288.125</v>
      </c>
      <c r="BL23" s="156">
        <v>43.85</v>
      </c>
      <c r="BM23" s="159">
        <f t="shared" si="16"/>
        <v>171727.5625</v>
      </c>
      <c r="BN23" s="157">
        <v>3228</v>
      </c>
      <c r="BO23" s="159">
        <f t="shared" si="17"/>
        <v>12641655</v>
      </c>
      <c r="BP23" s="160"/>
      <c r="BQ23" s="156">
        <v>7.91</v>
      </c>
      <c r="BR23" s="158">
        <f t="shared" si="18"/>
        <v>30977.537500000002</v>
      </c>
      <c r="BS23" s="156">
        <v>44.13</v>
      </c>
      <c r="BT23" s="159">
        <f t="shared" si="19"/>
        <v>172824.11250000002</v>
      </c>
      <c r="BU23" s="157">
        <v>3249</v>
      </c>
      <c r="BV23" s="161">
        <f t="shared" si="49"/>
        <v>12723896.25</v>
      </c>
      <c r="BW23" s="157" t="s">
        <v>193</v>
      </c>
      <c r="BX23" s="157">
        <f t="shared" si="20"/>
        <v>3118</v>
      </c>
      <c r="BY23" s="161">
        <f t="shared" si="50"/>
        <v>12210867.5</v>
      </c>
      <c r="BZ23" s="157">
        <f t="shared" si="21"/>
        <v>42.35</v>
      </c>
      <c r="CA23" s="161">
        <f t="shared" ref="CA23:CA62" si="75">BZ23*$BE23</f>
        <v>165853.1875</v>
      </c>
      <c r="CB23" s="156">
        <f t="shared" si="23"/>
        <v>3.7099999999999991</v>
      </c>
      <c r="CC23" s="161">
        <f t="shared" ref="CC23:CC34" si="76">CB23*$BE23</f>
        <v>14529.287499999997</v>
      </c>
      <c r="CD23" s="162">
        <f t="shared" si="62"/>
        <v>3916.25</v>
      </c>
      <c r="CE23" s="163">
        <v>4.0999999999999996</v>
      </c>
      <c r="CF23" s="164">
        <v>7.84</v>
      </c>
      <c r="CG23" s="165">
        <f t="shared" si="51"/>
        <v>11.618559999999999</v>
      </c>
      <c r="CH23" s="166">
        <f t="shared" si="25"/>
        <v>45501.185599999997</v>
      </c>
      <c r="CI23" s="167">
        <v>44.83</v>
      </c>
      <c r="CJ23" s="166">
        <f>CI23*$CD23</f>
        <v>175565.48749999999</v>
      </c>
      <c r="CK23" s="168">
        <v>5.52</v>
      </c>
      <c r="CL23" s="166">
        <f t="shared" si="26"/>
        <v>21617.699999999997</v>
      </c>
      <c r="CM23" s="167">
        <v>24.72</v>
      </c>
      <c r="CN23" s="166">
        <f t="shared" si="27"/>
        <v>96809.7</v>
      </c>
      <c r="CO23" s="169">
        <f t="shared" si="28"/>
        <v>3533.1175000000003</v>
      </c>
      <c r="CP23" s="166">
        <f t="shared" si="29"/>
        <v>13836571.409375001</v>
      </c>
      <c r="CQ23" s="167">
        <v>3299</v>
      </c>
      <c r="CR23" s="166">
        <f>CQ23*$CD23</f>
        <v>12919708.75</v>
      </c>
      <c r="CS23" s="170">
        <f t="shared" si="30"/>
        <v>44.137241744284495</v>
      </c>
      <c r="CT23" s="166">
        <f t="shared" si="31"/>
        <v>172852.47298105416</v>
      </c>
      <c r="CU23" s="168">
        <v>6.98</v>
      </c>
      <c r="CV23" s="166">
        <f t="shared" ref="CV23:CV62" si="77">CU23*$CD23</f>
        <v>27335.425000000003</v>
      </c>
      <c r="CW23" s="170">
        <f t="shared" ref="CW23:CW62" si="78">((100-CU23)/(100-CK23))*CM23</f>
        <v>24.338001693480098</v>
      </c>
      <c r="CX23" s="166">
        <f t="shared" ref="CX23:CX62" si="79">CW23*$CD23</f>
        <v>95313.699132091439</v>
      </c>
      <c r="CY23" s="171">
        <f t="shared" ref="CY23:CY62" si="80">((100-CU23)/(100-CK23))*CQ23</f>
        <v>3248.0205334462316</v>
      </c>
      <c r="CZ23" s="166">
        <f t="shared" ref="CZ23:CZ62" si="81">CY23*$CD23</f>
        <v>12720060.414108805</v>
      </c>
      <c r="DA23" s="170" t="str">
        <f t="shared" ref="DA23:DA24" si="82">IF(CY23&gt;=7000,"G1",IF(CY23&gt;=6700,"G2",IF(CY23&gt;=6400,"G3",IF(CY23&gt;=6100,"G4",IF(CY23&gt;=5800,"G5",IF(CY23&gt;=5500,"G6",IF(CY23&gt;=5200,"G7",IF(CY23&gt;=4900,"G8",IF(CY23&gt;=4600,"G9",IF(CY23&gt;=4300,"G10",IF(CY23&gt;=4000,"G11",IF(CY23&gt;=3700,"G12",IF(CY23&gt;=3400,"G13",IF(CY23&gt;=3100,"G14",IF(CY23&gt;=2800,"G15",IF(CY23&gt;=2500,"G16",IF(CY23&gt;=2200,"G17")))))))))))))))))</f>
        <v>G14</v>
      </c>
      <c r="DB23" s="171">
        <f>((100-CG23)/(100-CK23))*CQ23</f>
        <v>3086.0538797629124</v>
      </c>
      <c r="DC23" s="166">
        <f t="shared" si="69"/>
        <v>12085758.506621506</v>
      </c>
      <c r="DD23" s="170">
        <f t="shared" si="54"/>
        <v>41.936282337002538</v>
      </c>
      <c r="DE23" s="221">
        <f t="shared" si="55"/>
        <v>164232.96570228619</v>
      </c>
      <c r="DF23" s="222">
        <f t="shared" si="56"/>
        <v>4.6385599999999982</v>
      </c>
      <c r="DG23" s="221">
        <f t="shared" si="57"/>
        <v>18165.760599999994</v>
      </c>
      <c r="DH23" s="172">
        <f t="shared" si="40"/>
        <v>-4</v>
      </c>
      <c r="DI23" s="173">
        <f t="shared" si="41"/>
        <v>-0.97946655376836134</v>
      </c>
      <c r="DJ23" s="174">
        <f t="shared" si="42"/>
        <v>-4</v>
      </c>
      <c r="DK23" s="175">
        <f t="shared" si="43"/>
        <v>881</v>
      </c>
      <c r="DL23" s="176">
        <f t="shared" si="44"/>
        <v>-4</v>
      </c>
      <c r="DM23" s="175">
        <f t="shared" si="45"/>
        <v>-1</v>
      </c>
      <c r="DN23" s="177"/>
      <c r="DO23" s="178">
        <f t="shared" si="46"/>
        <v>31.946120237087598</v>
      </c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80"/>
      <c r="EC23" s="181">
        <f t="shared" si="47"/>
        <v>0.97946655376836134</v>
      </c>
      <c r="EE23" s="181"/>
    </row>
    <row r="24" spans="1:135" s="182" customFormat="1" ht="30">
      <c r="A24" s="74">
        <v>29</v>
      </c>
      <c r="B24" s="74">
        <v>51</v>
      </c>
      <c r="C24" s="138">
        <v>45819</v>
      </c>
      <c r="D24" s="139">
        <v>161016413</v>
      </c>
      <c r="E24" s="138">
        <v>45818</v>
      </c>
      <c r="F24" s="138"/>
      <c r="G24" s="138"/>
      <c r="H24" s="140">
        <v>3930.4</v>
      </c>
      <c r="I24" s="141">
        <v>3930.4</v>
      </c>
      <c r="J24" s="142"/>
      <c r="K24" s="568"/>
      <c r="L24" s="337">
        <v>58</v>
      </c>
      <c r="M24" s="144"/>
      <c r="N24" s="144">
        <v>3930.4</v>
      </c>
      <c r="O24" s="522" t="s">
        <v>180</v>
      </c>
      <c r="P24" s="145" t="s">
        <v>71</v>
      </c>
      <c r="Q24" s="146" t="s">
        <v>52</v>
      </c>
      <c r="R24" s="145"/>
      <c r="S24" s="145" t="s">
        <v>181</v>
      </c>
      <c r="T24" s="145"/>
      <c r="U24" s="147" t="s">
        <v>188</v>
      </c>
      <c r="V24" s="147" t="s">
        <v>189</v>
      </c>
      <c r="W24" s="147">
        <v>4450</v>
      </c>
      <c r="X24" s="519">
        <v>3974.14</v>
      </c>
      <c r="Y24" s="148">
        <v>3974.14</v>
      </c>
      <c r="Z24" s="150"/>
      <c r="AA24" s="149"/>
      <c r="AB24" s="150"/>
      <c r="AC24" s="151"/>
      <c r="AD24" s="151"/>
      <c r="AE24" s="152">
        <f t="shared" si="0"/>
        <v>0</v>
      </c>
      <c r="AF24" s="151"/>
      <c r="AG24" s="152">
        <f t="shared" si="1"/>
        <v>0</v>
      </c>
      <c r="AH24" s="151"/>
      <c r="AI24" s="152">
        <f t="shared" si="2"/>
        <v>0</v>
      </c>
      <c r="AJ24" s="149"/>
      <c r="AK24" s="152">
        <f t="shared" si="70"/>
        <v>0</v>
      </c>
      <c r="AL24" s="149"/>
      <c r="AM24" s="151"/>
      <c r="AN24" s="152">
        <f t="shared" si="3"/>
        <v>0</v>
      </c>
      <c r="AO24" s="151"/>
      <c r="AP24" s="152">
        <f t="shared" si="4"/>
        <v>0</v>
      </c>
      <c r="AQ24" s="174">
        <f>W24</f>
        <v>4450</v>
      </c>
      <c r="AR24" s="152">
        <f t="shared" si="48"/>
        <v>17490280</v>
      </c>
      <c r="AS24" s="149"/>
      <c r="AT24" s="149">
        <f t="shared" si="5"/>
        <v>4450</v>
      </c>
      <c r="AU24" s="152">
        <f t="shared" si="71"/>
        <v>0</v>
      </c>
      <c r="AV24" s="149">
        <f t="shared" si="72"/>
        <v>0</v>
      </c>
      <c r="AW24" s="152">
        <f t="shared" si="73"/>
        <v>0</v>
      </c>
      <c r="AX24" s="151">
        <f t="shared" si="9"/>
        <v>0</v>
      </c>
      <c r="AY24" s="152">
        <f t="shared" si="74"/>
        <v>0</v>
      </c>
      <c r="AZ24" s="153">
        <v>6.2</v>
      </c>
      <c r="BA24" s="153">
        <v>3.6819999999999999</v>
      </c>
      <c r="BB24" s="153"/>
      <c r="BC24" s="154">
        <f t="shared" si="11"/>
        <v>9.6537159999999993</v>
      </c>
      <c r="BD24" s="155">
        <f t="shared" si="68"/>
        <v>37942.9653664</v>
      </c>
      <c r="BE24" s="156">
        <f>CD24</f>
        <v>3930.4</v>
      </c>
      <c r="BF24" s="157">
        <v>508</v>
      </c>
      <c r="BG24" s="157" t="s">
        <v>243</v>
      </c>
      <c r="BH24" s="156">
        <v>12.47</v>
      </c>
      <c r="BI24" s="158">
        <f t="shared" si="14"/>
        <v>49012.088000000003</v>
      </c>
      <c r="BJ24" s="156">
        <v>8.4499999999999993</v>
      </c>
      <c r="BK24" s="158">
        <f t="shared" si="15"/>
        <v>33211.879999999997</v>
      </c>
      <c r="BL24" s="156">
        <v>45.82</v>
      </c>
      <c r="BM24" s="159">
        <f t="shared" si="16"/>
        <v>180090.92800000001</v>
      </c>
      <c r="BN24" s="157">
        <v>3170</v>
      </c>
      <c r="BO24" s="159">
        <f t="shared" si="17"/>
        <v>12459368</v>
      </c>
      <c r="BP24" s="160"/>
      <c r="BQ24" s="156">
        <v>7.61</v>
      </c>
      <c r="BR24" s="158">
        <f t="shared" si="18"/>
        <v>29910.344000000001</v>
      </c>
      <c r="BS24" s="156">
        <v>46.24</v>
      </c>
      <c r="BT24" s="159">
        <f t="shared" si="19"/>
        <v>181741.69600000003</v>
      </c>
      <c r="BU24" s="157">
        <v>3199</v>
      </c>
      <c r="BV24" s="161">
        <f t="shared" si="49"/>
        <v>12573349.6</v>
      </c>
      <c r="BW24" s="157" t="s">
        <v>193</v>
      </c>
      <c r="BX24" s="157">
        <f t="shared" si="20"/>
        <v>3031</v>
      </c>
      <c r="BY24" s="161">
        <f t="shared" si="50"/>
        <v>11913042.4</v>
      </c>
      <c r="BZ24" s="157">
        <f t="shared" si="21"/>
        <v>43.81</v>
      </c>
      <c r="CA24" s="161">
        <f t="shared" si="75"/>
        <v>172190.82400000002</v>
      </c>
      <c r="CB24" s="156">
        <f t="shared" si="23"/>
        <v>4.8600000000000003</v>
      </c>
      <c r="CC24" s="161">
        <f t="shared" si="76"/>
        <v>19101.744000000002</v>
      </c>
      <c r="CD24" s="162">
        <f t="shared" si="62"/>
        <v>3930.4</v>
      </c>
      <c r="CE24" s="163">
        <v>6.2</v>
      </c>
      <c r="CF24" s="164">
        <v>6.68</v>
      </c>
      <c r="CG24" s="165">
        <f t="shared" si="51"/>
        <v>12.46584</v>
      </c>
      <c r="CH24" s="166">
        <f t="shared" si="25"/>
        <v>48995.737536000001</v>
      </c>
      <c r="CI24" s="167">
        <v>46.02</v>
      </c>
      <c r="CJ24" s="166">
        <f t="shared" si="52"/>
        <v>180877.00800000003</v>
      </c>
      <c r="CK24" s="168">
        <v>5.6</v>
      </c>
      <c r="CL24" s="166">
        <f t="shared" si="26"/>
        <v>22010.239999999998</v>
      </c>
      <c r="CM24" s="167">
        <v>23.49</v>
      </c>
      <c r="CN24" s="166">
        <f t="shared" si="27"/>
        <v>92325.09599999999</v>
      </c>
      <c r="CO24" s="169">
        <f t="shared" si="28"/>
        <v>3409.4817999999996</v>
      </c>
      <c r="CP24" s="166">
        <f t="shared" si="29"/>
        <v>13400627.266719999</v>
      </c>
      <c r="CQ24" s="167">
        <v>3255</v>
      </c>
      <c r="CR24" s="166">
        <f t="shared" si="53"/>
        <v>12793452</v>
      </c>
      <c r="CS24" s="170">
        <f t="shared" si="30"/>
        <v>45.196124999999995</v>
      </c>
      <c r="CT24" s="166">
        <f t="shared" si="31"/>
        <v>177638.84969999999</v>
      </c>
      <c r="CU24" s="168">
        <v>7.29</v>
      </c>
      <c r="CV24" s="166">
        <f t="shared" si="77"/>
        <v>28652.616000000002</v>
      </c>
      <c r="CW24" s="170">
        <f t="shared" si="78"/>
        <v>23.069469279661014</v>
      </c>
      <c r="CX24" s="166">
        <f t="shared" si="79"/>
        <v>90672.242056779651</v>
      </c>
      <c r="CY24" s="171">
        <f t="shared" si="80"/>
        <v>3196.7272245762706</v>
      </c>
      <c r="CZ24" s="166">
        <f t="shared" si="81"/>
        <v>12564416.683474574</v>
      </c>
      <c r="DA24" s="170" t="str">
        <f t="shared" si="82"/>
        <v>G14</v>
      </c>
      <c r="DB24" s="171">
        <f t="shared" si="38"/>
        <v>3018.2594364406777</v>
      </c>
      <c r="DC24" s="166">
        <f t="shared" si="69"/>
        <v>11862966.88898644</v>
      </c>
      <c r="DD24" s="170">
        <f t="shared" si="54"/>
        <v>42.672902999999998</v>
      </c>
      <c r="DE24" s="221">
        <f t="shared" si="55"/>
        <v>167721.57795119999</v>
      </c>
      <c r="DF24" s="222">
        <f t="shared" si="56"/>
        <v>5.17584</v>
      </c>
      <c r="DG24" s="221">
        <f t="shared" si="57"/>
        <v>20343.121535999999</v>
      </c>
      <c r="DH24" s="172">
        <f t="shared" si="40"/>
        <v>-4</v>
      </c>
      <c r="DI24" s="173"/>
      <c r="DJ24" s="174"/>
      <c r="DK24" s="175"/>
      <c r="DL24" s="176"/>
      <c r="DM24" s="175"/>
      <c r="DN24" s="177"/>
      <c r="DO24" s="178">
        <f t="shared" si="46"/>
        <v>12.740563559322254</v>
      </c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80"/>
      <c r="EC24" s="181">
        <f t="shared" si="47"/>
        <v>2.2727754237293993</v>
      </c>
      <c r="EE24" s="181"/>
    </row>
    <row r="25" spans="1:135" s="182" customFormat="1" ht="30">
      <c r="A25" s="74">
        <v>30</v>
      </c>
      <c r="B25" s="74">
        <v>53</v>
      </c>
      <c r="C25" s="138">
        <v>45820</v>
      </c>
      <c r="D25" s="139">
        <v>161016411</v>
      </c>
      <c r="E25" s="138">
        <v>45817</v>
      </c>
      <c r="F25" s="138"/>
      <c r="G25" s="138"/>
      <c r="H25" s="140">
        <v>3943.1</v>
      </c>
      <c r="I25" s="141">
        <v>3943.1</v>
      </c>
      <c r="J25" s="142"/>
      <c r="K25" s="568"/>
      <c r="L25" s="337">
        <v>58</v>
      </c>
      <c r="M25" s="144"/>
      <c r="N25" s="144">
        <v>3943.1</v>
      </c>
      <c r="O25" s="522" t="s">
        <v>180</v>
      </c>
      <c r="P25" s="145" t="s">
        <v>71</v>
      </c>
      <c r="Q25" s="146" t="s">
        <v>52</v>
      </c>
      <c r="R25" s="145"/>
      <c r="S25" s="145" t="s">
        <v>181</v>
      </c>
      <c r="T25" s="145"/>
      <c r="U25" s="147" t="s">
        <v>190</v>
      </c>
      <c r="V25" s="147" t="s">
        <v>194</v>
      </c>
      <c r="W25" s="147">
        <v>3550</v>
      </c>
      <c r="X25" s="519">
        <v>3965.75</v>
      </c>
      <c r="Y25" s="148">
        <v>3965.75</v>
      </c>
      <c r="Z25" s="150" t="s">
        <v>262</v>
      </c>
      <c r="AA25" s="149">
        <v>1672</v>
      </c>
      <c r="AB25" s="150" t="s">
        <v>243</v>
      </c>
      <c r="AC25" s="151">
        <v>3965.75</v>
      </c>
      <c r="AD25" s="151">
        <v>11.38</v>
      </c>
      <c r="AE25" s="152">
        <f t="shared" si="0"/>
        <v>45130.235000000001</v>
      </c>
      <c r="AF25" s="151">
        <v>7.7</v>
      </c>
      <c r="AG25" s="152">
        <f t="shared" si="1"/>
        <v>30536.275000000001</v>
      </c>
      <c r="AH25" s="151">
        <v>37.020000000000003</v>
      </c>
      <c r="AI25" s="152">
        <f t="shared" si="2"/>
        <v>146812.065</v>
      </c>
      <c r="AJ25" s="149">
        <v>3812</v>
      </c>
      <c r="AK25" s="152">
        <f t="shared" si="70"/>
        <v>15117439</v>
      </c>
      <c r="AL25" s="149"/>
      <c r="AM25" s="151">
        <v>7.55</v>
      </c>
      <c r="AN25" s="152">
        <f t="shared" si="3"/>
        <v>29941.412499999999</v>
      </c>
      <c r="AO25" s="151">
        <v>37.08</v>
      </c>
      <c r="AP25" s="152">
        <f t="shared" si="4"/>
        <v>147050.00999999998</v>
      </c>
      <c r="AQ25" s="149">
        <v>3818</v>
      </c>
      <c r="AR25" s="152">
        <f t="shared" si="48"/>
        <v>15054755.799999999</v>
      </c>
      <c r="AS25" s="149" t="s">
        <v>184</v>
      </c>
      <c r="AT25" s="149">
        <f t="shared" si="5"/>
        <v>3660</v>
      </c>
      <c r="AU25" s="152">
        <f t="shared" si="71"/>
        <v>14514645</v>
      </c>
      <c r="AV25" s="149">
        <f t="shared" si="72"/>
        <v>35.54</v>
      </c>
      <c r="AW25" s="152">
        <f t="shared" si="73"/>
        <v>140942.755</v>
      </c>
      <c r="AX25" s="151">
        <f t="shared" si="9"/>
        <v>3.830000000000001</v>
      </c>
      <c r="AY25" s="152">
        <f t="shared" si="74"/>
        <v>15188.822500000004</v>
      </c>
      <c r="AZ25" s="153">
        <v>5.9</v>
      </c>
      <c r="BA25" s="153">
        <v>7.5579999999999998</v>
      </c>
      <c r="BB25" s="153"/>
      <c r="BC25" s="154">
        <f t="shared" si="11"/>
        <v>13.012077999999999</v>
      </c>
      <c r="BD25" s="155">
        <f t="shared" si="68"/>
        <v>51307.924761799994</v>
      </c>
      <c r="BE25" s="156">
        <f>CD25</f>
        <v>3943.1</v>
      </c>
      <c r="BF25" s="157">
        <v>508</v>
      </c>
      <c r="BG25" s="157" t="s">
        <v>243</v>
      </c>
      <c r="BH25" s="156">
        <v>13.01</v>
      </c>
      <c r="BI25" s="158">
        <f t="shared" si="14"/>
        <v>51299.731</v>
      </c>
      <c r="BJ25" s="156">
        <v>8.74</v>
      </c>
      <c r="BK25" s="158">
        <f t="shared" si="15"/>
        <v>34462.694000000003</v>
      </c>
      <c r="BL25" s="156">
        <v>38.03</v>
      </c>
      <c r="BM25" s="159">
        <f t="shared" si="16"/>
        <v>149956.09299999999</v>
      </c>
      <c r="BN25" s="157">
        <v>3536</v>
      </c>
      <c r="BO25" s="159">
        <f t="shared" si="17"/>
        <v>13942801.6</v>
      </c>
      <c r="BP25" s="160"/>
      <c r="BQ25" s="156">
        <v>7.78</v>
      </c>
      <c r="BR25" s="158">
        <f t="shared" si="18"/>
        <v>30677.317999999999</v>
      </c>
      <c r="BS25" s="156">
        <v>38.43</v>
      </c>
      <c r="BT25" s="159">
        <f t="shared" si="19"/>
        <v>151533.33299999998</v>
      </c>
      <c r="BU25" s="157">
        <v>3573</v>
      </c>
      <c r="BV25" s="161">
        <f t="shared" si="49"/>
        <v>14088696.299999999</v>
      </c>
      <c r="BW25" s="157" t="s">
        <v>190</v>
      </c>
      <c r="BX25" s="157">
        <f t="shared" si="20"/>
        <v>3370</v>
      </c>
      <c r="BY25" s="161">
        <f t="shared" si="50"/>
        <v>13288247</v>
      </c>
      <c r="BZ25" s="157">
        <f t="shared" si="21"/>
        <v>36.25</v>
      </c>
      <c r="CA25" s="161">
        <f t="shared" si="75"/>
        <v>142937.375</v>
      </c>
      <c r="CB25" s="156">
        <f t="shared" si="23"/>
        <v>5.2299999999999995</v>
      </c>
      <c r="CC25" s="161">
        <f t="shared" si="76"/>
        <v>20622.412999999997</v>
      </c>
      <c r="CD25" s="162">
        <f t="shared" si="62"/>
        <v>3943.1</v>
      </c>
      <c r="CE25" s="163">
        <v>5.9</v>
      </c>
      <c r="CF25" s="164">
        <v>7.56</v>
      </c>
      <c r="CG25" s="165">
        <f t="shared" si="51"/>
        <v>13.013960000000001</v>
      </c>
      <c r="CH25" s="166">
        <f t="shared" si="25"/>
        <v>51315.345676000004</v>
      </c>
      <c r="CI25" s="167">
        <v>40.78</v>
      </c>
      <c r="CJ25" s="166">
        <f>CI25*$CD25</f>
        <v>160799.61799999999</v>
      </c>
      <c r="CK25" s="168">
        <v>5.56</v>
      </c>
      <c r="CL25" s="166">
        <f t="shared" si="26"/>
        <v>21923.635999999999</v>
      </c>
      <c r="CM25" s="167">
        <v>25.24</v>
      </c>
      <c r="CN25" s="166">
        <f t="shared" si="27"/>
        <v>99523.843999999997</v>
      </c>
      <c r="CO25" s="169">
        <f t="shared" si="28"/>
        <v>3908.4405999999999</v>
      </c>
      <c r="CP25" s="166">
        <f t="shared" si="29"/>
        <v>15411372.129859999</v>
      </c>
      <c r="CQ25" s="167">
        <v>3601</v>
      </c>
      <c r="CR25" s="166">
        <f>CQ25*$CD25</f>
        <v>14199103.1</v>
      </c>
      <c r="CS25" s="170">
        <f>((100-CU25)/(100-CK25))*CI25</f>
        <v>40.050243540872515</v>
      </c>
      <c r="CT25" s="166">
        <f t="shared" si="31"/>
        <v>157922.1153060144</v>
      </c>
      <c r="CU25" s="168">
        <v>7.25</v>
      </c>
      <c r="CV25" s="166">
        <f t="shared" si="77"/>
        <v>28587.474999999999</v>
      </c>
      <c r="CW25" s="170">
        <f t="shared" si="78"/>
        <v>24.788331215586616</v>
      </c>
      <c r="CX25" s="166">
        <f t="shared" si="79"/>
        <v>97742.868816179587</v>
      </c>
      <c r="CY25" s="171">
        <f t="shared" si="80"/>
        <v>3536.560249894113</v>
      </c>
      <c r="CZ25" s="166">
        <f t="shared" si="81"/>
        <v>13945010.721357476</v>
      </c>
      <c r="DA25" s="170" t="str">
        <f>IF(CY25&gt;=7000,"G1",IF(CY25&gt;=6700,"G2",IF(CY25&gt;=6400,"G3",IF(CY25&gt;=6100,"G4",IF(CY25&gt;=5800,"G5",IF(CY25&gt;=5500,"G6",IF(CY25&gt;=5200,"G7",IF(CY25&gt;=4900,"G8",IF(CY25&gt;=4600,"G9",IF(CY25&gt;=4300,"G10",IF(CY25&gt;=4000,"G11",IF(CY25&gt;=3700,"G12",IF(CY25&gt;=3400,"G13",IF(CY25&gt;=3100,"G14",IF(CY25&gt;=2800,"G15",IF(CY25&gt;=2500,"G16",IF(CY25&gt;=2200,"G17")))))))))))))))))</f>
        <v>G13</v>
      </c>
      <c r="DB25" s="171">
        <f t="shared" si="38"/>
        <v>3316.7802842016094</v>
      </c>
      <c r="DC25" s="166">
        <f t="shared" si="69"/>
        <v>13078396.338635366</v>
      </c>
      <c r="DD25" s="170">
        <f t="shared" si="54"/>
        <v>37.561316298178738</v>
      </c>
      <c r="DE25" s="221">
        <f t="shared" si="55"/>
        <v>148108.02629534857</v>
      </c>
      <c r="DF25" s="222">
        <f t="shared" si="56"/>
        <v>5.7639600000000009</v>
      </c>
      <c r="DG25" s="221">
        <f t="shared" si="57"/>
        <v>22727.870676000002</v>
      </c>
      <c r="DH25" s="172">
        <f t="shared" si="40"/>
        <v>0</v>
      </c>
      <c r="DI25" s="173"/>
      <c r="DJ25" s="174"/>
      <c r="DK25" s="175"/>
      <c r="DL25" s="176"/>
      <c r="DM25" s="175"/>
      <c r="DN25" s="177"/>
      <c r="DO25" s="178">
        <f t="shared" si="46"/>
        <v>53.219715798390553</v>
      </c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80"/>
      <c r="EC25" s="181">
        <f t="shared" si="47"/>
        <v>36.439750105887015</v>
      </c>
      <c r="EE25" s="181"/>
    </row>
    <row r="26" spans="1:135" s="182" customFormat="1" ht="31.5">
      <c r="A26" s="74">
        <v>31</v>
      </c>
      <c r="B26" s="74">
        <v>54</v>
      </c>
      <c r="C26" s="138">
        <v>45820</v>
      </c>
      <c r="D26" s="139">
        <v>151000150</v>
      </c>
      <c r="E26" s="138">
        <v>45818</v>
      </c>
      <c r="F26" s="614" t="s">
        <v>262</v>
      </c>
      <c r="G26" s="614" t="s">
        <v>266</v>
      </c>
      <c r="H26" s="140">
        <v>3707.05</v>
      </c>
      <c r="I26" s="141">
        <v>3707.05</v>
      </c>
      <c r="J26" s="142"/>
      <c r="K26" s="568"/>
      <c r="L26" s="337">
        <v>58</v>
      </c>
      <c r="M26" s="144"/>
      <c r="N26" s="144">
        <v>3707.05</v>
      </c>
      <c r="O26" s="522" t="s">
        <v>180</v>
      </c>
      <c r="P26" s="145" t="s">
        <v>72</v>
      </c>
      <c r="Q26" s="146" t="s">
        <v>231</v>
      </c>
      <c r="R26" s="145"/>
      <c r="S26" s="145" t="s">
        <v>181</v>
      </c>
      <c r="T26" s="145"/>
      <c r="U26" s="147" t="s">
        <v>182</v>
      </c>
      <c r="V26" s="147" t="s">
        <v>183</v>
      </c>
      <c r="W26" s="147">
        <v>4150</v>
      </c>
      <c r="X26" s="519">
        <v>3829.64</v>
      </c>
      <c r="Y26" s="148">
        <v>3829.64</v>
      </c>
      <c r="Z26" s="150" t="s">
        <v>262</v>
      </c>
      <c r="AA26" s="149">
        <v>1666</v>
      </c>
      <c r="AB26" s="150" t="s">
        <v>243</v>
      </c>
      <c r="AC26" s="151">
        <v>3829.64</v>
      </c>
      <c r="AD26" s="151">
        <v>11.88</v>
      </c>
      <c r="AE26" s="152">
        <f t="shared" si="0"/>
        <v>45496.123200000002</v>
      </c>
      <c r="AF26" s="151">
        <v>7.21</v>
      </c>
      <c r="AG26" s="152">
        <f t="shared" si="1"/>
        <v>27611.704399999999</v>
      </c>
      <c r="AH26" s="151">
        <v>34.520000000000003</v>
      </c>
      <c r="AI26" s="152">
        <f t="shared" si="2"/>
        <v>132199.1728</v>
      </c>
      <c r="AJ26" s="149">
        <v>4039</v>
      </c>
      <c r="AK26" s="152">
        <f t="shared" si="70"/>
        <v>15467915.959999999</v>
      </c>
      <c r="AL26" s="149"/>
      <c r="AM26" s="151">
        <v>7.37</v>
      </c>
      <c r="AN26" s="152">
        <f t="shared" si="3"/>
        <v>28224.446799999998</v>
      </c>
      <c r="AO26" s="151">
        <v>34.46</v>
      </c>
      <c r="AP26" s="152">
        <f t="shared" si="4"/>
        <v>131969.39439999999</v>
      </c>
      <c r="AQ26" s="149">
        <v>4032</v>
      </c>
      <c r="AR26" s="152">
        <f t="shared" si="48"/>
        <v>14946825.600000001</v>
      </c>
      <c r="AS26" s="149" t="s">
        <v>185</v>
      </c>
      <c r="AT26" s="149">
        <f t="shared" si="5"/>
        <v>3836</v>
      </c>
      <c r="AU26" s="152">
        <f t="shared" si="71"/>
        <v>14690499.039999999</v>
      </c>
      <c r="AV26" s="149">
        <f t="shared" si="72"/>
        <v>32.78</v>
      </c>
      <c r="AW26" s="152">
        <f t="shared" si="73"/>
        <v>125535.5992</v>
      </c>
      <c r="AX26" s="151">
        <f t="shared" si="9"/>
        <v>4.5100000000000007</v>
      </c>
      <c r="AY26" s="152">
        <f t="shared" si="74"/>
        <v>17271.6764</v>
      </c>
      <c r="AZ26" s="153">
        <v>4.0999999999999996</v>
      </c>
      <c r="BA26" s="153">
        <v>9.5559999999999992</v>
      </c>
      <c r="BB26" s="153"/>
      <c r="BC26" s="154">
        <f t="shared" si="11"/>
        <v>13.264203999999998</v>
      </c>
      <c r="BD26" s="155">
        <f t="shared" si="68"/>
        <v>49171.067438199992</v>
      </c>
      <c r="BE26" s="156">
        <f>CD26</f>
        <v>3707.05</v>
      </c>
      <c r="BF26" s="157">
        <v>508</v>
      </c>
      <c r="BG26" s="157" t="s">
        <v>243</v>
      </c>
      <c r="BH26" s="156">
        <v>13.26</v>
      </c>
      <c r="BI26" s="158">
        <f t="shared" si="14"/>
        <v>49155.483</v>
      </c>
      <c r="BJ26" s="156">
        <v>7.66</v>
      </c>
      <c r="BK26" s="158">
        <f t="shared" si="15"/>
        <v>28396.003000000001</v>
      </c>
      <c r="BL26" s="156">
        <v>42.43</v>
      </c>
      <c r="BM26" s="159">
        <f t="shared" si="16"/>
        <v>157290.13150000002</v>
      </c>
      <c r="BN26" s="157">
        <v>3574</v>
      </c>
      <c r="BO26" s="159">
        <f t="shared" si="17"/>
        <v>13248996.700000001</v>
      </c>
      <c r="BP26" s="160"/>
      <c r="BQ26" s="156">
        <v>7.38</v>
      </c>
      <c r="BR26" s="158">
        <f t="shared" si="18"/>
        <v>27358.029000000002</v>
      </c>
      <c r="BS26" s="156">
        <v>42.5</v>
      </c>
      <c r="BT26" s="159">
        <f t="shared" si="19"/>
        <v>157549.625</v>
      </c>
      <c r="BU26" s="157">
        <v>3585</v>
      </c>
      <c r="BV26" s="161">
        <f t="shared" si="49"/>
        <v>13289774.25</v>
      </c>
      <c r="BW26" s="157" t="s">
        <v>190</v>
      </c>
      <c r="BX26" s="157">
        <f t="shared" si="20"/>
        <v>3357</v>
      </c>
      <c r="BY26" s="161">
        <f t="shared" si="50"/>
        <v>12444566.850000001</v>
      </c>
      <c r="BZ26" s="157">
        <f t="shared" si="21"/>
        <v>39.799999999999997</v>
      </c>
      <c r="CA26" s="161">
        <f t="shared" si="75"/>
        <v>147540.59</v>
      </c>
      <c r="CB26" s="156">
        <f t="shared" si="23"/>
        <v>5.88</v>
      </c>
      <c r="CC26" s="161">
        <f t="shared" si="76"/>
        <v>21797.454000000002</v>
      </c>
      <c r="CD26" s="162">
        <f t="shared" si="62"/>
        <v>3707.05</v>
      </c>
      <c r="CE26" s="163">
        <v>4.0999999999999996</v>
      </c>
      <c r="CF26" s="164">
        <v>9.5500000000000007</v>
      </c>
      <c r="CG26" s="165">
        <f t="shared" si="51"/>
        <v>13.25845</v>
      </c>
      <c r="CH26" s="166">
        <f t="shared" si="25"/>
        <v>49149.7370725</v>
      </c>
      <c r="CI26" s="167">
        <v>42.39</v>
      </c>
      <c r="CJ26" s="166">
        <f t="shared" si="52"/>
        <v>157141.84950000001</v>
      </c>
      <c r="CK26" s="168">
        <v>4.41</v>
      </c>
      <c r="CL26" s="166">
        <f t="shared" si="26"/>
        <v>16348.090500000002</v>
      </c>
      <c r="CM26" s="167">
        <v>26.1</v>
      </c>
      <c r="CN26" s="166">
        <f t="shared" si="27"/>
        <v>96754.005000000005</v>
      </c>
      <c r="CO26" s="169">
        <f t="shared" si="28"/>
        <v>3924.3174999999992</v>
      </c>
      <c r="CP26" s="166">
        <f t="shared" si="29"/>
        <v>14547641.188374998</v>
      </c>
      <c r="CQ26" s="167">
        <v>3590</v>
      </c>
      <c r="CR26" s="166">
        <f t="shared" si="53"/>
        <v>13308309.5</v>
      </c>
      <c r="CS26" s="170">
        <f t="shared" si="30"/>
        <v>42.669377549952927</v>
      </c>
      <c r="CT26" s="166">
        <f t="shared" si="31"/>
        <v>158177.51604655301</v>
      </c>
      <c r="CU26" s="168">
        <v>3.78</v>
      </c>
      <c r="CV26" s="166">
        <f t="shared" si="77"/>
        <v>14012.648999999999</v>
      </c>
      <c r="CW26" s="170">
        <f t="shared" si="78"/>
        <v>26.272015901244902</v>
      </c>
      <c r="CX26" s="166">
        <f t="shared" si="79"/>
        <v>97391.676546709918</v>
      </c>
      <c r="CY26" s="171">
        <f t="shared" si="80"/>
        <v>3613.6604247306204</v>
      </c>
      <c r="CZ26" s="166">
        <f t="shared" si="81"/>
        <v>13396019.877497647</v>
      </c>
      <c r="DA26" s="170" t="str">
        <f t="shared" ref="DA26:DA62" si="83">IF(CY26&gt;=7000,"G1",IF(CY26&gt;=6700,"G2",IF(CY26&gt;=6400,"G3",IF(CY26&gt;=6100,"G4",IF(CY26&gt;=5800,"G5",IF(CY26&gt;=5500,"G6",IF(CY26&gt;=5200,"G7",IF(CY26&gt;=4900,"G8",IF(CY26&gt;=4600,"G9",IF(CY26&gt;=4300,"G10",IF(CY26&gt;=4000,"G11",IF(CY26&gt;=3700,"G12",IF(CY26&gt;=3400,"G13",IF(CY26&gt;=3100,"G14",IF(CY26&gt;=2800,"G15",IF(CY26&gt;=2500,"G16",IF(CY26&gt;=2200,"G17")))))))))))))))))</f>
        <v>G13</v>
      </c>
      <c r="DB26" s="171">
        <f t="shared" si="38"/>
        <v>3257.6855790354639</v>
      </c>
      <c r="DC26" s="166">
        <f t="shared" si="69"/>
        <v>12076403.325763417</v>
      </c>
      <c r="DD26" s="170">
        <f t="shared" si="54"/>
        <v>38.466097965268332</v>
      </c>
      <c r="DE26" s="221">
        <f t="shared" si="55"/>
        <v>142595.74846214798</v>
      </c>
      <c r="DF26" s="222">
        <f t="shared" si="56"/>
        <v>9.4784500000000005</v>
      </c>
      <c r="DG26" s="221">
        <f t="shared" si="57"/>
        <v>35137.088072500002</v>
      </c>
      <c r="DH26" s="172">
        <f t="shared" si="40"/>
        <v>-2</v>
      </c>
      <c r="DI26" s="173"/>
      <c r="DJ26" s="174"/>
      <c r="DK26" s="175"/>
      <c r="DL26" s="176"/>
      <c r="DM26" s="175"/>
      <c r="DN26" s="177"/>
      <c r="DO26" s="178">
        <f t="shared" si="46"/>
        <v>99.314420964536112</v>
      </c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80"/>
      <c r="EC26" s="181">
        <f t="shared" si="47"/>
        <v>-28.660424730620434</v>
      </c>
      <c r="EE26" s="181"/>
    </row>
    <row r="27" spans="1:135" s="182" customFormat="1" ht="30">
      <c r="A27" s="74">
        <v>32</v>
      </c>
      <c r="B27" s="74">
        <v>55</v>
      </c>
      <c r="C27" s="138">
        <v>45820</v>
      </c>
      <c r="D27" s="139">
        <v>162000379</v>
      </c>
      <c r="E27" s="138">
        <v>45818</v>
      </c>
      <c r="F27" s="138"/>
      <c r="G27" s="138"/>
      <c r="H27" s="140">
        <v>3999.05</v>
      </c>
      <c r="I27" s="141">
        <v>3999.05</v>
      </c>
      <c r="J27" s="142"/>
      <c r="K27" s="568"/>
      <c r="L27" s="337">
        <v>59</v>
      </c>
      <c r="M27" s="144"/>
      <c r="N27" s="144">
        <v>3999.05</v>
      </c>
      <c r="O27" s="522" t="s">
        <v>180</v>
      </c>
      <c r="P27" s="145" t="s">
        <v>68</v>
      </c>
      <c r="Q27" s="146" t="s">
        <v>63</v>
      </c>
      <c r="R27" s="145"/>
      <c r="S27" s="145" t="s">
        <v>181</v>
      </c>
      <c r="T27" s="145"/>
      <c r="U27" s="147" t="s">
        <v>188</v>
      </c>
      <c r="V27" s="147" t="s">
        <v>189</v>
      </c>
      <c r="W27" s="147">
        <v>4450</v>
      </c>
      <c r="X27" s="519">
        <v>4140</v>
      </c>
      <c r="Y27" s="148">
        <v>4140</v>
      </c>
      <c r="Z27" s="150" t="s">
        <v>266</v>
      </c>
      <c r="AA27" s="149">
        <v>1666</v>
      </c>
      <c r="AB27" s="150" t="s">
        <v>243</v>
      </c>
      <c r="AC27" s="151">
        <v>4140</v>
      </c>
      <c r="AD27" s="151">
        <v>12.68</v>
      </c>
      <c r="AE27" s="152">
        <f t="shared" si="0"/>
        <v>52495.199999999997</v>
      </c>
      <c r="AF27" s="151">
        <v>8.67</v>
      </c>
      <c r="AG27" s="152">
        <f t="shared" si="1"/>
        <v>35893.800000000003</v>
      </c>
      <c r="AH27" s="151">
        <v>31.29</v>
      </c>
      <c r="AI27" s="152">
        <f t="shared" si="2"/>
        <v>129540.59999999999</v>
      </c>
      <c r="AJ27" s="149">
        <v>4322</v>
      </c>
      <c r="AK27" s="152">
        <f t="shared" si="70"/>
        <v>17893080</v>
      </c>
      <c r="AL27" s="149"/>
      <c r="AM27" s="151">
        <v>8.4600000000000009</v>
      </c>
      <c r="AN27" s="152">
        <f t="shared" si="3"/>
        <v>35024.400000000001</v>
      </c>
      <c r="AO27" s="151">
        <v>31.36</v>
      </c>
      <c r="AP27" s="152">
        <f t="shared" si="4"/>
        <v>129830.39999999999</v>
      </c>
      <c r="AQ27" s="149">
        <v>4332</v>
      </c>
      <c r="AR27" s="152">
        <f t="shared" si="48"/>
        <v>17323884.600000001</v>
      </c>
      <c r="AS27" s="149" t="s">
        <v>188</v>
      </c>
      <c r="AT27" s="149">
        <f t="shared" si="5"/>
        <v>4132</v>
      </c>
      <c r="AU27" s="152">
        <f t="shared" si="71"/>
        <v>17106480</v>
      </c>
      <c r="AV27" s="149">
        <f t="shared" si="72"/>
        <v>29.91</v>
      </c>
      <c r="AW27" s="152">
        <f t="shared" si="73"/>
        <v>123827.4</v>
      </c>
      <c r="AX27" s="151">
        <f t="shared" si="9"/>
        <v>4.2199999999999989</v>
      </c>
      <c r="AY27" s="152">
        <f t="shared" si="74"/>
        <v>17470.799999999996</v>
      </c>
      <c r="AZ27" s="153">
        <v>5.9</v>
      </c>
      <c r="BA27" s="153">
        <v>7.2309999999999999</v>
      </c>
      <c r="BB27" s="153"/>
      <c r="BC27" s="154">
        <f t="shared" si="11"/>
        <v>12.704371</v>
      </c>
      <c r="BD27" s="155">
        <f t="shared" si="68"/>
        <v>50805.414847550004</v>
      </c>
      <c r="BE27" s="156">
        <f>CD27</f>
        <v>3999.05</v>
      </c>
      <c r="BF27" s="157">
        <v>508</v>
      </c>
      <c r="BG27" s="157" t="s">
        <v>243</v>
      </c>
      <c r="BH27" s="156">
        <v>12.7</v>
      </c>
      <c r="BI27" s="158">
        <f t="shared" si="14"/>
        <v>50787.934999999998</v>
      </c>
      <c r="BJ27" s="156">
        <v>8.7100000000000009</v>
      </c>
      <c r="BK27" s="158">
        <f t="shared" si="15"/>
        <v>34831.725500000008</v>
      </c>
      <c r="BL27" s="156">
        <v>34.380000000000003</v>
      </c>
      <c r="BM27" s="159">
        <f t="shared" si="16"/>
        <v>137487.33900000001</v>
      </c>
      <c r="BN27" s="157">
        <v>4000</v>
      </c>
      <c r="BO27" s="159">
        <f t="shared" si="17"/>
        <v>15996200</v>
      </c>
      <c r="BP27" s="160"/>
      <c r="BQ27" s="156">
        <v>7.39</v>
      </c>
      <c r="BR27" s="158">
        <f t="shared" si="18"/>
        <v>29552.979500000001</v>
      </c>
      <c r="BS27" s="156">
        <v>34.880000000000003</v>
      </c>
      <c r="BT27" s="159">
        <f t="shared" si="19"/>
        <v>139486.86400000003</v>
      </c>
      <c r="BU27" s="157">
        <v>408</v>
      </c>
      <c r="BV27" s="161">
        <f t="shared" si="49"/>
        <v>1631612.4000000001</v>
      </c>
      <c r="BW27" s="157" t="s">
        <v>185</v>
      </c>
      <c r="BX27" s="157">
        <f t="shared" si="20"/>
        <v>385</v>
      </c>
      <c r="BY27" s="161">
        <f t="shared" si="50"/>
        <v>1539634.25</v>
      </c>
      <c r="BZ27" s="157">
        <f t="shared" si="21"/>
        <v>32.880000000000003</v>
      </c>
      <c r="CA27" s="161">
        <f t="shared" si="75"/>
        <v>131488.76400000002</v>
      </c>
      <c r="CB27" s="156">
        <f t="shared" si="23"/>
        <v>5.31</v>
      </c>
      <c r="CC27" s="161">
        <f t="shared" si="76"/>
        <v>21234.9555</v>
      </c>
      <c r="CD27" s="162">
        <f t="shared" si="62"/>
        <v>3999.05</v>
      </c>
      <c r="CE27" s="163">
        <v>5.9</v>
      </c>
      <c r="CF27" s="164">
        <v>7.23</v>
      </c>
      <c r="CG27" s="165">
        <f t="shared" si="51"/>
        <v>12.703430000000001</v>
      </c>
      <c r="CH27" s="166">
        <f t="shared" si="25"/>
        <v>50801.651741500005</v>
      </c>
      <c r="CI27" s="167">
        <v>37.74</v>
      </c>
      <c r="CJ27" s="166">
        <f t="shared" si="52"/>
        <v>150924.14700000003</v>
      </c>
      <c r="CK27" s="168">
        <v>6.04</v>
      </c>
      <c r="CL27" s="166">
        <f t="shared" si="26"/>
        <v>24154.262000000002</v>
      </c>
      <c r="CM27" s="167">
        <v>27.51</v>
      </c>
      <c r="CN27" s="166">
        <f t="shared" si="27"/>
        <v>110013.86550000001</v>
      </c>
      <c r="CO27" s="169">
        <f t="shared" si="28"/>
        <v>4124.6661999999997</v>
      </c>
      <c r="CP27" s="166">
        <f t="shared" si="29"/>
        <v>16494746.367109999</v>
      </c>
      <c r="CQ27" s="167">
        <v>4001</v>
      </c>
      <c r="CR27" s="166">
        <f t="shared" si="53"/>
        <v>16000199.050000001</v>
      </c>
      <c r="CS27" s="170">
        <f t="shared" si="30"/>
        <v>38.037228607918273</v>
      </c>
      <c r="CT27" s="166">
        <f t="shared" si="31"/>
        <v>152112.77906449558</v>
      </c>
      <c r="CU27" s="168">
        <v>5.3</v>
      </c>
      <c r="CV27" s="166">
        <f t="shared" si="77"/>
        <v>21194.965</v>
      </c>
      <c r="CW27" s="170">
        <f t="shared" si="78"/>
        <v>27.726660280970631</v>
      </c>
      <c r="CX27" s="166">
        <f t="shared" si="79"/>
        <v>110880.3007966156</v>
      </c>
      <c r="CY27" s="171">
        <f t="shared" si="80"/>
        <v>4032.5106428267354</v>
      </c>
      <c r="CZ27" s="166">
        <f t="shared" si="81"/>
        <v>16126211.686196256</v>
      </c>
      <c r="DA27" s="170" t="str">
        <f t="shared" si="83"/>
        <v>G11</v>
      </c>
      <c r="DB27" s="171">
        <f t="shared" si="38"/>
        <v>3717.2581584716904</v>
      </c>
      <c r="DC27" s="166">
        <f t="shared" si="69"/>
        <v>14865501.238636214</v>
      </c>
      <c r="DD27" s="170">
        <f t="shared" si="54"/>
        <v>35.06356483397191</v>
      </c>
      <c r="DE27" s="221">
        <f t="shared" si="55"/>
        <v>140220.94894929536</v>
      </c>
      <c r="DF27" s="222">
        <f t="shared" si="56"/>
        <v>7.4034300000000011</v>
      </c>
      <c r="DG27" s="221">
        <f t="shared" si="57"/>
        <v>29606.686741500005</v>
      </c>
      <c r="DH27" s="172">
        <f t="shared" si="40"/>
        <v>-1</v>
      </c>
      <c r="DI27" s="173"/>
      <c r="DJ27" s="174"/>
      <c r="DK27" s="175"/>
      <c r="DL27" s="176"/>
      <c r="DM27" s="175"/>
      <c r="DN27" s="177"/>
      <c r="DO27" s="178">
        <f t="shared" si="46"/>
        <v>-3332.2581584716904</v>
      </c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80"/>
      <c r="EC27" s="181">
        <f t="shared" si="47"/>
        <v>-3624.5106428267354</v>
      </c>
      <c r="EE27" s="181"/>
    </row>
    <row r="28" spans="1:135" s="182" customFormat="1" ht="45">
      <c r="A28" s="74">
        <v>33</v>
      </c>
      <c r="B28" s="74">
        <v>58</v>
      </c>
      <c r="C28" s="138">
        <v>45820</v>
      </c>
      <c r="D28" s="139">
        <v>161002567</v>
      </c>
      <c r="E28" s="138">
        <v>45819</v>
      </c>
      <c r="F28" s="138"/>
      <c r="G28" s="138"/>
      <c r="H28" s="140">
        <v>3721.15</v>
      </c>
      <c r="I28" s="141">
        <v>3721.15</v>
      </c>
      <c r="J28" s="142"/>
      <c r="K28" s="568"/>
      <c r="L28" s="337">
        <v>57</v>
      </c>
      <c r="M28" s="144"/>
      <c r="N28" s="144">
        <v>3721.15</v>
      </c>
      <c r="O28" s="522" t="s">
        <v>180</v>
      </c>
      <c r="P28" s="145" t="s">
        <v>72</v>
      </c>
      <c r="Q28" s="146" t="s">
        <v>224</v>
      </c>
      <c r="R28" s="145"/>
      <c r="S28" s="145" t="s">
        <v>181</v>
      </c>
      <c r="T28" s="145"/>
      <c r="U28" s="147" t="s">
        <v>182</v>
      </c>
      <c r="V28" s="147" t="s">
        <v>183</v>
      </c>
      <c r="W28" s="147">
        <v>4150</v>
      </c>
      <c r="X28" s="519">
        <v>3750.03</v>
      </c>
      <c r="Y28" s="148">
        <v>3750.03</v>
      </c>
      <c r="Z28" s="150" t="s">
        <v>266</v>
      </c>
      <c r="AA28" s="149">
        <v>1666</v>
      </c>
      <c r="AB28" s="150" t="s">
        <v>243</v>
      </c>
      <c r="AC28" s="151">
        <v>3750.03</v>
      </c>
      <c r="AD28" s="151">
        <v>12.36</v>
      </c>
      <c r="AE28" s="152">
        <f t="shared" si="0"/>
        <v>46350.370799999997</v>
      </c>
      <c r="AF28" s="151">
        <v>6.68</v>
      </c>
      <c r="AG28" s="152">
        <f t="shared" si="1"/>
        <v>25050.200400000002</v>
      </c>
      <c r="AH28" s="151">
        <v>35.29</v>
      </c>
      <c r="AI28" s="152">
        <f t="shared" si="2"/>
        <v>132338.55869999999</v>
      </c>
      <c r="AJ28" s="149">
        <v>4081</v>
      </c>
      <c r="AK28" s="152">
        <f t="shared" si="70"/>
        <v>15303872.430000002</v>
      </c>
      <c r="AL28" s="149"/>
      <c r="AM28" s="151">
        <v>7.36</v>
      </c>
      <c r="AN28" s="152">
        <f t="shared" si="3"/>
        <v>27600.220800000003</v>
      </c>
      <c r="AO28" s="151">
        <v>35.03</v>
      </c>
      <c r="AP28" s="152">
        <f t="shared" si="4"/>
        <v>131363.5509</v>
      </c>
      <c r="AQ28" s="149">
        <v>4051</v>
      </c>
      <c r="AR28" s="152">
        <f t="shared" si="48"/>
        <v>15074378.65</v>
      </c>
      <c r="AS28" s="149" t="s">
        <v>185</v>
      </c>
      <c r="AT28" s="149">
        <f t="shared" si="5"/>
        <v>3832</v>
      </c>
      <c r="AU28" s="152">
        <f t="shared" si="71"/>
        <v>14370114.960000001</v>
      </c>
      <c r="AV28" s="149">
        <f t="shared" si="72"/>
        <v>33.14</v>
      </c>
      <c r="AW28" s="152">
        <f t="shared" si="73"/>
        <v>124275.99420000002</v>
      </c>
      <c r="AX28" s="151">
        <f t="shared" si="9"/>
        <v>4.9999999999999991</v>
      </c>
      <c r="AY28" s="152">
        <f t="shared" si="74"/>
        <v>18750.149999999998</v>
      </c>
      <c r="AZ28" s="153">
        <v>5.0999999999999996</v>
      </c>
      <c r="BA28" s="153">
        <v>5.67</v>
      </c>
      <c r="BB28" s="153"/>
      <c r="BC28" s="154">
        <f t="shared" si="11"/>
        <v>10.480829999999999</v>
      </c>
      <c r="BD28" s="155">
        <f t="shared" si="68"/>
        <v>39000.7405545</v>
      </c>
      <c r="BE28" s="156">
        <f t="shared" ref="BE28:BE39" si="84">CD28</f>
        <v>3721.15</v>
      </c>
      <c r="BF28" s="157">
        <v>509</v>
      </c>
      <c r="BG28" s="157" t="s">
        <v>243</v>
      </c>
      <c r="BH28" s="156">
        <v>10.48</v>
      </c>
      <c r="BI28" s="158">
        <f t="shared" si="14"/>
        <v>38997.652000000002</v>
      </c>
      <c r="BJ28" s="156">
        <v>7.44</v>
      </c>
      <c r="BK28" s="158">
        <f t="shared" si="15"/>
        <v>27685.356000000003</v>
      </c>
      <c r="BL28" s="156">
        <v>40.47</v>
      </c>
      <c r="BM28" s="159">
        <f t="shared" si="16"/>
        <v>150594.9405</v>
      </c>
      <c r="BN28" s="157">
        <v>3469</v>
      </c>
      <c r="BO28" s="159">
        <f t="shared" si="17"/>
        <v>12908669.35</v>
      </c>
      <c r="BP28" s="160"/>
      <c r="BQ28" s="156">
        <v>7.17</v>
      </c>
      <c r="BR28" s="158">
        <f t="shared" si="18"/>
        <v>26680.645499999999</v>
      </c>
      <c r="BS28" s="156">
        <v>40.590000000000003</v>
      </c>
      <c r="BT28" s="159">
        <f t="shared" si="19"/>
        <v>151041.47850000003</v>
      </c>
      <c r="BU28" s="157">
        <v>3479</v>
      </c>
      <c r="BV28" s="161">
        <f t="shared" si="49"/>
        <v>12945880.85</v>
      </c>
      <c r="BW28" s="157" t="s">
        <v>190</v>
      </c>
      <c r="BX28" s="157">
        <f t="shared" si="20"/>
        <v>3355</v>
      </c>
      <c r="BY28" s="161">
        <f t="shared" si="50"/>
        <v>12484458.25</v>
      </c>
      <c r="BZ28" s="157">
        <f t="shared" si="21"/>
        <v>39.14</v>
      </c>
      <c r="CA28" s="161">
        <f t="shared" si="75"/>
        <v>145645.81100000002</v>
      </c>
      <c r="CB28" s="156">
        <f t="shared" si="23"/>
        <v>3.3100000000000005</v>
      </c>
      <c r="CC28" s="161">
        <f t="shared" si="76"/>
        <v>12317.006500000001</v>
      </c>
      <c r="CD28" s="162">
        <f t="shared" si="62"/>
        <v>3721.15</v>
      </c>
      <c r="CE28" s="163">
        <v>5.0999999999999996</v>
      </c>
      <c r="CF28" s="164">
        <v>5.67</v>
      </c>
      <c r="CG28" s="165">
        <f t="shared" si="51"/>
        <v>10.480829999999999</v>
      </c>
      <c r="CH28" s="166">
        <f t="shared" si="25"/>
        <v>39000.7405545</v>
      </c>
      <c r="CI28" s="167">
        <v>45.38</v>
      </c>
      <c r="CJ28" s="166">
        <f t="shared" si="52"/>
        <v>168865.78700000001</v>
      </c>
      <c r="CK28" s="168">
        <v>4.16</v>
      </c>
      <c r="CL28" s="166">
        <f t="shared" si="26"/>
        <v>15479.984</v>
      </c>
      <c r="CM28" s="167">
        <v>27.57</v>
      </c>
      <c r="CN28" s="166">
        <f t="shared" si="27"/>
        <v>102592.10550000001</v>
      </c>
      <c r="CO28" s="169">
        <f t="shared" si="28"/>
        <v>3679.3185999999996</v>
      </c>
      <c r="CP28" s="166">
        <f t="shared" si="29"/>
        <v>13691296.408389999</v>
      </c>
      <c r="CQ28" s="167">
        <v>3413</v>
      </c>
      <c r="CR28" s="166">
        <f t="shared" si="53"/>
        <v>12700284.950000001</v>
      </c>
      <c r="CS28" s="170">
        <f t="shared" si="30"/>
        <v>45.716183222036733</v>
      </c>
      <c r="CT28" s="166">
        <f t="shared" si="31"/>
        <v>170116.77519668199</v>
      </c>
      <c r="CU28" s="168">
        <v>3.45</v>
      </c>
      <c r="CV28" s="166">
        <f t="shared" si="77"/>
        <v>12837.967500000001</v>
      </c>
      <c r="CW28" s="170">
        <f t="shared" si="78"/>
        <v>27.774243530884807</v>
      </c>
      <c r="CX28" s="166">
        <f t="shared" si="79"/>
        <v>103352.12631495199</v>
      </c>
      <c r="CY28" s="171">
        <f t="shared" si="80"/>
        <v>3438.2841193656095</v>
      </c>
      <c r="CZ28" s="166">
        <f t="shared" si="81"/>
        <v>12794370.950777339</v>
      </c>
      <c r="DA28" s="170" t="str">
        <f t="shared" si="83"/>
        <v>G13</v>
      </c>
      <c r="DB28" s="171">
        <f t="shared" si="38"/>
        <v>3187.9061687186977</v>
      </c>
      <c r="DC28" s="166">
        <f t="shared" si="69"/>
        <v>11862677.039727582</v>
      </c>
      <c r="DD28" s="170">
        <f t="shared" si="54"/>
        <v>42.387102823455763</v>
      </c>
      <c r="DE28" s="221">
        <f t="shared" si="55"/>
        <v>157728.76767150243</v>
      </c>
      <c r="DF28" s="222">
        <f t="shared" si="56"/>
        <v>7.030829999999999</v>
      </c>
      <c r="DG28" s="221">
        <f t="shared" si="57"/>
        <v>26162.773054499998</v>
      </c>
      <c r="DH28" s="172">
        <f t="shared" si="40"/>
        <v>-2</v>
      </c>
      <c r="DI28" s="173">
        <f t="shared" ref="DI28:DI34" si="85">$CY28-$BU28</f>
        <v>-40.715880634390487</v>
      </c>
      <c r="DJ28" s="174">
        <f t="shared" ref="DJ28:DJ34" si="86">MID(U28,2,LEN(U28))-MID(BW28,2,LEN(BW28))</f>
        <v>-2</v>
      </c>
      <c r="DK28" s="175">
        <f t="shared" ref="DK28:DK34" si="87">$AQ28-$BU28</f>
        <v>572</v>
      </c>
      <c r="DL28" s="176">
        <f t="shared" ref="DL28:DL34" si="88">MID(U28,2,LEN(U28))-MID(BW28,2,LEN(BW28))</f>
        <v>-2</v>
      </c>
      <c r="DM28" s="175">
        <f t="shared" ref="DM28:DM34" si="89">MID(U28,2,LEN(U28))-MID(AS28,2,LEN(AS28))</f>
        <v>0</v>
      </c>
      <c r="DN28" s="177"/>
      <c r="DO28" s="178">
        <f t="shared" si="46"/>
        <v>167.0938312813023</v>
      </c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80"/>
      <c r="EC28" s="181">
        <f t="shared" si="47"/>
        <v>40.715880634390487</v>
      </c>
      <c r="EE28" s="181"/>
    </row>
    <row r="29" spans="1:135" s="182" customFormat="1" ht="30">
      <c r="A29" s="74">
        <v>34</v>
      </c>
      <c r="B29" s="74">
        <v>59</v>
      </c>
      <c r="C29" s="138">
        <v>45820</v>
      </c>
      <c r="D29" s="139">
        <v>151000198</v>
      </c>
      <c r="E29" s="138">
        <v>45819</v>
      </c>
      <c r="F29" s="138"/>
      <c r="G29" s="138"/>
      <c r="H29" s="140">
        <v>4015</v>
      </c>
      <c r="I29" s="141">
        <v>4015</v>
      </c>
      <c r="J29" s="142"/>
      <c r="K29" s="568"/>
      <c r="L29" s="337">
        <v>58</v>
      </c>
      <c r="M29" s="144"/>
      <c r="N29" s="144">
        <v>4015</v>
      </c>
      <c r="O29" s="522" t="s">
        <v>180</v>
      </c>
      <c r="P29" s="145" t="s">
        <v>228</v>
      </c>
      <c r="Q29" s="146" t="s">
        <v>276</v>
      </c>
      <c r="R29" s="525"/>
      <c r="S29" s="146" t="s">
        <v>181</v>
      </c>
      <c r="T29" s="525"/>
      <c r="U29" s="147" t="s">
        <v>188</v>
      </c>
      <c r="V29" s="147" t="s">
        <v>189</v>
      </c>
      <c r="W29" s="147">
        <v>4450</v>
      </c>
      <c r="X29" s="519">
        <v>4049.86</v>
      </c>
      <c r="Y29" s="148"/>
      <c r="Z29" s="150"/>
      <c r="AA29" s="149"/>
      <c r="AB29" s="150"/>
      <c r="AC29" s="151"/>
      <c r="AD29" s="151"/>
      <c r="AE29" s="152">
        <f t="shared" si="0"/>
        <v>0</v>
      </c>
      <c r="AF29" s="151"/>
      <c r="AG29" s="152">
        <f t="shared" si="1"/>
        <v>0</v>
      </c>
      <c r="AH29" s="151"/>
      <c r="AI29" s="152">
        <f t="shared" si="2"/>
        <v>0</v>
      </c>
      <c r="AJ29" s="149"/>
      <c r="AK29" s="152">
        <f t="shared" si="70"/>
        <v>0</v>
      </c>
      <c r="AL29" s="149"/>
      <c r="AM29" s="151"/>
      <c r="AN29" s="152">
        <f t="shared" si="3"/>
        <v>0</v>
      </c>
      <c r="AO29" s="151"/>
      <c r="AP29" s="152">
        <f t="shared" si="4"/>
        <v>0</v>
      </c>
      <c r="AQ29" s="174">
        <f>W29</f>
        <v>4450</v>
      </c>
      <c r="AR29" s="152">
        <f t="shared" si="48"/>
        <v>17866750</v>
      </c>
      <c r="AS29" s="149"/>
      <c r="AT29" s="149">
        <f t="shared" si="5"/>
        <v>4450</v>
      </c>
      <c r="AU29" s="152">
        <f t="shared" si="71"/>
        <v>0</v>
      </c>
      <c r="AV29" s="149">
        <f t="shared" si="72"/>
        <v>0</v>
      </c>
      <c r="AW29" s="152">
        <f t="shared" si="73"/>
        <v>0</v>
      </c>
      <c r="AX29" s="151">
        <f t="shared" si="9"/>
        <v>0</v>
      </c>
      <c r="AY29" s="152">
        <f t="shared" si="74"/>
        <v>0</v>
      </c>
      <c r="AZ29" s="153">
        <v>5.4</v>
      </c>
      <c r="BA29" s="153">
        <v>6.915</v>
      </c>
      <c r="BB29" s="153"/>
      <c r="BC29" s="154">
        <f t="shared" si="11"/>
        <v>11.94159</v>
      </c>
      <c r="BD29" s="155">
        <f t="shared" si="68"/>
        <v>47945.483849999997</v>
      </c>
      <c r="BE29" s="156">
        <f t="shared" si="84"/>
        <v>4015</v>
      </c>
      <c r="BF29" s="157">
        <v>509</v>
      </c>
      <c r="BG29" s="157" t="s">
        <v>243</v>
      </c>
      <c r="BH29" s="156">
        <v>11.94</v>
      </c>
      <c r="BI29" s="158">
        <f t="shared" si="14"/>
        <v>47939.1</v>
      </c>
      <c r="BJ29" s="156">
        <v>7</v>
      </c>
      <c r="BK29" s="158">
        <f t="shared" si="15"/>
        <v>28105</v>
      </c>
      <c r="BL29" s="156">
        <v>40.94</v>
      </c>
      <c r="BM29" s="159">
        <f t="shared" si="16"/>
        <v>164374.09999999998</v>
      </c>
      <c r="BN29" s="157">
        <v>3741</v>
      </c>
      <c r="BO29" s="159">
        <f t="shared" si="17"/>
        <v>15020115</v>
      </c>
      <c r="BP29" s="160"/>
      <c r="BQ29" s="156">
        <v>6.67</v>
      </c>
      <c r="BR29" s="158">
        <f t="shared" si="18"/>
        <v>26780.05</v>
      </c>
      <c r="BS29" s="156">
        <v>41.09</v>
      </c>
      <c r="BT29" s="159">
        <f t="shared" si="19"/>
        <v>164976.35</v>
      </c>
      <c r="BU29" s="157">
        <v>3754</v>
      </c>
      <c r="BV29" s="161">
        <f t="shared" si="49"/>
        <v>15072310</v>
      </c>
      <c r="BW29" s="157" t="s">
        <v>184</v>
      </c>
      <c r="BX29" s="157">
        <f t="shared" si="20"/>
        <v>3542</v>
      </c>
      <c r="BY29" s="161">
        <f t="shared" si="50"/>
        <v>14221130</v>
      </c>
      <c r="BZ29" s="157">
        <f t="shared" si="21"/>
        <v>38.770000000000003</v>
      </c>
      <c r="CA29" s="161">
        <f t="shared" si="75"/>
        <v>155661.55000000002</v>
      </c>
      <c r="CB29" s="156">
        <f t="shared" si="23"/>
        <v>5.27</v>
      </c>
      <c r="CC29" s="161">
        <f t="shared" si="76"/>
        <v>21159.05</v>
      </c>
      <c r="CD29" s="162">
        <f t="shared" si="62"/>
        <v>4015</v>
      </c>
      <c r="CE29" s="163">
        <v>5.4</v>
      </c>
      <c r="CF29" s="164">
        <v>6.92</v>
      </c>
      <c r="CG29" s="165">
        <f t="shared" si="51"/>
        <v>11.94632</v>
      </c>
      <c r="CH29" s="166">
        <f t="shared" si="25"/>
        <v>47964.474800000004</v>
      </c>
      <c r="CI29" s="167">
        <v>40.71</v>
      </c>
      <c r="CJ29" s="166">
        <f t="shared" si="52"/>
        <v>163450.65</v>
      </c>
      <c r="CK29" s="168">
        <v>4.03</v>
      </c>
      <c r="CL29" s="166">
        <f t="shared" si="26"/>
        <v>16180.45</v>
      </c>
      <c r="CM29" s="167">
        <v>26.89</v>
      </c>
      <c r="CN29" s="166">
        <f t="shared" si="27"/>
        <v>107963.35</v>
      </c>
      <c r="CO29" s="169">
        <f t="shared" si="28"/>
        <v>4137.7350999999999</v>
      </c>
      <c r="CP29" s="166">
        <f t="shared" si="29"/>
        <v>16613006.4265</v>
      </c>
      <c r="CQ29" s="167">
        <v>3691</v>
      </c>
      <c r="CR29" s="166">
        <f t="shared" si="53"/>
        <v>14819365</v>
      </c>
      <c r="CS29" s="170">
        <f t="shared" si="30"/>
        <v>41.29538918412004</v>
      </c>
      <c r="CT29" s="166">
        <f t="shared" si="31"/>
        <v>165800.98757424197</v>
      </c>
      <c r="CU29" s="168">
        <v>2.65</v>
      </c>
      <c r="CV29" s="166">
        <f t="shared" si="77"/>
        <v>10639.75</v>
      </c>
      <c r="CW29" s="170">
        <f t="shared" si="78"/>
        <v>27.276664582682088</v>
      </c>
      <c r="CX29" s="166">
        <f t="shared" si="79"/>
        <v>109515.80829946858</v>
      </c>
      <c r="CY29" s="171">
        <f t="shared" si="80"/>
        <v>3744.0747108471396</v>
      </c>
      <c r="CZ29" s="166">
        <f t="shared" si="81"/>
        <v>15032459.964051265</v>
      </c>
      <c r="DA29" s="170" t="str">
        <f t="shared" si="83"/>
        <v>G12</v>
      </c>
      <c r="DB29" s="171">
        <f t="shared" si="38"/>
        <v>3386.5388442221529</v>
      </c>
      <c r="DC29" s="166">
        <f t="shared" si="69"/>
        <v>13596953.459551943</v>
      </c>
      <c r="DD29" s="170">
        <f t="shared" si="54"/>
        <v>37.351936155048456</v>
      </c>
      <c r="DE29" s="221">
        <f t="shared" si="55"/>
        <v>149968.02366251955</v>
      </c>
      <c r="DF29" s="222">
        <f t="shared" si="56"/>
        <v>9.2963199999999997</v>
      </c>
      <c r="DG29" s="221">
        <f t="shared" si="57"/>
        <v>37324.724799999996</v>
      </c>
      <c r="DH29" s="172">
        <f t="shared" si="40"/>
        <v>-2</v>
      </c>
      <c r="DI29" s="173">
        <f t="shared" si="85"/>
        <v>-9.9252891528603868</v>
      </c>
      <c r="DJ29" s="174">
        <f t="shared" si="86"/>
        <v>-2</v>
      </c>
      <c r="DK29" s="175">
        <f t="shared" si="87"/>
        <v>696</v>
      </c>
      <c r="DL29" s="176">
        <f t="shared" si="88"/>
        <v>-2</v>
      </c>
      <c r="DM29" s="175" t="e">
        <f t="shared" si="89"/>
        <v>#VALUE!</v>
      </c>
      <c r="DN29" s="177"/>
      <c r="DO29" s="178">
        <f t="shared" si="46"/>
        <v>155.46115577784713</v>
      </c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80"/>
      <c r="EC29" s="181">
        <f t="shared" si="47"/>
        <v>9.9252891528603868</v>
      </c>
      <c r="EE29" s="181"/>
    </row>
    <row r="30" spans="1:135" s="182" customFormat="1" ht="30">
      <c r="A30" s="74">
        <v>35</v>
      </c>
      <c r="B30" s="74">
        <v>61</v>
      </c>
      <c r="C30" s="138">
        <v>45820</v>
      </c>
      <c r="D30" s="139">
        <v>162000380</v>
      </c>
      <c r="E30" s="138">
        <v>45819</v>
      </c>
      <c r="F30" s="138"/>
      <c r="G30" s="138"/>
      <c r="H30" s="647">
        <v>3705.75</v>
      </c>
      <c r="I30" s="141">
        <v>1763.23</v>
      </c>
      <c r="J30" s="142">
        <f>(Y30/X30)*100</f>
        <v>47.581045275569778</v>
      </c>
      <c r="K30" s="143">
        <f>ROUND(((J30*H30)/100),2)</f>
        <v>1763.23</v>
      </c>
      <c r="L30" s="650">
        <v>58</v>
      </c>
      <c r="M30" s="144"/>
      <c r="N30" s="144">
        <v>1763.23</v>
      </c>
      <c r="O30" s="522" t="s">
        <v>180</v>
      </c>
      <c r="P30" s="145" t="s">
        <v>68</v>
      </c>
      <c r="Q30" s="146" t="s">
        <v>62</v>
      </c>
      <c r="R30" s="145"/>
      <c r="S30" s="145" t="s">
        <v>181</v>
      </c>
      <c r="T30" s="145"/>
      <c r="U30" s="147" t="s">
        <v>182</v>
      </c>
      <c r="V30" s="147" t="s">
        <v>183</v>
      </c>
      <c r="W30" s="147">
        <v>4150</v>
      </c>
      <c r="X30" s="653">
        <v>3789.24</v>
      </c>
      <c r="Y30" s="148">
        <v>1802.96</v>
      </c>
      <c r="Z30" s="150" t="s">
        <v>267</v>
      </c>
      <c r="AA30" s="149">
        <v>1666</v>
      </c>
      <c r="AB30" s="150" t="s">
        <v>243</v>
      </c>
      <c r="AC30" s="151">
        <v>1802.96</v>
      </c>
      <c r="AD30" s="151">
        <v>13.1</v>
      </c>
      <c r="AE30" s="152">
        <f t="shared" si="0"/>
        <v>23618.775999999998</v>
      </c>
      <c r="AF30" s="151">
        <v>7.35</v>
      </c>
      <c r="AG30" s="152">
        <f t="shared" si="1"/>
        <v>13251.755999999999</v>
      </c>
      <c r="AH30" s="151">
        <v>34.549999999999997</v>
      </c>
      <c r="AI30" s="152">
        <f t="shared" si="2"/>
        <v>62292.267999999996</v>
      </c>
      <c r="AJ30" s="149">
        <v>4054</v>
      </c>
      <c r="AK30" s="152">
        <f t="shared" si="70"/>
        <v>7309199.8399999999</v>
      </c>
      <c r="AL30" s="149"/>
      <c r="AM30" s="151">
        <v>7.55</v>
      </c>
      <c r="AN30" s="152">
        <f t="shared" si="3"/>
        <v>13612.348</v>
      </c>
      <c r="AO30" s="151">
        <v>34.479999999999997</v>
      </c>
      <c r="AP30" s="152">
        <f t="shared" si="4"/>
        <v>62166.060799999992</v>
      </c>
      <c r="AQ30" s="149">
        <v>4045</v>
      </c>
      <c r="AR30" s="152">
        <f t="shared" si="48"/>
        <v>7132265.3499999996</v>
      </c>
      <c r="AS30" s="149" t="s">
        <v>188</v>
      </c>
      <c r="AT30" s="149">
        <f t="shared" si="5"/>
        <v>3802</v>
      </c>
      <c r="AU30" s="152">
        <f t="shared" si="71"/>
        <v>6854853.9199999999</v>
      </c>
      <c r="AV30" s="149">
        <f t="shared" si="72"/>
        <v>32.409999999999997</v>
      </c>
      <c r="AW30" s="152">
        <f t="shared" si="73"/>
        <v>58433.933599999997</v>
      </c>
      <c r="AX30" s="151">
        <f t="shared" si="9"/>
        <v>5.55</v>
      </c>
      <c r="AY30" s="152">
        <f t="shared" si="74"/>
        <v>10006.428</v>
      </c>
      <c r="AZ30" s="153">
        <v>6.6</v>
      </c>
      <c r="BA30" s="153">
        <v>7.2279999999999998</v>
      </c>
      <c r="BB30" s="153"/>
      <c r="BC30" s="154">
        <f t="shared" si="11"/>
        <v>13.350951999999999</v>
      </c>
      <c r="BD30" s="155">
        <f t="shared" si="68"/>
        <v>23540.799094959999</v>
      </c>
      <c r="BE30" s="156">
        <f t="shared" si="84"/>
        <v>1763.23</v>
      </c>
      <c r="BF30" s="157">
        <v>510</v>
      </c>
      <c r="BG30" s="157" t="s">
        <v>247</v>
      </c>
      <c r="BH30" s="156">
        <v>13.35</v>
      </c>
      <c r="BI30" s="158">
        <f t="shared" si="14"/>
        <v>23539.120500000001</v>
      </c>
      <c r="BJ30" s="156">
        <v>9.07</v>
      </c>
      <c r="BK30" s="158">
        <f t="shared" si="15"/>
        <v>15992.4961</v>
      </c>
      <c r="BL30" s="156">
        <v>40.72</v>
      </c>
      <c r="BM30" s="159">
        <f t="shared" si="16"/>
        <v>71798.725600000005</v>
      </c>
      <c r="BN30" s="157">
        <v>3685</v>
      </c>
      <c r="BO30" s="159">
        <f t="shared" si="17"/>
        <v>6497502.5499999998</v>
      </c>
      <c r="BP30" s="160"/>
      <c r="BQ30" s="156">
        <v>8.2899999999999991</v>
      </c>
      <c r="BR30" s="158">
        <f t="shared" si="18"/>
        <v>14617.176699999998</v>
      </c>
      <c r="BS30" s="156">
        <v>41.07</v>
      </c>
      <c r="BT30" s="159">
        <f t="shared" si="19"/>
        <v>72415.856100000005</v>
      </c>
      <c r="BU30" s="157">
        <v>3717</v>
      </c>
      <c r="BV30" s="161">
        <f t="shared" si="49"/>
        <v>6553925.9100000001</v>
      </c>
      <c r="BW30" s="157" t="s">
        <v>184</v>
      </c>
      <c r="BX30" s="157">
        <f t="shared" si="20"/>
        <v>3512</v>
      </c>
      <c r="BY30" s="161">
        <f t="shared" si="50"/>
        <v>6192463.7599999998</v>
      </c>
      <c r="BZ30" s="157">
        <f t="shared" si="21"/>
        <v>38.799999999999997</v>
      </c>
      <c r="CA30" s="161">
        <f t="shared" si="75"/>
        <v>68413.323999999993</v>
      </c>
      <c r="CB30" s="156">
        <f t="shared" si="23"/>
        <v>5.0600000000000005</v>
      </c>
      <c r="CC30" s="161">
        <f t="shared" si="76"/>
        <v>8921.9438000000009</v>
      </c>
      <c r="CD30" s="162">
        <f t="shared" si="62"/>
        <v>1763.23</v>
      </c>
      <c r="CE30" s="163">
        <v>6.6</v>
      </c>
      <c r="CF30" s="164">
        <v>7.23</v>
      </c>
      <c r="CG30" s="165">
        <f t="shared" si="51"/>
        <v>13.352819999999999</v>
      </c>
      <c r="CH30" s="166">
        <f t="shared" si="25"/>
        <v>23544.092808599999</v>
      </c>
      <c r="CI30" s="167">
        <v>40.22</v>
      </c>
      <c r="CJ30" s="166">
        <f>CI30*$CD30</f>
        <v>70917.1106</v>
      </c>
      <c r="CK30" s="168">
        <v>6.56</v>
      </c>
      <c r="CL30" s="166">
        <f t="shared" si="26"/>
        <v>11566.7888</v>
      </c>
      <c r="CM30" s="167">
        <v>24.26</v>
      </c>
      <c r="CN30" s="166">
        <f t="shared" si="27"/>
        <v>42775.959800000004</v>
      </c>
      <c r="CO30" s="169">
        <f t="shared" si="28"/>
        <v>3815.5821999999998</v>
      </c>
      <c r="CP30" s="166">
        <f t="shared" si="29"/>
        <v>6727749.002506</v>
      </c>
      <c r="CQ30" s="167">
        <v>3654</v>
      </c>
      <c r="CR30" s="166">
        <f>CQ30*$CD30</f>
        <v>6442842.4199999999</v>
      </c>
      <c r="CS30" s="170">
        <f t="shared" si="30"/>
        <v>41.584484160958901</v>
      </c>
      <c r="CT30" s="166">
        <f t="shared" si="31"/>
        <v>73323.010007127566</v>
      </c>
      <c r="CU30" s="168">
        <v>3.39</v>
      </c>
      <c r="CV30" s="166">
        <f t="shared" si="77"/>
        <v>5977.3497000000007</v>
      </c>
      <c r="CW30" s="170">
        <f t="shared" si="78"/>
        <v>25.083032962328765</v>
      </c>
      <c r="CX30" s="166">
        <f t="shared" si="79"/>
        <v>44227.156210166948</v>
      </c>
      <c r="CY30" s="171">
        <f t="shared" si="80"/>
        <v>3777.9638270547944</v>
      </c>
      <c r="CZ30" s="166">
        <f t="shared" si="81"/>
        <v>6661419.1587778255</v>
      </c>
      <c r="DA30" s="170" t="str">
        <f t="shared" si="83"/>
        <v>G12</v>
      </c>
      <c r="DB30" s="171">
        <f t="shared" si="38"/>
        <v>3388.3646802226031</v>
      </c>
      <c r="DC30" s="166">
        <f t="shared" si="69"/>
        <v>5974466.2551089004</v>
      </c>
      <c r="DD30" s="170">
        <f t="shared" si="54"/>
        <v>37.296121357020546</v>
      </c>
      <c r="DE30" s="221">
        <f t="shared" si="55"/>
        <v>65761.640060339341</v>
      </c>
      <c r="DF30" s="222">
        <f t="shared" si="56"/>
        <v>9.9628199999999989</v>
      </c>
      <c r="DG30" s="221">
        <f t="shared" si="57"/>
        <v>17566.7431086</v>
      </c>
      <c r="DH30" s="172">
        <f t="shared" si="40"/>
        <v>-1</v>
      </c>
      <c r="DI30" s="173">
        <f t="shared" si="85"/>
        <v>60.963827054794365</v>
      </c>
      <c r="DJ30" s="174">
        <f t="shared" si="86"/>
        <v>-1</v>
      </c>
      <c r="DK30" s="175">
        <f t="shared" si="87"/>
        <v>328</v>
      </c>
      <c r="DL30" s="176">
        <f t="shared" si="88"/>
        <v>-1</v>
      </c>
      <c r="DM30" s="175">
        <f t="shared" si="89"/>
        <v>1</v>
      </c>
      <c r="DN30" s="177"/>
      <c r="DO30" s="178">
        <f t="shared" si="46"/>
        <v>123.63531977739694</v>
      </c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80"/>
      <c r="EC30" s="181">
        <f t="shared" si="47"/>
        <v>-60.963827054794365</v>
      </c>
      <c r="EE30" s="181"/>
    </row>
    <row r="31" spans="1:135" s="182" customFormat="1" ht="30">
      <c r="A31" s="74">
        <v>36</v>
      </c>
      <c r="B31" s="74">
        <v>61</v>
      </c>
      <c r="C31" s="138">
        <v>45820</v>
      </c>
      <c r="D31" s="139">
        <v>162000380</v>
      </c>
      <c r="E31" s="138">
        <v>45819</v>
      </c>
      <c r="F31" s="138"/>
      <c r="G31" s="138"/>
      <c r="H31" s="649"/>
      <c r="I31" s="141">
        <v>1942.52</v>
      </c>
      <c r="J31" s="142">
        <f>(Y31/X30)*100</f>
        <v>52.418954724430236</v>
      </c>
      <c r="K31" s="143">
        <f>ROUND(((J31*H30)/100),2)</f>
        <v>1942.52</v>
      </c>
      <c r="L31" s="652"/>
      <c r="M31" s="144"/>
      <c r="N31" s="144">
        <v>1942.52</v>
      </c>
      <c r="O31" s="522" t="s">
        <v>180</v>
      </c>
      <c r="P31" s="145" t="s">
        <v>68</v>
      </c>
      <c r="Q31" s="146" t="s">
        <v>63</v>
      </c>
      <c r="R31" s="145"/>
      <c r="S31" s="145" t="s">
        <v>181</v>
      </c>
      <c r="T31" s="145"/>
      <c r="U31" s="147" t="s">
        <v>188</v>
      </c>
      <c r="V31" s="147" t="s">
        <v>189</v>
      </c>
      <c r="W31" s="147">
        <v>4450</v>
      </c>
      <c r="X31" s="655"/>
      <c r="Y31" s="148">
        <v>1986.28</v>
      </c>
      <c r="Z31" s="150" t="s">
        <v>267</v>
      </c>
      <c r="AA31" s="149">
        <v>1666</v>
      </c>
      <c r="AB31" s="150" t="s">
        <v>243</v>
      </c>
      <c r="AC31" s="151">
        <v>1986.28</v>
      </c>
      <c r="AD31" s="151">
        <v>12.86</v>
      </c>
      <c r="AE31" s="152">
        <f t="shared" si="0"/>
        <v>25543.560799999999</v>
      </c>
      <c r="AF31" s="151">
        <v>6.72</v>
      </c>
      <c r="AG31" s="152">
        <f t="shared" si="1"/>
        <v>13347.801599999999</v>
      </c>
      <c r="AH31" s="151">
        <v>31.73</v>
      </c>
      <c r="AI31" s="152">
        <f t="shared" si="2"/>
        <v>63024.664400000001</v>
      </c>
      <c r="AJ31" s="149">
        <v>4395</v>
      </c>
      <c r="AK31" s="152">
        <f t="shared" si="70"/>
        <v>8729700.5999999996</v>
      </c>
      <c r="AL31" s="149"/>
      <c r="AM31" s="151">
        <v>8.34</v>
      </c>
      <c r="AN31" s="152">
        <f t="shared" si="3"/>
        <v>16565.575199999999</v>
      </c>
      <c r="AO31" s="151">
        <v>31.18</v>
      </c>
      <c r="AP31" s="152">
        <f t="shared" si="4"/>
        <v>61932.210399999996</v>
      </c>
      <c r="AQ31" s="149">
        <v>4319</v>
      </c>
      <c r="AR31" s="152">
        <f t="shared" si="48"/>
        <v>8389743.8800000008</v>
      </c>
      <c r="AS31" s="149" t="s">
        <v>188</v>
      </c>
      <c r="AT31" s="149">
        <f t="shared" si="5"/>
        <v>4106</v>
      </c>
      <c r="AU31" s="152">
        <f t="shared" si="71"/>
        <v>8155665.6799999997</v>
      </c>
      <c r="AV31" s="149">
        <f t="shared" si="72"/>
        <v>29.64</v>
      </c>
      <c r="AW31" s="152">
        <f t="shared" si="73"/>
        <v>58873.339200000002</v>
      </c>
      <c r="AX31" s="151">
        <f t="shared" si="9"/>
        <v>4.5199999999999996</v>
      </c>
      <c r="AY31" s="152">
        <f t="shared" si="74"/>
        <v>8977.9855999999982</v>
      </c>
      <c r="AZ31" s="153">
        <v>6.6</v>
      </c>
      <c r="BA31" s="153">
        <v>7.2279999999999998</v>
      </c>
      <c r="BB31" s="153"/>
      <c r="BC31" s="154">
        <f t="shared" si="11"/>
        <v>13.350951999999999</v>
      </c>
      <c r="BD31" s="155">
        <f t="shared" si="68"/>
        <v>25934.491279039998</v>
      </c>
      <c r="BE31" s="156">
        <f t="shared" si="84"/>
        <v>1942.52</v>
      </c>
      <c r="BF31" s="157">
        <v>510</v>
      </c>
      <c r="BG31" s="157" t="s">
        <v>247</v>
      </c>
      <c r="BH31" s="156">
        <v>13.35</v>
      </c>
      <c r="BI31" s="158">
        <f t="shared" si="14"/>
        <v>25932.642</v>
      </c>
      <c r="BJ31" s="156">
        <v>9.07</v>
      </c>
      <c r="BK31" s="158">
        <f t="shared" si="15"/>
        <v>17618.6564</v>
      </c>
      <c r="BL31" s="156">
        <v>40.72</v>
      </c>
      <c r="BM31" s="159">
        <f t="shared" si="16"/>
        <v>79099.414399999994</v>
      </c>
      <c r="BN31" s="157">
        <v>3685</v>
      </c>
      <c r="BO31" s="159">
        <f t="shared" si="17"/>
        <v>7158186.2000000002</v>
      </c>
      <c r="BP31" s="160"/>
      <c r="BQ31" s="156">
        <v>8.2899999999999991</v>
      </c>
      <c r="BR31" s="158">
        <f t="shared" si="18"/>
        <v>16103.490799999998</v>
      </c>
      <c r="BS31" s="156">
        <v>41.07</v>
      </c>
      <c r="BT31" s="159">
        <f t="shared" si="19"/>
        <v>79779.296400000007</v>
      </c>
      <c r="BU31" s="157">
        <v>3717</v>
      </c>
      <c r="BV31" s="161">
        <f t="shared" si="49"/>
        <v>7220346.8399999999</v>
      </c>
      <c r="BW31" s="157" t="s">
        <v>184</v>
      </c>
      <c r="BX31" s="157">
        <f t="shared" si="20"/>
        <v>3512</v>
      </c>
      <c r="BY31" s="161">
        <f t="shared" si="50"/>
        <v>6822130.2400000002</v>
      </c>
      <c r="BZ31" s="157">
        <f t="shared" si="21"/>
        <v>38.799999999999997</v>
      </c>
      <c r="CA31" s="161">
        <f t="shared" si="75"/>
        <v>75369.775999999998</v>
      </c>
      <c r="CB31" s="156">
        <f t="shared" si="23"/>
        <v>5.0600000000000005</v>
      </c>
      <c r="CC31" s="161">
        <f t="shared" si="76"/>
        <v>9829.1512000000002</v>
      </c>
      <c r="CD31" s="162">
        <f t="shared" si="62"/>
        <v>1942.52</v>
      </c>
      <c r="CE31" s="163">
        <v>6.6</v>
      </c>
      <c r="CF31" s="164">
        <v>7.23</v>
      </c>
      <c r="CG31" s="165">
        <f t="shared" si="51"/>
        <v>13.352819999999999</v>
      </c>
      <c r="CH31" s="166">
        <f t="shared" si="25"/>
        <v>25938.119906399999</v>
      </c>
      <c r="CI31" s="167">
        <v>40.22</v>
      </c>
      <c r="CJ31" s="166">
        <f>CI31*$CD31</f>
        <v>78128.154399999999</v>
      </c>
      <c r="CK31" s="168">
        <v>6.56</v>
      </c>
      <c r="CL31" s="166">
        <f t="shared" si="26"/>
        <v>12742.931199999999</v>
      </c>
      <c r="CM31" s="167">
        <v>24.26</v>
      </c>
      <c r="CN31" s="166">
        <f t="shared" si="27"/>
        <v>47125.535200000006</v>
      </c>
      <c r="CO31" s="169">
        <f t="shared" si="28"/>
        <v>3815.5821999999998</v>
      </c>
      <c r="CP31" s="166">
        <f t="shared" si="29"/>
        <v>7411844.7351439996</v>
      </c>
      <c r="CQ31" s="167">
        <v>3654</v>
      </c>
      <c r="CR31" s="166">
        <f>CQ31*$CD31</f>
        <v>7097968.0800000001</v>
      </c>
      <c r="CS31" s="170">
        <f t="shared" si="30"/>
        <v>41.584484160958901</v>
      </c>
      <c r="CT31" s="166">
        <f t="shared" si="31"/>
        <v>80778.69217234588</v>
      </c>
      <c r="CU31" s="168">
        <v>3.39</v>
      </c>
      <c r="CV31" s="166">
        <f t="shared" si="77"/>
        <v>6585.1428000000005</v>
      </c>
      <c r="CW31" s="170">
        <f t="shared" si="78"/>
        <v>25.083032962328765</v>
      </c>
      <c r="CX31" s="166">
        <f t="shared" si="79"/>
        <v>48724.293189982876</v>
      </c>
      <c r="CY31" s="171">
        <f t="shared" si="80"/>
        <v>3777.9638270547944</v>
      </c>
      <c r="CZ31" s="166">
        <f t="shared" si="81"/>
        <v>7338770.2933304794</v>
      </c>
      <c r="DA31" s="170" t="str">
        <f t="shared" si="83"/>
        <v>G12</v>
      </c>
      <c r="DB31" s="171">
        <f t="shared" si="38"/>
        <v>3388.3646802226031</v>
      </c>
      <c r="DC31" s="166">
        <f t="shared" si="69"/>
        <v>6581966.1586260106</v>
      </c>
      <c r="DD31" s="170">
        <f t="shared" si="54"/>
        <v>37.296121357020546</v>
      </c>
      <c r="DE31" s="221">
        <f t="shared" si="55"/>
        <v>72448.461658439555</v>
      </c>
      <c r="DF31" s="222">
        <f t="shared" si="56"/>
        <v>9.9628199999999989</v>
      </c>
      <c r="DG31" s="221">
        <f t="shared" si="57"/>
        <v>19352.977106399998</v>
      </c>
      <c r="DH31" s="172">
        <f t="shared" si="40"/>
        <v>-2</v>
      </c>
      <c r="DI31" s="173">
        <f t="shared" si="85"/>
        <v>60.963827054794365</v>
      </c>
      <c r="DJ31" s="174">
        <f t="shared" si="86"/>
        <v>-2</v>
      </c>
      <c r="DK31" s="175">
        <f t="shared" si="87"/>
        <v>602</v>
      </c>
      <c r="DL31" s="176">
        <f t="shared" si="88"/>
        <v>-2</v>
      </c>
      <c r="DM31" s="175">
        <f t="shared" si="89"/>
        <v>0</v>
      </c>
      <c r="DN31" s="177"/>
      <c r="DO31" s="178">
        <f t="shared" si="46"/>
        <v>123.63531977739694</v>
      </c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80"/>
      <c r="EC31" s="181">
        <f t="shared" si="47"/>
        <v>-60.963827054794365</v>
      </c>
      <c r="EE31" s="181"/>
    </row>
    <row r="32" spans="1:135" s="182" customFormat="1" ht="30">
      <c r="A32" s="74">
        <v>37</v>
      </c>
      <c r="B32" s="74">
        <v>62</v>
      </c>
      <c r="C32" s="138">
        <v>45821</v>
      </c>
      <c r="D32" s="139">
        <v>151001328</v>
      </c>
      <c r="E32" s="138">
        <v>45818</v>
      </c>
      <c r="F32" s="138"/>
      <c r="G32" s="138"/>
      <c r="H32" s="140">
        <v>4120.45</v>
      </c>
      <c r="I32" s="141">
        <v>4120.45</v>
      </c>
      <c r="J32" s="142"/>
      <c r="K32" s="568"/>
      <c r="L32" s="337">
        <v>59</v>
      </c>
      <c r="M32" s="144"/>
      <c r="N32" s="144">
        <v>4120.45</v>
      </c>
      <c r="O32" s="522" t="s">
        <v>180</v>
      </c>
      <c r="P32" s="145" t="s">
        <v>71</v>
      </c>
      <c r="Q32" s="146" t="s">
        <v>52</v>
      </c>
      <c r="R32" s="145"/>
      <c r="S32" s="145" t="s">
        <v>181</v>
      </c>
      <c r="T32" s="145"/>
      <c r="U32" s="147" t="s">
        <v>190</v>
      </c>
      <c r="V32" s="147" t="s">
        <v>194</v>
      </c>
      <c r="W32" s="147">
        <v>3550</v>
      </c>
      <c r="X32" s="519">
        <v>4148.7</v>
      </c>
      <c r="Y32" s="148">
        <v>4148.7</v>
      </c>
      <c r="Z32" s="150" t="s">
        <v>262</v>
      </c>
      <c r="AA32" s="149">
        <v>1672</v>
      </c>
      <c r="AB32" s="150" t="s">
        <v>243</v>
      </c>
      <c r="AC32" s="151">
        <v>4148.7</v>
      </c>
      <c r="AD32" s="151">
        <v>10.46</v>
      </c>
      <c r="AE32" s="152">
        <f t="shared" si="0"/>
        <v>43395.402000000002</v>
      </c>
      <c r="AF32" s="151">
        <v>7.83</v>
      </c>
      <c r="AG32" s="152">
        <f t="shared" si="1"/>
        <v>32484.321</v>
      </c>
      <c r="AH32" s="151">
        <v>41.69</v>
      </c>
      <c r="AI32" s="152">
        <f t="shared" si="2"/>
        <v>172959.30299999999</v>
      </c>
      <c r="AJ32" s="149">
        <v>3519</v>
      </c>
      <c r="AK32" s="152">
        <f t="shared" si="70"/>
        <v>14599275.299999999</v>
      </c>
      <c r="AL32" s="149"/>
      <c r="AM32" s="151">
        <v>8.81</v>
      </c>
      <c r="AN32" s="152">
        <f t="shared" si="3"/>
        <v>36550.046999999999</v>
      </c>
      <c r="AO32" s="151">
        <v>41.25</v>
      </c>
      <c r="AP32" s="152">
        <f t="shared" si="4"/>
        <v>171133.875</v>
      </c>
      <c r="AQ32" s="149">
        <v>3482</v>
      </c>
      <c r="AR32" s="152">
        <f t="shared" si="48"/>
        <v>14347406.899999999</v>
      </c>
      <c r="AS32" s="149" t="s">
        <v>190</v>
      </c>
      <c r="AT32" s="149">
        <f t="shared" si="5"/>
        <v>3419</v>
      </c>
      <c r="AU32" s="152">
        <f t="shared" si="71"/>
        <v>14184405.299999999</v>
      </c>
      <c r="AV32" s="149">
        <f t="shared" si="72"/>
        <v>40.5</v>
      </c>
      <c r="AW32" s="152">
        <f t="shared" si="73"/>
        <v>168022.35</v>
      </c>
      <c r="AX32" s="151">
        <f t="shared" si="9"/>
        <v>1.6500000000000004</v>
      </c>
      <c r="AY32" s="152">
        <f t="shared" si="74"/>
        <v>6845.3550000000014</v>
      </c>
      <c r="AZ32" s="153">
        <v>5.0999999999999996</v>
      </c>
      <c r="BA32" s="153">
        <v>9.7100000000000009</v>
      </c>
      <c r="BB32" s="153"/>
      <c r="BC32" s="154">
        <f t="shared" si="11"/>
        <v>14.31479</v>
      </c>
      <c r="BD32" s="155">
        <f t="shared" si="68"/>
        <v>58983.376455500002</v>
      </c>
      <c r="BE32" s="156">
        <f t="shared" si="84"/>
        <v>4120.45</v>
      </c>
      <c r="BF32" s="157">
        <v>510</v>
      </c>
      <c r="BG32" s="157" t="s">
        <v>247</v>
      </c>
      <c r="BH32" s="156">
        <v>14.31</v>
      </c>
      <c r="BI32" s="158">
        <f t="shared" si="14"/>
        <v>58963.639499999997</v>
      </c>
      <c r="BJ32" s="156">
        <v>9.34</v>
      </c>
      <c r="BK32" s="158">
        <f t="shared" si="15"/>
        <v>38485.002999999997</v>
      </c>
      <c r="BL32" s="156">
        <v>40.85</v>
      </c>
      <c r="BM32" s="159">
        <f t="shared" si="16"/>
        <v>168320.38250000001</v>
      </c>
      <c r="BN32" s="157">
        <v>3244</v>
      </c>
      <c r="BO32" s="159">
        <f t="shared" si="17"/>
        <v>13366739.799999999</v>
      </c>
      <c r="BP32" s="160"/>
      <c r="BQ32" s="156">
        <v>8.3800000000000008</v>
      </c>
      <c r="BR32" s="158">
        <f t="shared" si="18"/>
        <v>34529.370999999999</v>
      </c>
      <c r="BS32" s="156">
        <v>41.28</v>
      </c>
      <c r="BT32" s="159">
        <f t="shared" si="19"/>
        <v>170092.17600000001</v>
      </c>
      <c r="BU32" s="157">
        <v>3278</v>
      </c>
      <c r="BV32" s="161">
        <f t="shared" si="49"/>
        <v>13506835.1</v>
      </c>
      <c r="BW32" s="157" t="s">
        <v>193</v>
      </c>
      <c r="BX32" s="157">
        <f t="shared" si="20"/>
        <v>3066</v>
      </c>
      <c r="BY32" s="161">
        <f t="shared" si="50"/>
        <v>12633299.699999999</v>
      </c>
      <c r="BZ32" s="157">
        <f t="shared" si="21"/>
        <v>38.61</v>
      </c>
      <c r="CA32" s="161">
        <f t="shared" si="75"/>
        <v>159090.57449999999</v>
      </c>
      <c r="CB32" s="156">
        <f t="shared" si="23"/>
        <v>5.93</v>
      </c>
      <c r="CC32" s="161">
        <f t="shared" si="76"/>
        <v>24434.268499999998</v>
      </c>
      <c r="CD32" s="162">
        <f t="shared" si="62"/>
        <v>4120.45</v>
      </c>
      <c r="CE32" s="163">
        <v>5.0999999999999996</v>
      </c>
      <c r="CF32" s="164">
        <v>9.7100000000000009</v>
      </c>
      <c r="CG32" s="165">
        <f t="shared" si="51"/>
        <v>14.31479</v>
      </c>
      <c r="CH32" s="166">
        <f t="shared" si="25"/>
        <v>58983.376455500002</v>
      </c>
      <c r="CI32" s="167">
        <v>45.11</v>
      </c>
      <c r="CJ32" s="166">
        <f t="shared" si="52"/>
        <v>185873.49949999998</v>
      </c>
      <c r="CK32" s="168">
        <v>6.15</v>
      </c>
      <c r="CL32" s="166">
        <f t="shared" si="26"/>
        <v>25340.767500000002</v>
      </c>
      <c r="CM32" s="167">
        <v>23.04</v>
      </c>
      <c r="CN32" s="166">
        <f t="shared" si="27"/>
        <v>94935.167999999991</v>
      </c>
      <c r="CO32" s="169">
        <f t="shared" si="28"/>
        <v>3415.0638999999992</v>
      </c>
      <c r="CP32" s="166">
        <f t="shared" si="29"/>
        <v>14071600.046754995</v>
      </c>
      <c r="CQ32" s="167">
        <v>3249</v>
      </c>
      <c r="CR32" s="166">
        <f t="shared" si="53"/>
        <v>13387342.049999999</v>
      </c>
      <c r="CS32" s="170">
        <f t="shared" si="30"/>
        <v>46.302038359083639</v>
      </c>
      <c r="CT32" s="166">
        <f t="shared" si="31"/>
        <v>190785.23395668616</v>
      </c>
      <c r="CU32" s="168">
        <v>3.67</v>
      </c>
      <c r="CV32" s="166">
        <f t="shared" si="77"/>
        <v>15122.0515</v>
      </c>
      <c r="CW32" s="170">
        <f t="shared" si="78"/>
        <v>23.648835375599358</v>
      </c>
      <c r="CX32" s="166">
        <f t="shared" si="79"/>
        <v>97443.843723388374</v>
      </c>
      <c r="CY32" s="171">
        <f t="shared" si="80"/>
        <v>3334.8553010122532</v>
      </c>
      <c r="CZ32" s="166">
        <f t="shared" si="81"/>
        <v>13741104.525055937</v>
      </c>
      <c r="DA32" s="170" t="str">
        <f t="shared" si="83"/>
        <v>G14</v>
      </c>
      <c r="DB32" s="171">
        <f t="shared" si="38"/>
        <v>2966.3425390516782</v>
      </c>
      <c r="DC32" s="166">
        <f t="shared" si="69"/>
        <v>12222666.115035487</v>
      </c>
      <c r="DD32" s="170">
        <f t="shared" si="54"/>
        <v>41.185506905700585</v>
      </c>
      <c r="DE32" s="221">
        <f t="shared" si="55"/>
        <v>169702.82192959398</v>
      </c>
      <c r="DF32" s="222">
        <f t="shared" si="56"/>
        <v>10.64479</v>
      </c>
      <c r="DG32" s="221">
        <f t="shared" si="57"/>
        <v>43861.3249555</v>
      </c>
      <c r="DH32" s="172">
        <f t="shared" si="40"/>
        <v>-1</v>
      </c>
      <c r="DI32" s="173">
        <f t="shared" si="85"/>
        <v>56.855301012253221</v>
      </c>
      <c r="DJ32" s="174">
        <f t="shared" si="86"/>
        <v>-1</v>
      </c>
      <c r="DK32" s="175">
        <f t="shared" si="87"/>
        <v>204</v>
      </c>
      <c r="DL32" s="176">
        <f t="shared" si="88"/>
        <v>-1</v>
      </c>
      <c r="DM32" s="175">
        <f t="shared" si="89"/>
        <v>0</v>
      </c>
      <c r="DN32" s="177"/>
      <c r="DO32" s="178">
        <f t="shared" si="46"/>
        <v>99.657460948321841</v>
      </c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80"/>
      <c r="EC32" s="181">
        <f t="shared" si="47"/>
        <v>-56.855301012253221</v>
      </c>
      <c r="EE32" s="181"/>
    </row>
    <row r="33" spans="1:135" s="182" customFormat="1" ht="30">
      <c r="A33" s="74">
        <v>39</v>
      </c>
      <c r="B33" s="74">
        <v>66</v>
      </c>
      <c r="C33" s="138">
        <v>45822</v>
      </c>
      <c r="D33" s="139">
        <v>161002896</v>
      </c>
      <c r="E33" s="138">
        <v>45821</v>
      </c>
      <c r="F33" s="138"/>
      <c r="G33" s="138"/>
      <c r="H33" s="140">
        <v>3427.2</v>
      </c>
      <c r="I33" s="141">
        <v>3427.2</v>
      </c>
      <c r="J33" s="142"/>
      <c r="K33" s="568"/>
      <c r="L33" s="337">
        <v>51</v>
      </c>
      <c r="M33" s="144"/>
      <c r="N33" s="144">
        <v>3427.2</v>
      </c>
      <c r="O33" s="522" t="s">
        <v>180</v>
      </c>
      <c r="P33" s="145" t="s">
        <v>70</v>
      </c>
      <c r="Q33" s="146" t="s">
        <v>64</v>
      </c>
      <c r="R33" s="145"/>
      <c r="S33" s="145" t="s">
        <v>181</v>
      </c>
      <c r="T33" s="145"/>
      <c r="U33" s="147" t="s">
        <v>188</v>
      </c>
      <c r="V33" s="147" t="s">
        <v>189</v>
      </c>
      <c r="W33" s="147">
        <v>4450</v>
      </c>
      <c r="X33" s="519">
        <v>3454.62</v>
      </c>
      <c r="Y33" s="148">
        <v>3454.62</v>
      </c>
      <c r="Z33" s="150"/>
      <c r="AA33" s="149"/>
      <c r="AB33" s="150"/>
      <c r="AC33" s="151"/>
      <c r="AD33" s="151"/>
      <c r="AE33" s="152">
        <f t="shared" si="0"/>
        <v>0</v>
      </c>
      <c r="AF33" s="151"/>
      <c r="AG33" s="152">
        <f t="shared" si="1"/>
        <v>0</v>
      </c>
      <c r="AH33" s="151"/>
      <c r="AI33" s="152">
        <f t="shared" si="2"/>
        <v>0</v>
      </c>
      <c r="AJ33" s="149"/>
      <c r="AK33" s="152">
        <f t="shared" si="70"/>
        <v>0</v>
      </c>
      <c r="AL33" s="149"/>
      <c r="AM33" s="151"/>
      <c r="AN33" s="152">
        <f t="shared" si="3"/>
        <v>0</v>
      </c>
      <c r="AO33" s="151"/>
      <c r="AP33" s="152">
        <f t="shared" si="4"/>
        <v>0</v>
      </c>
      <c r="AQ33" s="174">
        <f t="shared" ref="AQ33:AQ34" si="90">W33</f>
        <v>4450</v>
      </c>
      <c r="AR33" s="152">
        <f t="shared" si="48"/>
        <v>15251040</v>
      </c>
      <c r="AS33" s="149"/>
      <c r="AT33" s="149">
        <f t="shared" si="5"/>
        <v>4450</v>
      </c>
      <c r="AU33" s="152">
        <f t="shared" si="71"/>
        <v>0</v>
      </c>
      <c r="AV33" s="149">
        <f t="shared" si="72"/>
        <v>0</v>
      </c>
      <c r="AW33" s="152">
        <f t="shared" si="73"/>
        <v>0</v>
      </c>
      <c r="AX33" s="151">
        <f t="shared" si="9"/>
        <v>0</v>
      </c>
      <c r="AY33" s="152">
        <f t="shared" si="74"/>
        <v>0</v>
      </c>
      <c r="AZ33" s="153">
        <v>3.9</v>
      </c>
      <c r="BA33" s="153">
        <v>8.3930000000000007</v>
      </c>
      <c r="BB33" s="153"/>
      <c r="BC33" s="154">
        <f t="shared" si="11"/>
        <v>11.965673000000001</v>
      </c>
      <c r="BD33" s="155">
        <f t="shared" si="68"/>
        <v>41008.754505600002</v>
      </c>
      <c r="BE33" s="156">
        <f t="shared" si="84"/>
        <v>3427.2</v>
      </c>
      <c r="BF33" s="157">
        <v>510</v>
      </c>
      <c r="BG33" s="157" t="s">
        <v>247</v>
      </c>
      <c r="BH33" s="156">
        <v>11.97</v>
      </c>
      <c r="BI33" s="158">
        <f t="shared" si="14"/>
        <v>41023.584000000003</v>
      </c>
      <c r="BJ33" s="156">
        <v>9.06</v>
      </c>
      <c r="BK33" s="158">
        <f t="shared" si="15"/>
        <v>31050.432000000001</v>
      </c>
      <c r="BL33" s="156">
        <v>41.18</v>
      </c>
      <c r="BM33" s="159">
        <f t="shared" si="16"/>
        <v>141132.09599999999</v>
      </c>
      <c r="BN33" s="157">
        <v>3311</v>
      </c>
      <c r="BO33" s="159">
        <f t="shared" si="17"/>
        <v>11347459.199999999</v>
      </c>
      <c r="BP33" s="160"/>
      <c r="BQ33" s="156">
        <v>8.34</v>
      </c>
      <c r="BR33" s="158">
        <f t="shared" si="18"/>
        <v>28582.847999999998</v>
      </c>
      <c r="BS33" s="156">
        <v>41.51</v>
      </c>
      <c r="BT33" s="159">
        <f t="shared" si="19"/>
        <v>142263.07199999999</v>
      </c>
      <c r="BU33" s="157">
        <v>3337</v>
      </c>
      <c r="BV33" s="161">
        <f t="shared" si="49"/>
        <v>11436566.399999999</v>
      </c>
      <c r="BW33" s="157" t="s">
        <v>193</v>
      </c>
      <c r="BX33" s="157">
        <f t="shared" si="20"/>
        <v>3205</v>
      </c>
      <c r="BY33" s="161">
        <f t="shared" si="50"/>
        <v>10984176</v>
      </c>
      <c r="BZ33" s="157">
        <f t="shared" si="21"/>
        <v>39.869999999999997</v>
      </c>
      <c r="CA33" s="161">
        <f t="shared" si="75"/>
        <v>136642.46399999998</v>
      </c>
      <c r="CB33" s="156">
        <f t="shared" si="23"/>
        <v>3.6300000000000008</v>
      </c>
      <c r="CC33" s="161">
        <f t="shared" si="76"/>
        <v>12440.736000000003</v>
      </c>
      <c r="CD33" s="162">
        <f t="shared" si="62"/>
        <v>3427.2</v>
      </c>
      <c r="CE33" s="163">
        <v>3.9</v>
      </c>
      <c r="CF33" s="164">
        <v>8.39</v>
      </c>
      <c r="CG33" s="165">
        <f t="shared" si="51"/>
        <v>11.96279</v>
      </c>
      <c r="CH33" s="166">
        <f t="shared" si="25"/>
        <v>40998.873887999995</v>
      </c>
      <c r="CI33" s="167">
        <v>44.09</v>
      </c>
      <c r="CJ33" s="166">
        <f>CI33*$CD33</f>
        <v>151105.24799999999</v>
      </c>
      <c r="CK33" s="168">
        <v>6.04</v>
      </c>
      <c r="CL33" s="166">
        <f t="shared" si="26"/>
        <v>20700.288</v>
      </c>
      <c r="CM33" s="167">
        <v>23.32</v>
      </c>
      <c r="CN33" s="166">
        <f t="shared" si="27"/>
        <v>79922.304000000004</v>
      </c>
      <c r="CO33" s="169">
        <f t="shared" si="28"/>
        <v>3527.0676999999996</v>
      </c>
      <c r="CP33" s="166">
        <f t="shared" si="29"/>
        <v>12087966.421439998</v>
      </c>
      <c r="CQ33" s="167">
        <v>3325</v>
      </c>
      <c r="CR33" s="166">
        <f>CQ33*$CD33</f>
        <v>11395440</v>
      </c>
      <c r="CS33" s="170">
        <f t="shared" si="30"/>
        <v>45.145795019157099</v>
      </c>
      <c r="CT33" s="166">
        <f t="shared" si="31"/>
        <v>154723.6686896552</v>
      </c>
      <c r="CU33" s="168">
        <v>3.79</v>
      </c>
      <c r="CV33" s="166">
        <f t="shared" si="77"/>
        <v>12989.088</v>
      </c>
      <c r="CW33" s="170">
        <f t="shared" si="78"/>
        <v>23.878429118773948</v>
      </c>
      <c r="CX33" s="166">
        <f t="shared" si="79"/>
        <v>81836.15227586207</v>
      </c>
      <c r="CY33" s="171">
        <f t="shared" si="80"/>
        <v>3404.6216475095789</v>
      </c>
      <c r="CZ33" s="166">
        <f t="shared" si="81"/>
        <v>11668319.310344828</v>
      </c>
      <c r="DA33" s="170" t="str">
        <f t="shared" si="83"/>
        <v>G13</v>
      </c>
      <c r="DB33" s="171">
        <f t="shared" si="38"/>
        <v>3115.4078677096641</v>
      </c>
      <c r="DC33" s="166">
        <f t="shared" si="69"/>
        <v>10677125.84421456</v>
      </c>
      <c r="DD33" s="170">
        <f t="shared" si="54"/>
        <v>41.310776808216268</v>
      </c>
      <c r="DE33" s="221">
        <f t="shared" si="55"/>
        <v>141580.29427711878</v>
      </c>
      <c r="DF33" s="222">
        <f t="shared" si="56"/>
        <v>8.1727899999999991</v>
      </c>
      <c r="DG33" s="221">
        <f t="shared" si="57"/>
        <v>28009.785887999995</v>
      </c>
      <c r="DH33" s="172">
        <f t="shared" si="40"/>
        <v>-3</v>
      </c>
      <c r="DI33" s="173">
        <f t="shared" si="85"/>
        <v>67.621647509578906</v>
      </c>
      <c r="DJ33" s="174">
        <f t="shared" si="86"/>
        <v>-4</v>
      </c>
      <c r="DK33" s="175">
        <f t="shared" si="87"/>
        <v>1113</v>
      </c>
      <c r="DL33" s="176">
        <f t="shared" si="88"/>
        <v>-4</v>
      </c>
      <c r="DM33" s="175" t="e">
        <f t="shared" si="89"/>
        <v>#VALUE!</v>
      </c>
      <c r="DN33" s="177"/>
      <c r="DO33" s="178">
        <f t="shared" si="46"/>
        <v>89.59213229033594</v>
      </c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80"/>
      <c r="EC33" s="181">
        <f t="shared" si="47"/>
        <v>-67.621647509578906</v>
      </c>
      <c r="EE33" s="181"/>
    </row>
    <row r="34" spans="1:135" s="182" customFormat="1" ht="30">
      <c r="A34" s="74">
        <v>40</v>
      </c>
      <c r="B34" s="74">
        <v>71</v>
      </c>
      <c r="C34" s="138">
        <v>45823</v>
      </c>
      <c r="D34" s="139">
        <v>151001331</v>
      </c>
      <c r="E34" s="138">
        <v>45821</v>
      </c>
      <c r="F34" s="138"/>
      <c r="G34" s="138"/>
      <c r="H34" s="140">
        <v>4136.3500000000004</v>
      </c>
      <c r="I34" s="141">
        <v>4136.3500000000004</v>
      </c>
      <c r="J34" s="142"/>
      <c r="K34" s="568"/>
      <c r="L34" s="337">
        <v>59</v>
      </c>
      <c r="M34" s="144"/>
      <c r="N34" s="144">
        <v>4136.3500000000004</v>
      </c>
      <c r="O34" s="522" t="s">
        <v>180</v>
      </c>
      <c r="P34" s="145" t="s">
        <v>71</v>
      </c>
      <c r="Q34" s="145" t="s">
        <v>52</v>
      </c>
      <c r="R34" s="145"/>
      <c r="S34" s="145" t="s">
        <v>181</v>
      </c>
      <c r="T34" s="145"/>
      <c r="U34" s="147" t="s">
        <v>188</v>
      </c>
      <c r="V34" s="147" t="s">
        <v>189</v>
      </c>
      <c r="W34" s="147">
        <v>4450</v>
      </c>
      <c r="X34" s="519">
        <v>4168.3500000000004</v>
      </c>
      <c r="Y34" s="148">
        <v>4168.3500000000004</v>
      </c>
      <c r="Z34" s="150"/>
      <c r="AA34" s="149"/>
      <c r="AB34" s="150"/>
      <c r="AC34" s="151"/>
      <c r="AD34" s="151"/>
      <c r="AE34" s="152">
        <f t="shared" si="0"/>
        <v>0</v>
      </c>
      <c r="AF34" s="151"/>
      <c r="AG34" s="152">
        <f t="shared" si="1"/>
        <v>0</v>
      </c>
      <c r="AH34" s="151"/>
      <c r="AI34" s="152">
        <f t="shared" si="2"/>
        <v>0</v>
      </c>
      <c r="AJ34" s="149"/>
      <c r="AK34" s="152">
        <f t="shared" si="70"/>
        <v>0</v>
      </c>
      <c r="AL34" s="149"/>
      <c r="AM34" s="151"/>
      <c r="AN34" s="152">
        <f t="shared" si="3"/>
        <v>0</v>
      </c>
      <c r="AO34" s="151"/>
      <c r="AP34" s="152">
        <f t="shared" si="4"/>
        <v>0</v>
      </c>
      <c r="AQ34" s="174">
        <f t="shared" si="90"/>
        <v>4450</v>
      </c>
      <c r="AR34" s="152">
        <f t="shared" si="48"/>
        <v>18406757.5</v>
      </c>
      <c r="AS34" s="149"/>
      <c r="AT34" s="149">
        <f t="shared" si="5"/>
        <v>4450</v>
      </c>
      <c r="AU34" s="152">
        <f t="shared" si="71"/>
        <v>0</v>
      </c>
      <c r="AV34" s="149">
        <f t="shared" si="72"/>
        <v>0</v>
      </c>
      <c r="AW34" s="152">
        <f t="shared" si="73"/>
        <v>0</v>
      </c>
      <c r="AX34" s="151">
        <f t="shared" si="9"/>
        <v>0</v>
      </c>
      <c r="AY34" s="152">
        <f t="shared" si="74"/>
        <v>0</v>
      </c>
      <c r="AZ34" s="153">
        <v>7</v>
      </c>
      <c r="BA34" s="153">
        <v>8.1120000000000001</v>
      </c>
      <c r="BB34" s="153"/>
      <c r="BC34" s="154">
        <f t="shared" si="11"/>
        <v>14.54416</v>
      </c>
      <c r="BD34" s="155">
        <f t="shared" si="68"/>
        <v>60159.736216000005</v>
      </c>
      <c r="BE34" s="156">
        <f t="shared" si="84"/>
        <v>4136.3500000000004</v>
      </c>
      <c r="BF34" s="157">
        <v>511</v>
      </c>
      <c r="BG34" s="157" t="s">
        <v>248</v>
      </c>
      <c r="BH34" s="156">
        <v>14.54</v>
      </c>
      <c r="BI34" s="158">
        <f t="shared" si="14"/>
        <v>60142.529000000002</v>
      </c>
      <c r="BJ34" s="156">
        <v>7.24</v>
      </c>
      <c r="BK34" s="158">
        <f t="shared" si="15"/>
        <v>29947.174000000003</v>
      </c>
      <c r="BL34" s="156">
        <v>42.63</v>
      </c>
      <c r="BM34" s="159">
        <f t="shared" si="16"/>
        <v>176332.60050000003</v>
      </c>
      <c r="BN34" s="157">
        <v>3316</v>
      </c>
      <c r="BO34" s="159">
        <f t="shared" si="17"/>
        <v>13716136.600000001</v>
      </c>
      <c r="BP34" s="160"/>
      <c r="BQ34" s="156">
        <v>5.98</v>
      </c>
      <c r="BR34" s="158">
        <f t="shared" si="18"/>
        <v>24735.373000000003</v>
      </c>
      <c r="BS34" s="156">
        <v>43.21</v>
      </c>
      <c r="BT34" s="159">
        <f t="shared" si="19"/>
        <v>178731.68350000001</v>
      </c>
      <c r="BU34" s="157">
        <v>3361</v>
      </c>
      <c r="BV34" s="161">
        <f t="shared" si="49"/>
        <v>13902272.350000001</v>
      </c>
      <c r="BW34" s="157" t="s">
        <v>193</v>
      </c>
      <c r="BX34" s="157">
        <f t="shared" si="20"/>
        <v>3055</v>
      </c>
      <c r="BY34" s="161">
        <f t="shared" si="50"/>
        <v>12636549.250000002</v>
      </c>
      <c r="BZ34" s="157">
        <f t="shared" si="21"/>
        <v>39.28</v>
      </c>
      <c r="CA34" s="161">
        <f t="shared" si="75"/>
        <v>162475.82800000001</v>
      </c>
      <c r="CB34" s="156">
        <f t="shared" si="23"/>
        <v>8.5599999999999987</v>
      </c>
      <c r="CC34" s="161">
        <f t="shared" si="76"/>
        <v>35407.155999999995</v>
      </c>
      <c r="CD34" s="162">
        <f t="shared" si="62"/>
        <v>4136.3500000000004</v>
      </c>
      <c r="CE34" s="163">
        <v>7</v>
      </c>
      <c r="CF34" s="164">
        <v>8.11</v>
      </c>
      <c r="CG34" s="165">
        <f t="shared" si="51"/>
        <v>14.542299999999999</v>
      </c>
      <c r="CH34" s="166">
        <f t="shared" si="25"/>
        <v>60152.042605000002</v>
      </c>
      <c r="CI34" s="167">
        <v>43.75</v>
      </c>
      <c r="CJ34" s="166">
        <f>CI34*$CD34</f>
        <v>180965.31250000003</v>
      </c>
      <c r="CK34" s="168">
        <v>5.9</v>
      </c>
      <c r="CL34" s="166">
        <f t="shared" si="26"/>
        <v>24404.465000000004</v>
      </c>
      <c r="CM34" s="167">
        <v>25.73</v>
      </c>
      <c r="CN34" s="166">
        <f t="shared" si="27"/>
        <v>106428.28550000001</v>
      </c>
      <c r="CO34" s="169">
        <f t="shared" si="28"/>
        <v>3579.4434999999994</v>
      </c>
      <c r="CP34" s="166">
        <f t="shared" si="29"/>
        <v>14805831.121224999</v>
      </c>
      <c r="CQ34" s="167">
        <v>3312</v>
      </c>
      <c r="CR34" s="166">
        <f>CQ34*$CD34</f>
        <v>13699591.200000001</v>
      </c>
      <c r="CS34" s="170">
        <f t="shared" si="30"/>
        <v>43.647715196599364</v>
      </c>
      <c r="CT34" s="166">
        <f t="shared" si="31"/>
        <v>180542.22675345378</v>
      </c>
      <c r="CU34" s="168">
        <v>6.12</v>
      </c>
      <c r="CV34" s="166">
        <f t="shared" si="77"/>
        <v>25314.462000000003</v>
      </c>
      <c r="CW34" s="170">
        <f t="shared" si="78"/>
        <v>25.66984484590861</v>
      </c>
      <c r="CX34" s="166">
        <f t="shared" si="79"/>
        <v>106179.46272837408</v>
      </c>
      <c r="CY34" s="171">
        <f t="shared" si="80"/>
        <v>3304.2567481402766</v>
      </c>
      <c r="CZ34" s="166">
        <f t="shared" si="81"/>
        <v>13667562.400170034</v>
      </c>
      <c r="DA34" s="170" t="str">
        <f t="shared" si="83"/>
        <v>G14</v>
      </c>
      <c r="DB34" s="171">
        <f t="shared" si="38"/>
        <v>3007.8204293304998</v>
      </c>
      <c r="DC34" s="166">
        <f t="shared" si="69"/>
        <v>12441398.032861214</v>
      </c>
      <c r="DD34" s="170">
        <f t="shared" si="54"/>
        <v>39.731927470775773</v>
      </c>
      <c r="DE34" s="221">
        <f t="shared" si="55"/>
        <v>164345.15819374338</v>
      </c>
      <c r="DF34" s="222">
        <f t="shared" si="56"/>
        <v>8.4222999999999999</v>
      </c>
      <c r="DG34" s="221">
        <f t="shared" si="57"/>
        <v>34837.580605000003</v>
      </c>
      <c r="DH34" s="172">
        <f t="shared" si="40"/>
        <v>-4</v>
      </c>
      <c r="DI34" s="173">
        <f t="shared" si="85"/>
        <v>-56.743251859723387</v>
      </c>
      <c r="DJ34" s="174">
        <f t="shared" si="86"/>
        <v>-4</v>
      </c>
      <c r="DK34" s="175">
        <f t="shared" si="87"/>
        <v>1089</v>
      </c>
      <c r="DL34" s="176">
        <f t="shared" si="88"/>
        <v>-4</v>
      </c>
      <c r="DM34" s="175" t="e">
        <f t="shared" si="89"/>
        <v>#VALUE!</v>
      </c>
      <c r="DN34" s="177"/>
      <c r="DO34" s="178">
        <f t="shared" si="46"/>
        <v>47.179570669500208</v>
      </c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80"/>
      <c r="EC34" s="181">
        <f t="shared" si="47"/>
        <v>56.743251859723387</v>
      </c>
      <c r="EE34" s="181"/>
    </row>
    <row r="35" spans="1:135" s="182" customFormat="1" ht="30">
      <c r="A35" s="74">
        <v>41</v>
      </c>
      <c r="B35" s="74">
        <v>72</v>
      </c>
      <c r="C35" s="138">
        <v>45823</v>
      </c>
      <c r="D35" s="139">
        <v>161016415</v>
      </c>
      <c r="E35" s="138">
        <v>45820</v>
      </c>
      <c r="F35" s="138"/>
      <c r="G35" s="138"/>
      <c r="H35" s="140">
        <v>3950.4</v>
      </c>
      <c r="I35" s="141">
        <v>3950.4</v>
      </c>
      <c r="J35" s="142"/>
      <c r="K35" s="568"/>
      <c r="L35" s="337">
        <v>59</v>
      </c>
      <c r="M35" s="144"/>
      <c r="N35" s="144">
        <v>3950.4</v>
      </c>
      <c r="O35" s="522" t="s">
        <v>180</v>
      </c>
      <c r="P35" s="145" t="s">
        <v>71</v>
      </c>
      <c r="Q35" s="146" t="s">
        <v>222</v>
      </c>
      <c r="R35" s="145"/>
      <c r="S35" s="145" t="s">
        <v>181</v>
      </c>
      <c r="T35" s="145"/>
      <c r="U35" s="147" t="s">
        <v>190</v>
      </c>
      <c r="V35" s="147" t="s">
        <v>194</v>
      </c>
      <c r="W35" s="147">
        <v>3550</v>
      </c>
      <c r="X35" s="519">
        <v>3977.09</v>
      </c>
      <c r="Y35" s="148">
        <v>3977.09</v>
      </c>
      <c r="Z35" s="150" t="s">
        <v>267</v>
      </c>
      <c r="AA35" s="149">
        <v>1672</v>
      </c>
      <c r="AB35" s="150" t="s">
        <v>243</v>
      </c>
      <c r="AC35" s="151">
        <v>3977.09</v>
      </c>
      <c r="AD35" s="151">
        <v>11.09</v>
      </c>
      <c r="AE35" s="152">
        <f t="shared" si="0"/>
        <v>44105.928100000005</v>
      </c>
      <c r="AF35" s="151">
        <v>6.6</v>
      </c>
      <c r="AG35" s="152">
        <f t="shared" si="1"/>
        <v>26248.793999999998</v>
      </c>
      <c r="AH35" s="151">
        <v>44.12</v>
      </c>
      <c r="AI35" s="152">
        <f t="shared" si="2"/>
        <v>175469.2108</v>
      </c>
      <c r="AJ35" s="149">
        <v>3317</v>
      </c>
      <c r="AK35" s="152">
        <f t="shared" si="70"/>
        <v>13192007.530000001</v>
      </c>
      <c r="AL35" s="149"/>
      <c r="AM35" s="151">
        <v>6.3</v>
      </c>
      <c r="AN35" s="152">
        <f t="shared" si="3"/>
        <v>25055.667000000001</v>
      </c>
      <c r="AO35" s="151">
        <v>44.26</v>
      </c>
      <c r="AP35" s="152">
        <f t="shared" si="4"/>
        <v>176026.00339999999</v>
      </c>
      <c r="AQ35" s="149">
        <v>3328</v>
      </c>
      <c r="AR35" s="152">
        <f t="shared" si="48"/>
        <v>13146931.200000001</v>
      </c>
      <c r="AS35" s="149" t="s">
        <v>193</v>
      </c>
      <c r="AT35" s="149">
        <f t="shared" si="5"/>
        <v>3158</v>
      </c>
      <c r="AU35" s="152">
        <f t="shared" si="71"/>
        <v>12559650.220000001</v>
      </c>
      <c r="AV35" s="149">
        <f t="shared" si="72"/>
        <v>42</v>
      </c>
      <c r="AW35" s="152">
        <f t="shared" si="73"/>
        <v>167037.78</v>
      </c>
      <c r="AX35" s="151">
        <f t="shared" si="9"/>
        <v>4.79</v>
      </c>
      <c r="AY35" s="152">
        <f t="shared" si="74"/>
        <v>19050.2611</v>
      </c>
      <c r="AZ35" s="153">
        <v>6.2</v>
      </c>
      <c r="BA35" s="153">
        <v>7.45</v>
      </c>
      <c r="BB35" s="153"/>
      <c r="BC35" s="154">
        <f t="shared" si="11"/>
        <v>13.188099999999999</v>
      </c>
      <c r="BD35" s="155">
        <f t="shared" si="68"/>
        <v>52098.270239999998</v>
      </c>
      <c r="BE35" s="156">
        <f t="shared" si="84"/>
        <v>3950.4</v>
      </c>
      <c r="BF35" s="157">
        <v>511</v>
      </c>
      <c r="BG35" s="157" t="s">
        <v>248</v>
      </c>
      <c r="BH35" s="156">
        <v>13.19</v>
      </c>
      <c r="BI35" s="158">
        <f t="shared" si="14"/>
        <v>52105.775999999998</v>
      </c>
      <c r="BJ35" s="156">
        <v>7.09</v>
      </c>
      <c r="BK35" s="158">
        <f t="shared" si="15"/>
        <v>28008.335999999999</v>
      </c>
      <c r="BL35" s="156">
        <v>49.98</v>
      </c>
      <c r="BM35" s="159">
        <f t="shared" si="16"/>
        <v>197440.992</v>
      </c>
      <c r="BN35" s="157">
        <v>2699</v>
      </c>
      <c r="BO35" s="159">
        <f t="shared" si="17"/>
        <v>10662129.6</v>
      </c>
      <c r="BP35" s="160"/>
      <c r="BQ35" s="156">
        <v>5.6</v>
      </c>
      <c r="BR35" s="158">
        <f t="shared" si="18"/>
        <v>22122.239999999998</v>
      </c>
      <c r="BS35" s="156">
        <v>50.78</v>
      </c>
      <c r="BT35" s="159">
        <f t="shared" si="19"/>
        <v>200601.31200000001</v>
      </c>
      <c r="BU35" s="157">
        <v>2742</v>
      </c>
      <c r="BV35" s="161">
        <f t="shared" si="49"/>
        <v>10831996.800000001</v>
      </c>
      <c r="BW35" s="157" t="s">
        <v>186</v>
      </c>
      <c r="BX35" s="157">
        <f t="shared" si="20"/>
        <v>2522</v>
      </c>
      <c r="BY35" s="161">
        <f t="shared" si="50"/>
        <v>9962908.8000000007</v>
      </c>
      <c r="BZ35" s="157">
        <f t="shared" si="21"/>
        <v>46.7</v>
      </c>
      <c r="CA35" s="161">
        <f t="shared" si="75"/>
        <v>184483.68000000002</v>
      </c>
      <c r="CB35" s="156">
        <f t="shared" si="23"/>
        <v>7.59</v>
      </c>
      <c r="CC35" s="161"/>
      <c r="CD35" s="162">
        <f t="shared" si="62"/>
        <v>3950.4</v>
      </c>
      <c r="CE35" s="163">
        <v>6.2</v>
      </c>
      <c r="CF35" s="164">
        <v>7.45</v>
      </c>
      <c r="CG35" s="165">
        <f t="shared" si="51"/>
        <v>13.188099999999999</v>
      </c>
      <c r="CH35" s="166">
        <f t="shared" si="25"/>
        <v>52098.270239999998</v>
      </c>
      <c r="CI35" s="167">
        <v>52.2</v>
      </c>
      <c r="CJ35" s="166">
        <f t="shared" ref="CJ35:CJ50" si="91">CI35*$CD35</f>
        <v>206210.88</v>
      </c>
      <c r="CK35" s="168">
        <v>4.83</v>
      </c>
      <c r="CL35" s="166">
        <f t="shared" si="26"/>
        <v>19080.432000000001</v>
      </c>
      <c r="CM35" s="167">
        <v>21.32</v>
      </c>
      <c r="CN35" s="166">
        <f t="shared" si="27"/>
        <v>84222.528000000006</v>
      </c>
      <c r="CO35" s="169">
        <f t="shared" si="28"/>
        <v>2939.9631999999992</v>
      </c>
      <c r="CP35" s="166">
        <f t="shared" si="29"/>
        <v>11614030.625279997</v>
      </c>
      <c r="CQ35" s="167">
        <v>2758</v>
      </c>
      <c r="CR35" s="166">
        <f t="shared" ref="CR35:CR50" si="92">CQ35*$CD35</f>
        <v>10895203.200000001</v>
      </c>
      <c r="CS35" s="170">
        <f t="shared" si="30"/>
        <v>53.137921613953978</v>
      </c>
      <c r="CT35" s="166">
        <f t="shared" si="31"/>
        <v>209916.04554376379</v>
      </c>
      <c r="CU35" s="168">
        <v>3.12</v>
      </c>
      <c r="CV35" s="166">
        <f t="shared" si="77"/>
        <v>12325.248000000001</v>
      </c>
      <c r="CW35" s="170">
        <f t="shared" si="78"/>
        <v>21.703074498266261</v>
      </c>
      <c r="CX35" s="166">
        <f t="shared" si="79"/>
        <v>85735.825497951038</v>
      </c>
      <c r="CY35" s="171">
        <f t="shared" si="80"/>
        <v>2807.5553220552697</v>
      </c>
      <c r="CZ35" s="166">
        <f t="shared" si="81"/>
        <v>11090966.544247137</v>
      </c>
      <c r="DA35" s="170" t="str">
        <f t="shared" si="83"/>
        <v>G15</v>
      </c>
      <c r="DB35" s="171">
        <f t="shared" si="38"/>
        <v>2515.7845980876332</v>
      </c>
      <c r="DC35" s="166">
        <f t="shared" si="69"/>
        <v>9938355.4762853868</v>
      </c>
      <c r="DD35" s="170">
        <f t="shared" si="54"/>
        <v>47.61564757801829</v>
      </c>
      <c r="DE35" s="221">
        <f t="shared" si="55"/>
        <v>188100.85419220346</v>
      </c>
      <c r="DF35" s="222">
        <f t="shared" si="56"/>
        <v>10.068099999999998</v>
      </c>
      <c r="DG35" s="221">
        <f t="shared" si="57"/>
        <v>39773.022239999991</v>
      </c>
      <c r="DH35" s="172">
        <f t="shared" si="40"/>
        <v>-2</v>
      </c>
      <c r="DI35" s="173"/>
      <c r="DJ35" s="174"/>
      <c r="DK35" s="175"/>
      <c r="DL35" s="176"/>
      <c r="DM35" s="175"/>
      <c r="DN35" s="177"/>
      <c r="DO35" s="178">
        <f t="shared" si="46"/>
        <v>6.2154019123668149</v>
      </c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80"/>
      <c r="EC35" s="181">
        <f t="shared" si="47"/>
        <v>-65.555322055269698</v>
      </c>
      <c r="EE35" s="181"/>
    </row>
    <row r="36" spans="1:135" s="182" customFormat="1" ht="30">
      <c r="A36" s="74">
        <v>43</v>
      </c>
      <c r="B36" s="74">
        <v>76</v>
      </c>
      <c r="C36" s="138">
        <v>45823</v>
      </c>
      <c r="D36" s="139">
        <v>161002569</v>
      </c>
      <c r="E36" s="138">
        <v>45822</v>
      </c>
      <c r="F36" s="138"/>
      <c r="G36" s="138"/>
      <c r="H36" s="140">
        <v>3753.6</v>
      </c>
      <c r="I36" s="141">
        <v>3753.6</v>
      </c>
      <c r="J36" s="142"/>
      <c r="K36" s="568"/>
      <c r="L36" s="337">
        <v>58</v>
      </c>
      <c r="M36" s="144"/>
      <c r="N36" s="144">
        <v>3753.6</v>
      </c>
      <c r="O36" s="522" t="s">
        <v>180</v>
      </c>
      <c r="P36" s="145" t="s">
        <v>72</v>
      </c>
      <c r="Q36" s="146" t="s">
        <v>231</v>
      </c>
      <c r="R36" s="145"/>
      <c r="S36" s="145" t="s">
        <v>181</v>
      </c>
      <c r="T36" s="145"/>
      <c r="U36" s="147" t="s">
        <v>182</v>
      </c>
      <c r="V36" s="147" t="s">
        <v>183</v>
      </c>
      <c r="W36" s="147">
        <v>4150</v>
      </c>
      <c r="X36" s="519">
        <v>3791.93</v>
      </c>
      <c r="Y36" s="148">
        <v>3791.93</v>
      </c>
      <c r="Z36" s="150"/>
      <c r="AA36" s="149"/>
      <c r="AB36" s="150"/>
      <c r="AC36" s="151"/>
      <c r="AD36" s="151"/>
      <c r="AE36" s="152">
        <f t="shared" si="0"/>
        <v>0</v>
      </c>
      <c r="AF36" s="151"/>
      <c r="AG36" s="152">
        <f t="shared" si="1"/>
        <v>0</v>
      </c>
      <c r="AH36" s="151"/>
      <c r="AI36" s="152">
        <f t="shared" si="2"/>
        <v>0</v>
      </c>
      <c r="AJ36" s="149"/>
      <c r="AK36" s="152">
        <f t="shared" si="70"/>
        <v>0</v>
      </c>
      <c r="AL36" s="149"/>
      <c r="AM36" s="151"/>
      <c r="AN36" s="152">
        <f t="shared" si="3"/>
        <v>0</v>
      </c>
      <c r="AO36" s="151"/>
      <c r="AP36" s="152">
        <f t="shared" si="4"/>
        <v>0</v>
      </c>
      <c r="AQ36" s="174">
        <f t="shared" ref="AQ36" si="93">W36</f>
        <v>4150</v>
      </c>
      <c r="AR36" s="152">
        <f t="shared" si="48"/>
        <v>15577440</v>
      </c>
      <c r="AS36" s="149"/>
      <c r="AT36" s="149">
        <f t="shared" si="5"/>
        <v>4150</v>
      </c>
      <c r="AU36" s="152">
        <f t="shared" si="71"/>
        <v>0</v>
      </c>
      <c r="AV36" s="149">
        <f t="shared" si="72"/>
        <v>0</v>
      </c>
      <c r="AW36" s="152">
        <f t="shared" si="73"/>
        <v>0</v>
      </c>
      <c r="AX36" s="151">
        <f t="shared" si="9"/>
        <v>0</v>
      </c>
      <c r="AY36" s="152">
        <f t="shared" si="74"/>
        <v>0</v>
      </c>
      <c r="AZ36" s="153">
        <v>5.7</v>
      </c>
      <c r="BA36" s="153">
        <v>9.4459999999999997</v>
      </c>
      <c r="BB36" s="153"/>
      <c r="BC36" s="154">
        <f t="shared" si="11"/>
        <v>14.607578</v>
      </c>
      <c r="BD36" s="155">
        <f t="shared" si="68"/>
        <v>54831.004780800002</v>
      </c>
      <c r="BE36" s="156">
        <f t="shared" si="84"/>
        <v>3753.6</v>
      </c>
      <c r="BF36" s="157">
        <v>512</v>
      </c>
      <c r="BG36" s="157" t="s">
        <v>248</v>
      </c>
      <c r="BH36" s="156">
        <v>14.61</v>
      </c>
      <c r="BI36" s="158">
        <f t="shared" si="14"/>
        <v>54840.095999999998</v>
      </c>
      <c r="BJ36" s="156">
        <v>7.5</v>
      </c>
      <c r="BK36" s="158">
        <f t="shared" si="15"/>
        <v>28152</v>
      </c>
      <c r="BL36" s="156">
        <v>38.450000000000003</v>
      </c>
      <c r="BM36" s="159">
        <f t="shared" si="16"/>
        <v>144325.92000000001</v>
      </c>
      <c r="BN36" s="157">
        <v>3562</v>
      </c>
      <c r="BO36" s="159">
        <f t="shared" si="17"/>
        <v>13370323.199999999</v>
      </c>
      <c r="BP36" s="160"/>
      <c r="BQ36" s="156">
        <v>6.18</v>
      </c>
      <c r="BR36" s="158">
        <f t="shared" si="18"/>
        <v>23197.248</v>
      </c>
      <c r="BS36" s="156">
        <v>39</v>
      </c>
      <c r="BT36" s="159">
        <f t="shared" si="19"/>
        <v>146390.39999999999</v>
      </c>
      <c r="BU36" s="157">
        <v>3613</v>
      </c>
      <c r="BV36" s="161">
        <f t="shared" si="49"/>
        <v>13561756.799999999</v>
      </c>
      <c r="BW36" s="157" t="s">
        <v>190</v>
      </c>
      <c r="BX36" s="157">
        <f t="shared" si="20"/>
        <v>3288</v>
      </c>
      <c r="BY36" s="161">
        <f t="shared" si="50"/>
        <v>12341836.799999999</v>
      </c>
      <c r="BZ36" s="157">
        <f t="shared" si="21"/>
        <v>35.5</v>
      </c>
      <c r="CA36" s="161">
        <f t="shared" si="75"/>
        <v>133252.79999999999</v>
      </c>
      <c r="CB36" s="156">
        <f t="shared" si="23"/>
        <v>8.43</v>
      </c>
      <c r="CC36" s="161">
        <f t="shared" ref="CC36:CC62" si="94">CB36*$BE36</f>
        <v>31642.847999999998</v>
      </c>
      <c r="CD36" s="162">
        <f t="shared" si="62"/>
        <v>3753.6</v>
      </c>
      <c r="CE36" s="163">
        <v>5.7</v>
      </c>
      <c r="CF36" s="164">
        <v>9.4499999999999993</v>
      </c>
      <c r="CG36" s="165">
        <f t="shared" si="51"/>
        <v>14.611349999999998</v>
      </c>
      <c r="CH36" s="166">
        <f t="shared" si="25"/>
        <v>54845.163359999991</v>
      </c>
      <c r="CI36" s="167">
        <v>42.2</v>
      </c>
      <c r="CJ36" s="166">
        <f t="shared" si="91"/>
        <v>158401.92000000001</v>
      </c>
      <c r="CK36" s="168">
        <v>4.6500000000000004</v>
      </c>
      <c r="CL36" s="166">
        <f t="shared" si="26"/>
        <v>17454.240000000002</v>
      </c>
      <c r="CM36" s="167">
        <v>23.36</v>
      </c>
      <c r="CN36" s="166">
        <f t="shared" si="27"/>
        <v>87684.09599999999</v>
      </c>
      <c r="CO36" s="169">
        <f t="shared" si="28"/>
        <v>3907.2639999999992</v>
      </c>
      <c r="CP36" s="166">
        <f t="shared" si="29"/>
        <v>14666306.150399996</v>
      </c>
      <c r="CQ36" s="167">
        <v>3509</v>
      </c>
      <c r="CR36" s="166">
        <f t="shared" si="92"/>
        <v>13171382.4</v>
      </c>
      <c r="CS36" s="170">
        <f t="shared" si="30"/>
        <v>42.841740954378608</v>
      </c>
      <c r="CT36" s="166">
        <f t="shared" si="31"/>
        <v>160810.75884635554</v>
      </c>
      <c r="CU36" s="168">
        <v>3.2</v>
      </c>
      <c r="CV36" s="166">
        <f t="shared" si="77"/>
        <v>12011.52</v>
      </c>
      <c r="CW36" s="170">
        <f t="shared" si="78"/>
        <v>23.715238594651286</v>
      </c>
      <c r="CX36" s="166">
        <f t="shared" si="79"/>
        <v>89017.519588883064</v>
      </c>
      <c r="CY36" s="171">
        <f t="shared" si="80"/>
        <v>3562.3618248557946</v>
      </c>
      <c r="CZ36" s="166">
        <f t="shared" si="81"/>
        <v>13371681.345778709</v>
      </c>
      <c r="DA36" s="170" t="str">
        <f t="shared" si="83"/>
        <v>G13</v>
      </c>
      <c r="DB36" s="171">
        <f t="shared" si="38"/>
        <v>3142.4097834294707</v>
      </c>
      <c r="DC36" s="166">
        <f t="shared" si="69"/>
        <v>11795349.363080861</v>
      </c>
      <c r="DD36" s="170">
        <f t="shared" si="54"/>
        <v>37.791306030414269</v>
      </c>
      <c r="DE36" s="221">
        <f t="shared" si="55"/>
        <v>141853.44631576299</v>
      </c>
      <c r="DF36" s="222">
        <f t="shared" si="56"/>
        <v>11.411349999999999</v>
      </c>
      <c r="DG36" s="221">
        <f t="shared" si="57"/>
        <v>42833.643359999995</v>
      </c>
      <c r="DH36" s="172">
        <f t="shared" si="40"/>
        <v>-2</v>
      </c>
      <c r="DI36" s="173">
        <f t="shared" ref="DI36:DI61" si="95">$CY36-$BU36</f>
        <v>-50.638175144205434</v>
      </c>
      <c r="DJ36" s="174">
        <f t="shared" ref="DJ36:DJ61" si="96">MID(U36,2,LEN(U36))-MID(BW36,2,LEN(BW36))</f>
        <v>-2</v>
      </c>
      <c r="DK36" s="175">
        <f t="shared" ref="DK36:DK61" si="97">$AQ36-$BU36</f>
        <v>537</v>
      </c>
      <c r="DL36" s="176">
        <f t="shared" ref="DL36:DL61" si="98">MID(U36,2,LEN(U36))-MID(BW36,2,LEN(BW36))</f>
        <v>-2</v>
      </c>
      <c r="DM36" s="175" t="e">
        <f t="shared" ref="DM36:DM61" si="99">MID(U36,2,LEN(U36))-MID(AS36,2,LEN(AS36))</f>
        <v>#VALUE!</v>
      </c>
      <c r="DN36" s="177"/>
      <c r="DO36" s="178">
        <f t="shared" si="46"/>
        <v>145.59021657052926</v>
      </c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80"/>
      <c r="EC36" s="181">
        <f t="shared" si="47"/>
        <v>50.638175144205434</v>
      </c>
      <c r="EE36" s="181"/>
    </row>
    <row r="37" spans="1:135" s="182" customFormat="1" ht="30">
      <c r="A37" s="74">
        <v>44</v>
      </c>
      <c r="B37" s="74">
        <v>77</v>
      </c>
      <c r="C37" s="138">
        <v>45823</v>
      </c>
      <c r="D37" s="139">
        <v>151001334</v>
      </c>
      <c r="E37" s="138">
        <v>45821</v>
      </c>
      <c r="F37" s="138"/>
      <c r="G37" s="138"/>
      <c r="H37" s="140">
        <v>3917</v>
      </c>
      <c r="I37" s="141">
        <v>3917</v>
      </c>
      <c r="J37" s="142"/>
      <c r="K37" s="568"/>
      <c r="L37" s="337">
        <v>58</v>
      </c>
      <c r="M37" s="144"/>
      <c r="N37" s="144">
        <v>3917</v>
      </c>
      <c r="O37" s="522" t="s">
        <v>180</v>
      </c>
      <c r="P37" s="145" t="s">
        <v>71</v>
      </c>
      <c r="Q37" s="146" t="s">
        <v>52</v>
      </c>
      <c r="R37" s="145"/>
      <c r="S37" s="145" t="s">
        <v>181</v>
      </c>
      <c r="T37" s="145"/>
      <c r="U37" s="147" t="s">
        <v>190</v>
      </c>
      <c r="V37" s="147" t="s">
        <v>194</v>
      </c>
      <c r="W37" s="147">
        <v>3550</v>
      </c>
      <c r="X37" s="526">
        <v>3944.22</v>
      </c>
      <c r="Y37" s="148">
        <v>4168.3500000000004</v>
      </c>
      <c r="Z37" s="150" t="s">
        <v>253</v>
      </c>
      <c r="AA37" s="149">
        <v>1688</v>
      </c>
      <c r="AB37" s="150" t="s">
        <v>249</v>
      </c>
      <c r="AC37" s="151">
        <v>3944.22</v>
      </c>
      <c r="AD37" s="151">
        <v>10.37</v>
      </c>
      <c r="AE37" s="152">
        <f t="shared" si="0"/>
        <v>40901.561399999991</v>
      </c>
      <c r="AF37" s="151">
        <v>8</v>
      </c>
      <c r="AG37" s="152">
        <f t="shared" si="1"/>
        <v>31553.759999999998</v>
      </c>
      <c r="AH37" s="151">
        <v>41.62</v>
      </c>
      <c r="AI37" s="152">
        <f t="shared" si="2"/>
        <v>164158.43639999998</v>
      </c>
      <c r="AJ37" s="149">
        <v>3519</v>
      </c>
      <c r="AK37" s="152">
        <f t="shared" si="70"/>
        <v>13879710.18</v>
      </c>
      <c r="AL37" s="149"/>
      <c r="AM37" s="151">
        <v>9.73</v>
      </c>
      <c r="AN37" s="152">
        <f t="shared" si="3"/>
        <v>38377.260600000001</v>
      </c>
      <c r="AO37" s="151">
        <v>40.840000000000003</v>
      </c>
      <c r="AP37" s="152">
        <f t="shared" si="4"/>
        <v>161081.9448</v>
      </c>
      <c r="AQ37" s="149">
        <v>3453</v>
      </c>
      <c r="AR37" s="152">
        <f t="shared" si="48"/>
        <v>13525401</v>
      </c>
      <c r="AS37" s="149" t="s">
        <v>190</v>
      </c>
      <c r="AT37" s="149">
        <f t="shared" si="5"/>
        <v>3429</v>
      </c>
      <c r="AU37" s="152">
        <f t="shared" si="71"/>
        <v>13524730.379999999</v>
      </c>
      <c r="AV37" s="149">
        <f t="shared" si="7"/>
        <v>40.549999999999997</v>
      </c>
      <c r="AW37" s="152">
        <f t="shared" si="73"/>
        <v>159938.12099999998</v>
      </c>
      <c r="AX37" s="151">
        <f t="shared" si="9"/>
        <v>0.63999999999999879</v>
      </c>
      <c r="AY37" s="152">
        <f t="shared" si="74"/>
        <v>2524.300799999995</v>
      </c>
      <c r="AZ37" s="153">
        <v>5.0999999999999996</v>
      </c>
      <c r="BA37" s="153">
        <v>9.7729999999999997</v>
      </c>
      <c r="BB37" s="153"/>
      <c r="BC37" s="154">
        <f t="shared" si="11"/>
        <v>14.374576999999999</v>
      </c>
      <c r="BD37" s="155">
        <f t="shared" si="68"/>
        <v>56305.218108999994</v>
      </c>
      <c r="BE37" s="156">
        <f t="shared" si="84"/>
        <v>3917</v>
      </c>
      <c r="BF37" s="157">
        <v>512</v>
      </c>
      <c r="BG37" s="157" t="s">
        <v>248</v>
      </c>
      <c r="BH37" s="156">
        <v>14.37</v>
      </c>
      <c r="BI37" s="158">
        <f t="shared" si="14"/>
        <v>56287.289999999994</v>
      </c>
      <c r="BJ37" s="156">
        <v>6.14</v>
      </c>
      <c r="BK37" s="158">
        <f t="shared" si="15"/>
        <v>24050.379999999997</v>
      </c>
      <c r="BL37" s="156">
        <v>44.36</v>
      </c>
      <c r="BM37" s="159">
        <f t="shared" si="16"/>
        <v>173758.12</v>
      </c>
      <c r="BN37" s="157">
        <v>3159</v>
      </c>
      <c r="BO37" s="159">
        <f t="shared" si="17"/>
        <v>12373803</v>
      </c>
      <c r="BP37" s="160"/>
      <c r="BQ37" s="156">
        <v>5.39</v>
      </c>
      <c r="BR37" s="158">
        <f t="shared" si="18"/>
        <v>21112.629999999997</v>
      </c>
      <c r="BS37" s="156">
        <v>45</v>
      </c>
      <c r="BT37" s="159">
        <f t="shared" si="19"/>
        <v>176265</v>
      </c>
      <c r="BU37" s="157">
        <v>3205</v>
      </c>
      <c r="BV37" s="161">
        <f t="shared" si="49"/>
        <v>12553985</v>
      </c>
      <c r="BW37" s="157" t="s">
        <v>193</v>
      </c>
      <c r="BX37" s="157">
        <f t="shared" si="20"/>
        <v>2901</v>
      </c>
      <c r="BY37" s="161">
        <f t="shared" si="50"/>
        <v>11363217</v>
      </c>
      <c r="BZ37" s="157">
        <f t="shared" si="21"/>
        <v>40.729999999999997</v>
      </c>
      <c r="CA37" s="161">
        <f t="shared" si="75"/>
        <v>159539.40999999997</v>
      </c>
      <c r="CB37" s="156">
        <f t="shared" si="23"/>
        <v>8.98</v>
      </c>
      <c r="CC37" s="161">
        <f t="shared" si="94"/>
        <v>35174.660000000003</v>
      </c>
      <c r="CD37" s="162">
        <f t="shared" si="62"/>
        <v>3917</v>
      </c>
      <c r="CE37" s="163">
        <v>5.0999999999999996</v>
      </c>
      <c r="CF37" s="164">
        <v>9.77</v>
      </c>
      <c r="CG37" s="165">
        <f t="shared" si="51"/>
        <v>14.371729999999999</v>
      </c>
      <c r="CH37" s="166">
        <f t="shared" si="25"/>
        <v>56294.066409999999</v>
      </c>
      <c r="CI37" s="167">
        <v>47.14</v>
      </c>
      <c r="CJ37" s="166">
        <f t="shared" si="91"/>
        <v>184647.38</v>
      </c>
      <c r="CK37" s="168">
        <v>5.13</v>
      </c>
      <c r="CL37" s="166">
        <f t="shared" si="26"/>
        <v>20094.21</v>
      </c>
      <c r="CM37" s="167">
        <v>23.81</v>
      </c>
      <c r="CN37" s="166">
        <f t="shared" si="27"/>
        <v>93263.76999999999</v>
      </c>
      <c r="CO37" s="169">
        <f t="shared" si="28"/>
        <v>3372.4917999999998</v>
      </c>
      <c r="CP37" s="166">
        <f t="shared" si="29"/>
        <v>13210050.3806</v>
      </c>
      <c r="CQ37" s="167">
        <v>3218</v>
      </c>
      <c r="CR37" s="166">
        <f t="shared" si="92"/>
        <v>12604906</v>
      </c>
      <c r="CS37" s="170">
        <f t="shared" si="30"/>
        <v>47.949931485190262</v>
      </c>
      <c r="CT37" s="166">
        <f t="shared" si="31"/>
        <v>187819.88162749025</v>
      </c>
      <c r="CU37" s="168">
        <v>3.5</v>
      </c>
      <c r="CV37" s="166">
        <f t="shared" si="77"/>
        <v>13709.5</v>
      </c>
      <c r="CW37" s="170">
        <f t="shared" si="78"/>
        <v>24.219089280067458</v>
      </c>
      <c r="CX37" s="166">
        <f t="shared" si="79"/>
        <v>94866.172710024228</v>
      </c>
      <c r="CY37" s="171">
        <f t="shared" si="80"/>
        <v>3273.289764941499</v>
      </c>
      <c r="CZ37" s="166">
        <f t="shared" si="81"/>
        <v>12821476.009275852</v>
      </c>
      <c r="DA37" s="170" t="str">
        <f t="shared" si="83"/>
        <v>G14</v>
      </c>
      <c r="DB37" s="171">
        <f t="shared" si="38"/>
        <v>2904.5195832191421</v>
      </c>
      <c r="DC37" s="166">
        <f t="shared" si="69"/>
        <v>11377003.20746938</v>
      </c>
      <c r="DD37" s="170">
        <f t="shared" si="54"/>
        <v>42.547872328449458</v>
      </c>
      <c r="DE37" s="221">
        <f t="shared" si="55"/>
        <v>166660.01591053652</v>
      </c>
      <c r="DF37" s="222">
        <f t="shared" si="56"/>
        <v>10.871729999999999</v>
      </c>
      <c r="DG37" s="221">
        <f t="shared" si="57"/>
        <v>42584.566409999999</v>
      </c>
      <c r="DH37" s="172">
        <f t="shared" si="40"/>
        <v>-1</v>
      </c>
      <c r="DI37" s="173">
        <f t="shared" si="95"/>
        <v>68.289764941499016</v>
      </c>
      <c r="DJ37" s="174">
        <f t="shared" si="96"/>
        <v>-1</v>
      </c>
      <c r="DK37" s="175">
        <f t="shared" si="97"/>
        <v>248</v>
      </c>
      <c r="DL37" s="176">
        <f t="shared" si="98"/>
        <v>-1</v>
      </c>
      <c r="DM37" s="175">
        <f t="shared" si="99"/>
        <v>0</v>
      </c>
      <c r="DN37" s="177"/>
      <c r="DO37" s="178">
        <f t="shared" si="46"/>
        <v>-3.5195832191420777</v>
      </c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80"/>
      <c r="EC37" s="181">
        <f t="shared" si="47"/>
        <v>-68.289764941499016</v>
      </c>
      <c r="EE37" s="181"/>
    </row>
    <row r="38" spans="1:135" s="182" customFormat="1" ht="30">
      <c r="A38" s="74">
        <v>46</v>
      </c>
      <c r="B38" s="174">
        <v>83</v>
      </c>
      <c r="C38" s="138">
        <v>45825</v>
      </c>
      <c r="D38" s="139">
        <v>162000387</v>
      </c>
      <c r="E38" s="138">
        <v>45823</v>
      </c>
      <c r="F38" s="138"/>
      <c r="G38" s="138"/>
      <c r="H38" s="647">
        <f>1951.25+1850.85</f>
        <v>3802.1</v>
      </c>
      <c r="I38" s="141">
        <v>1852.16</v>
      </c>
      <c r="J38" s="142">
        <f>(Y38/X38)*100</f>
        <v>48.714052300315089</v>
      </c>
      <c r="K38" s="143">
        <f>ROUND(((J38*H38)/100),2)</f>
        <v>1852.16</v>
      </c>
      <c r="L38" s="650">
        <v>57</v>
      </c>
      <c r="M38" s="144"/>
      <c r="N38" s="144">
        <v>1852.16</v>
      </c>
      <c r="O38" s="522" t="s">
        <v>180</v>
      </c>
      <c r="P38" s="145" t="s">
        <v>68</v>
      </c>
      <c r="Q38" s="146" t="s">
        <v>62</v>
      </c>
      <c r="R38" s="145"/>
      <c r="S38" s="145" t="s">
        <v>181</v>
      </c>
      <c r="T38" s="145"/>
      <c r="U38" s="147" t="s">
        <v>182</v>
      </c>
      <c r="V38" s="147" t="s">
        <v>183</v>
      </c>
      <c r="W38" s="147">
        <v>4150</v>
      </c>
      <c r="X38" s="653">
        <v>3849.69</v>
      </c>
      <c r="Y38" s="148">
        <v>1875.34</v>
      </c>
      <c r="Z38" s="150"/>
      <c r="AA38" s="149"/>
      <c r="AB38" s="150"/>
      <c r="AC38" s="151"/>
      <c r="AD38" s="151"/>
      <c r="AE38" s="152">
        <f t="shared" si="0"/>
        <v>0</v>
      </c>
      <c r="AF38" s="151"/>
      <c r="AG38" s="152">
        <f t="shared" si="1"/>
        <v>0</v>
      </c>
      <c r="AH38" s="151"/>
      <c r="AI38" s="152">
        <f t="shared" si="2"/>
        <v>0</v>
      </c>
      <c r="AJ38" s="149"/>
      <c r="AK38" s="152">
        <f t="shared" si="70"/>
        <v>0</v>
      </c>
      <c r="AL38" s="149"/>
      <c r="AM38" s="151"/>
      <c r="AN38" s="152">
        <f t="shared" si="3"/>
        <v>0</v>
      </c>
      <c r="AO38" s="151"/>
      <c r="AP38" s="152">
        <f t="shared" si="4"/>
        <v>0</v>
      </c>
      <c r="AQ38" s="174">
        <f t="shared" ref="AQ38:AQ41" si="100">W38</f>
        <v>4150</v>
      </c>
      <c r="AR38" s="152">
        <f t="shared" si="48"/>
        <v>7686464</v>
      </c>
      <c r="AS38" s="149"/>
      <c r="AT38" s="149">
        <f t="shared" si="5"/>
        <v>4150</v>
      </c>
      <c r="AU38" s="152">
        <f t="shared" si="71"/>
        <v>0</v>
      </c>
      <c r="AV38" s="149">
        <f t="shared" si="7"/>
        <v>0</v>
      </c>
      <c r="AW38" s="152">
        <f t="shared" si="73"/>
        <v>0</v>
      </c>
      <c r="AX38" s="151">
        <f t="shared" si="9"/>
        <v>0</v>
      </c>
      <c r="AY38" s="152">
        <f t="shared" si="74"/>
        <v>0</v>
      </c>
      <c r="AZ38" s="153">
        <v>3.1</v>
      </c>
      <c r="BA38" s="153">
        <v>9.57</v>
      </c>
      <c r="BB38" s="153"/>
      <c r="BC38" s="154">
        <f t="shared" si="11"/>
        <v>12.373329999999999</v>
      </c>
      <c r="BD38" s="155">
        <f t="shared" si="68"/>
        <v>22917.386892800001</v>
      </c>
      <c r="BE38" s="156">
        <f t="shared" si="84"/>
        <v>1852.16</v>
      </c>
      <c r="BF38" s="157">
        <v>513</v>
      </c>
      <c r="BG38" s="157" t="s">
        <v>249</v>
      </c>
      <c r="BH38" s="156">
        <v>12.37</v>
      </c>
      <c r="BI38" s="158">
        <f t="shared" si="14"/>
        <v>22911.2192</v>
      </c>
      <c r="BJ38" s="156">
        <v>6.14</v>
      </c>
      <c r="BK38" s="158">
        <f t="shared" si="15"/>
        <v>11372.2624</v>
      </c>
      <c r="BL38" s="156">
        <v>55.4</v>
      </c>
      <c r="BM38" s="159">
        <f t="shared" si="16"/>
        <v>102609.664</v>
      </c>
      <c r="BN38" s="157">
        <v>2396</v>
      </c>
      <c r="BO38" s="159">
        <f t="shared" si="17"/>
        <v>4437775.3600000003</v>
      </c>
      <c r="BP38" s="160"/>
      <c r="BQ38" s="156">
        <v>5.48</v>
      </c>
      <c r="BR38" s="158">
        <f t="shared" si="18"/>
        <v>10149.836800000001</v>
      </c>
      <c r="BS38" s="156">
        <v>55.79</v>
      </c>
      <c r="BT38" s="159">
        <f t="shared" si="19"/>
        <v>103332.0064</v>
      </c>
      <c r="BU38" s="157">
        <v>2413</v>
      </c>
      <c r="BV38" s="161">
        <f t="shared" si="49"/>
        <v>4469262.08</v>
      </c>
      <c r="BW38" s="157" t="s">
        <v>223</v>
      </c>
      <c r="BX38" s="157">
        <f t="shared" si="20"/>
        <v>2237</v>
      </c>
      <c r="BY38" s="161">
        <f t="shared" si="50"/>
        <v>4143281.9200000004</v>
      </c>
      <c r="BZ38" s="157">
        <f t="shared" si="21"/>
        <v>51.72</v>
      </c>
      <c r="CA38" s="161">
        <f t="shared" si="75"/>
        <v>95793.715200000006</v>
      </c>
      <c r="CB38" s="156">
        <f t="shared" si="23"/>
        <v>6.8899999999999988</v>
      </c>
      <c r="CC38" s="161">
        <f t="shared" si="94"/>
        <v>12761.382399999999</v>
      </c>
      <c r="CD38" s="162">
        <f t="shared" si="62"/>
        <v>1852.16</v>
      </c>
      <c r="CE38" s="163">
        <v>3.1</v>
      </c>
      <c r="CF38" s="164">
        <v>9.57</v>
      </c>
      <c r="CG38" s="165">
        <f t="shared" si="51"/>
        <v>12.373329999999999</v>
      </c>
      <c r="CH38" s="166">
        <f t="shared" si="25"/>
        <v>22917.386892800001</v>
      </c>
      <c r="CI38" s="167">
        <v>55.33</v>
      </c>
      <c r="CJ38" s="166">
        <f t="shared" si="91"/>
        <v>102480.0128</v>
      </c>
      <c r="CK38" s="168">
        <v>4.28</v>
      </c>
      <c r="CL38" s="166">
        <f t="shared" si="26"/>
        <v>7927.2448000000004</v>
      </c>
      <c r="CM38" s="167">
        <v>20</v>
      </c>
      <c r="CN38" s="166">
        <f t="shared" si="27"/>
        <v>37043.200000000004</v>
      </c>
      <c r="CO38" s="169">
        <f t="shared" si="28"/>
        <v>2725.4569000000001</v>
      </c>
      <c r="CP38" s="166">
        <f t="shared" si="29"/>
        <v>5047982.2519040005</v>
      </c>
      <c r="CQ38" s="167">
        <v>2443</v>
      </c>
      <c r="CR38" s="166">
        <f t="shared" si="92"/>
        <v>4524826.88</v>
      </c>
      <c r="CS38" s="170">
        <f t="shared" si="30"/>
        <v>55.607459256163814</v>
      </c>
      <c r="CT38" s="166">
        <f t="shared" si="31"/>
        <v>102993.91173589637</v>
      </c>
      <c r="CU38" s="168">
        <v>3.8</v>
      </c>
      <c r="CV38" s="166">
        <f t="shared" si="77"/>
        <v>7038.2079999999996</v>
      </c>
      <c r="CW38" s="170">
        <f t="shared" si="78"/>
        <v>20.100292519849564</v>
      </c>
      <c r="CX38" s="166">
        <f t="shared" si="79"/>
        <v>37228.957793564572</v>
      </c>
      <c r="CY38" s="171">
        <f t="shared" si="80"/>
        <v>2455.250731299624</v>
      </c>
      <c r="CZ38" s="166">
        <f t="shared" si="81"/>
        <v>4547517.1944839116</v>
      </c>
      <c r="DA38" s="170" t="str">
        <f t="shared" si="83"/>
        <v>G17</v>
      </c>
      <c r="DB38" s="171">
        <f t="shared" si="38"/>
        <v>2236.4391434391978</v>
      </c>
      <c r="DC38" s="166">
        <f t="shared" si="69"/>
        <v>4142243.1239123447</v>
      </c>
      <c r="DD38" s="170">
        <f t="shared" si="54"/>
        <v>50.651730579816132</v>
      </c>
      <c r="DE38" s="221">
        <f t="shared" si="55"/>
        <v>93815.109310712258</v>
      </c>
      <c r="DF38" s="222">
        <f t="shared" si="56"/>
        <v>8.5733299999999986</v>
      </c>
      <c r="DG38" s="221">
        <f t="shared" si="57"/>
        <v>15879.178892799999</v>
      </c>
      <c r="DH38" s="172">
        <f t="shared" si="40"/>
        <v>-6</v>
      </c>
      <c r="DI38" s="173">
        <f t="shared" si="95"/>
        <v>42.250731299624022</v>
      </c>
      <c r="DJ38" s="174">
        <f t="shared" si="96"/>
        <v>-6</v>
      </c>
      <c r="DK38" s="175">
        <f t="shared" si="97"/>
        <v>1737</v>
      </c>
      <c r="DL38" s="176">
        <f t="shared" si="98"/>
        <v>-6</v>
      </c>
      <c r="DM38" s="175" t="e">
        <f t="shared" si="99"/>
        <v>#VALUE!</v>
      </c>
      <c r="DN38" s="177"/>
      <c r="DO38" s="178">
        <f t="shared" si="46"/>
        <v>0.56085656080222179</v>
      </c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80"/>
      <c r="EC38" s="181">
        <f t="shared" si="47"/>
        <v>-42.250731299624022</v>
      </c>
      <c r="EE38" s="181"/>
    </row>
    <row r="39" spans="1:135" s="182" customFormat="1" ht="30">
      <c r="A39" s="74">
        <v>47</v>
      </c>
      <c r="B39" s="174">
        <v>83</v>
      </c>
      <c r="C39" s="138">
        <v>45825</v>
      </c>
      <c r="D39" s="139">
        <v>162000387</v>
      </c>
      <c r="E39" s="138">
        <v>45823</v>
      </c>
      <c r="F39" s="138"/>
      <c r="G39" s="138"/>
      <c r="H39" s="649"/>
      <c r="I39" s="141">
        <v>1949.94</v>
      </c>
      <c r="J39" s="142">
        <f>(Y39/X38)*100</f>
        <v>51.285947699684911</v>
      </c>
      <c r="K39" s="143">
        <f>ROUND(((J39*H38)/100),2)</f>
        <v>1949.94</v>
      </c>
      <c r="L39" s="652"/>
      <c r="M39" s="144"/>
      <c r="N39" s="144">
        <v>1949.94</v>
      </c>
      <c r="O39" s="522" t="s">
        <v>180</v>
      </c>
      <c r="P39" s="145" t="s">
        <v>68</v>
      </c>
      <c r="Q39" s="146" t="s">
        <v>63</v>
      </c>
      <c r="R39" s="145"/>
      <c r="S39" s="145" t="s">
        <v>181</v>
      </c>
      <c r="T39" s="145"/>
      <c r="U39" s="147" t="s">
        <v>188</v>
      </c>
      <c r="V39" s="147" t="s">
        <v>189</v>
      </c>
      <c r="W39" s="147">
        <v>4450</v>
      </c>
      <c r="X39" s="655"/>
      <c r="Y39" s="148">
        <v>1974.35</v>
      </c>
      <c r="Z39" s="150"/>
      <c r="AA39" s="149"/>
      <c r="AB39" s="150"/>
      <c r="AC39" s="151"/>
      <c r="AD39" s="151"/>
      <c r="AE39" s="152">
        <f t="shared" si="0"/>
        <v>0</v>
      </c>
      <c r="AF39" s="151"/>
      <c r="AG39" s="152">
        <f t="shared" si="1"/>
        <v>0</v>
      </c>
      <c r="AH39" s="151"/>
      <c r="AI39" s="152">
        <f t="shared" si="2"/>
        <v>0</v>
      </c>
      <c r="AJ39" s="149"/>
      <c r="AK39" s="152">
        <f t="shared" si="70"/>
        <v>0</v>
      </c>
      <c r="AL39" s="149"/>
      <c r="AM39" s="151"/>
      <c r="AN39" s="152">
        <f t="shared" si="3"/>
        <v>0</v>
      </c>
      <c r="AO39" s="151"/>
      <c r="AP39" s="152">
        <f t="shared" si="4"/>
        <v>0</v>
      </c>
      <c r="AQ39" s="174">
        <f t="shared" si="100"/>
        <v>4450</v>
      </c>
      <c r="AR39" s="152">
        <f t="shared" si="48"/>
        <v>8677233</v>
      </c>
      <c r="AS39" s="149"/>
      <c r="AT39" s="149">
        <f t="shared" si="5"/>
        <v>4450</v>
      </c>
      <c r="AU39" s="152">
        <f t="shared" si="71"/>
        <v>0</v>
      </c>
      <c r="AV39" s="149">
        <f t="shared" si="7"/>
        <v>0</v>
      </c>
      <c r="AW39" s="152">
        <f t="shared" si="73"/>
        <v>0</v>
      </c>
      <c r="AX39" s="151">
        <f t="shared" si="9"/>
        <v>0</v>
      </c>
      <c r="AY39" s="152">
        <f t="shared" si="74"/>
        <v>0</v>
      </c>
      <c r="AZ39" s="153">
        <v>3.1</v>
      </c>
      <c r="BA39" s="153">
        <v>9.57</v>
      </c>
      <c r="BB39" s="153"/>
      <c r="BC39" s="154">
        <f t="shared" si="11"/>
        <v>12.373329999999999</v>
      </c>
      <c r="BD39" s="155">
        <f t="shared" si="68"/>
        <v>24127.251100199999</v>
      </c>
      <c r="BE39" s="156">
        <f t="shared" si="84"/>
        <v>1949.94</v>
      </c>
      <c r="BF39" s="157">
        <v>513</v>
      </c>
      <c r="BG39" s="157" t="s">
        <v>249</v>
      </c>
      <c r="BH39" s="156">
        <v>12.37</v>
      </c>
      <c r="BI39" s="158">
        <f t="shared" si="14"/>
        <v>24120.757799999999</v>
      </c>
      <c r="BJ39" s="156">
        <v>6.14</v>
      </c>
      <c r="BK39" s="158">
        <f t="shared" si="15"/>
        <v>11972.631600000001</v>
      </c>
      <c r="BL39" s="156">
        <v>55.4</v>
      </c>
      <c r="BM39" s="159">
        <f t="shared" si="16"/>
        <v>108026.67600000001</v>
      </c>
      <c r="BN39" s="157">
        <v>2396</v>
      </c>
      <c r="BO39" s="159">
        <f t="shared" si="17"/>
        <v>4672056.24</v>
      </c>
      <c r="BP39" s="160"/>
      <c r="BQ39" s="156">
        <v>5.48</v>
      </c>
      <c r="BR39" s="158">
        <f t="shared" si="18"/>
        <v>10685.671200000001</v>
      </c>
      <c r="BS39" s="156">
        <v>55.79</v>
      </c>
      <c r="BT39" s="159">
        <f t="shared" si="19"/>
        <v>108787.1526</v>
      </c>
      <c r="BU39" s="157">
        <v>2413</v>
      </c>
      <c r="BV39" s="161">
        <f t="shared" si="49"/>
        <v>4705205.22</v>
      </c>
      <c r="BW39" s="157" t="s">
        <v>223</v>
      </c>
      <c r="BX39" s="157">
        <f t="shared" si="20"/>
        <v>2237</v>
      </c>
      <c r="BY39" s="161">
        <f t="shared" si="50"/>
        <v>4362015.78</v>
      </c>
      <c r="BZ39" s="157">
        <f t="shared" si="21"/>
        <v>51.72</v>
      </c>
      <c r="CA39" s="161">
        <f t="shared" si="75"/>
        <v>100850.8968</v>
      </c>
      <c r="CB39" s="156">
        <f t="shared" si="23"/>
        <v>6.8899999999999988</v>
      </c>
      <c r="CC39" s="161">
        <f t="shared" si="94"/>
        <v>13435.086599999999</v>
      </c>
      <c r="CD39" s="162">
        <f t="shared" si="62"/>
        <v>1949.94</v>
      </c>
      <c r="CE39" s="163">
        <v>3.1</v>
      </c>
      <c r="CF39" s="164">
        <v>9.57</v>
      </c>
      <c r="CG39" s="165">
        <f t="shared" si="51"/>
        <v>12.373329999999999</v>
      </c>
      <c r="CH39" s="166">
        <f t="shared" si="25"/>
        <v>24127.251100199999</v>
      </c>
      <c r="CI39" s="167">
        <v>55.33</v>
      </c>
      <c r="CJ39" s="166">
        <f t="shared" si="91"/>
        <v>107890.1802</v>
      </c>
      <c r="CK39" s="168">
        <v>4.28</v>
      </c>
      <c r="CL39" s="166">
        <f t="shared" si="26"/>
        <v>8345.7432000000008</v>
      </c>
      <c r="CM39" s="167">
        <v>20</v>
      </c>
      <c r="CN39" s="166">
        <f t="shared" si="27"/>
        <v>38998.800000000003</v>
      </c>
      <c r="CO39" s="169">
        <f t="shared" si="28"/>
        <v>2725.4569000000001</v>
      </c>
      <c r="CP39" s="166">
        <f t="shared" si="29"/>
        <v>5314477.4275860004</v>
      </c>
      <c r="CQ39" s="167">
        <v>2443</v>
      </c>
      <c r="CR39" s="166">
        <f t="shared" si="92"/>
        <v>4763703.42</v>
      </c>
      <c r="CS39" s="170">
        <f t="shared" si="30"/>
        <v>55.607459256163814</v>
      </c>
      <c r="CT39" s="166">
        <f t="shared" si="31"/>
        <v>108431.20910196406</v>
      </c>
      <c r="CU39" s="168">
        <v>3.8</v>
      </c>
      <c r="CV39" s="166">
        <f t="shared" si="77"/>
        <v>7409.7719999999999</v>
      </c>
      <c r="CW39" s="170">
        <f t="shared" si="78"/>
        <v>20.100292519849564</v>
      </c>
      <c r="CX39" s="166">
        <f t="shared" si="79"/>
        <v>39194.364396155463</v>
      </c>
      <c r="CY39" s="171">
        <f t="shared" si="80"/>
        <v>2455.250731299624</v>
      </c>
      <c r="CZ39" s="166">
        <f t="shared" si="81"/>
        <v>4787591.6109903893</v>
      </c>
      <c r="DA39" s="170" t="str">
        <f t="shared" si="83"/>
        <v>G17</v>
      </c>
      <c r="DB39" s="171">
        <f t="shared" si="38"/>
        <v>2236.4391434391978</v>
      </c>
      <c r="DC39" s="166">
        <f t="shared" si="69"/>
        <v>4360922.1433578292</v>
      </c>
      <c r="DD39" s="170">
        <f t="shared" si="54"/>
        <v>50.651730579816132</v>
      </c>
      <c r="DE39" s="221">
        <f t="shared" si="55"/>
        <v>98767.835526806666</v>
      </c>
      <c r="DF39" s="222">
        <f t="shared" si="56"/>
        <v>8.5733299999999986</v>
      </c>
      <c r="DG39" s="221">
        <f t="shared" si="57"/>
        <v>16717.479100199998</v>
      </c>
      <c r="DH39" s="172">
        <f t="shared" si="40"/>
        <v>-7</v>
      </c>
      <c r="DI39" s="173">
        <f t="shared" si="95"/>
        <v>42.250731299624022</v>
      </c>
      <c r="DJ39" s="174">
        <f t="shared" si="96"/>
        <v>-7</v>
      </c>
      <c r="DK39" s="175">
        <f t="shared" si="97"/>
        <v>2037</v>
      </c>
      <c r="DL39" s="176">
        <f t="shared" si="98"/>
        <v>-7</v>
      </c>
      <c r="DM39" s="175" t="e">
        <f t="shared" si="99"/>
        <v>#VALUE!</v>
      </c>
      <c r="DN39" s="177"/>
      <c r="DO39" s="178">
        <f t="shared" si="46"/>
        <v>0.56085656080222179</v>
      </c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80"/>
      <c r="EC39" s="181">
        <f t="shared" si="47"/>
        <v>-42.250731299624022</v>
      </c>
      <c r="EE39" s="181"/>
    </row>
    <row r="40" spans="1:135" s="182" customFormat="1" ht="30">
      <c r="A40" s="74">
        <v>48</v>
      </c>
      <c r="B40" s="74">
        <v>84</v>
      </c>
      <c r="C40" s="138">
        <v>45825</v>
      </c>
      <c r="D40" s="139">
        <v>151000186</v>
      </c>
      <c r="E40" s="138">
        <v>45824</v>
      </c>
      <c r="F40" s="138"/>
      <c r="G40" s="138"/>
      <c r="H40" s="140">
        <f>2004.45+1836.75</f>
        <v>3841.2</v>
      </c>
      <c r="I40" s="141">
        <f>2004.45+1836.75</f>
        <v>3841.2</v>
      </c>
      <c r="J40" s="142"/>
      <c r="K40" s="568"/>
      <c r="L40" s="337">
        <v>58</v>
      </c>
      <c r="M40" s="144"/>
      <c r="N40" s="144">
        <v>3841.2</v>
      </c>
      <c r="O40" s="522" t="s">
        <v>180</v>
      </c>
      <c r="P40" s="145" t="s">
        <v>70</v>
      </c>
      <c r="Q40" s="146" t="s">
        <v>230</v>
      </c>
      <c r="R40" s="145"/>
      <c r="S40" s="145" t="s">
        <v>181</v>
      </c>
      <c r="T40" s="145"/>
      <c r="U40" s="147" t="s">
        <v>188</v>
      </c>
      <c r="V40" s="147" t="s">
        <v>189</v>
      </c>
      <c r="W40" s="147">
        <v>4450</v>
      </c>
      <c r="X40" s="519">
        <v>3880.53</v>
      </c>
      <c r="Y40" s="148">
        <v>3880.53</v>
      </c>
      <c r="Z40" s="150"/>
      <c r="AA40" s="149"/>
      <c r="AB40" s="150"/>
      <c r="AC40" s="151"/>
      <c r="AD40" s="151"/>
      <c r="AE40" s="152">
        <f t="shared" si="0"/>
        <v>0</v>
      </c>
      <c r="AF40" s="151"/>
      <c r="AG40" s="152">
        <f t="shared" si="1"/>
        <v>0</v>
      </c>
      <c r="AH40" s="151"/>
      <c r="AI40" s="152">
        <f t="shared" si="2"/>
        <v>0</v>
      </c>
      <c r="AJ40" s="149"/>
      <c r="AK40" s="152">
        <f t="shared" si="70"/>
        <v>0</v>
      </c>
      <c r="AL40" s="149"/>
      <c r="AM40" s="151"/>
      <c r="AN40" s="152">
        <f t="shared" si="3"/>
        <v>0</v>
      </c>
      <c r="AO40" s="151"/>
      <c r="AP40" s="152">
        <f t="shared" si="4"/>
        <v>0</v>
      </c>
      <c r="AQ40" s="174">
        <f t="shared" si="100"/>
        <v>4450</v>
      </c>
      <c r="AR40" s="152">
        <f t="shared" si="48"/>
        <v>17093340</v>
      </c>
      <c r="AS40" s="149"/>
      <c r="AT40" s="149">
        <f t="shared" si="5"/>
        <v>4450</v>
      </c>
      <c r="AU40" s="152">
        <f t="shared" si="71"/>
        <v>0</v>
      </c>
      <c r="AV40" s="149">
        <f t="shared" si="7"/>
        <v>0</v>
      </c>
      <c r="AW40" s="152">
        <f t="shared" si="73"/>
        <v>0</v>
      </c>
      <c r="AX40" s="151">
        <f t="shared" si="9"/>
        <v>0</v>
      </c>
      <c r="AY40" s="152">
        <f t="shared" si="74"/>
        <v>0</v>
      </c>
      <c r="AZ40" s="153">
        <v>4</v>
      </c>
      <c r="BA40" s="153">
        <v>9.4819999999999993</v>
      </c>
      <c r="BB40" s="153"/>
      <c r="BC40" s="154">
        <f t="shared" si="11"/>
        <v>13.10272</v>
      </c>
      <c r="BD40" s="155">
        <f t="shared" si="68"/>
        <v>50330.168063999998</v>
      </c>
      <c r="BE40" s="156">
        <f>CD40</f>
        <v>3841.2</v>
      </c>
      <c r="BF40" s="157">
        <v>513</v>
      </c>
      <c r="BG40" s="157" t="s">
        <v>249</v>
      </c>
      <c r="BH40" s="156">
        <v>13.1</v>
      </c>
      <c r="BI40" s="158">
        <f t="shared" si="14"/>
        <v>50319.719999999994</v>
      </c>
      <c r="BJ40" s="156">
        <v>7.12</v>
      </c>
      <c r="BK40" s="158">
        <f t="shared" si="15"/>
        <v>27349.343999999997</v>
      </c>
      <c r="BL40" s="156">
        <v>39.94</v>
      </c>
      <c r="BM40" s="159">
        <f t="shared" si="16"/>
        <v>153417.52799999999</v>
      </c>
      <c r="BN40" s="157">
        <v>3674</v>
      </c>
      <c r="BO40" s="159">
        <f t="shared" si="17"/>
        <v>14112568.799999999</v>
      </c>
      <c r="BP40" s="160"/>
      <c r="BQ40" s="156">
        <v>6.68</v>
      </c>
      <c r="BR40" s="158">
        <f t="shared" si="18"/>
        <v>25659.215999999997</v>
      </c>
      <c r="BS40" s="156">
        <v>40.130000000000003</v>
      </c>
      <c r="BT40" s="159">
        <f t="shared" si="19"/>
        <v>154147.356</v>
      </c>
      <c r="BU40" s="157">
        <v>3691</v>
      </c>
      <c r="BV40" s="161">
        <f t="shared" si="49"/>
        <v>14177869.199999999</v>
      </c>
      <c r="BW40" s="157" t="s">
        <v>190</v>
      </c>
      <c r="BX40" s="157">
        <f t="shared" si="20"/>
        <v>3437</v>
      </c>
      <c r="BY40" s="161">
        <f t="shared" si="50"/>
        <v>13202204.399999999</v>
      </c>
      <c r="BZ40" s="157">
        <f t="shared" si="21"/>
        <v>37.369999999999997</v>
      </c>
      <c r="CA40" s="161">
        <f t="shared" si="75"/>
        <v>143545.64399999997</v>
      </c>
      <c r="CB40" s="156">
        <f t="shared" si="23"/>
        <v>6.42</v>
      </c>
      <c r="CC40" s="161">
        <f t="shared" si="94"/>
        <v>24660.503999999997</v>
      </c>
      <c r="CD40" s="162">
        <f t="shared" si="62"/>
        <v>3841.2</v>
      </c>
      <c r="CE40" s="163">
        <v>4</v>
      </c>
      <c r="CF40" s="164">
        <v>9.48</v>
      </c>
      <c r="CG40" s="165">
        <f t="shared" si="51"/>
        <v>13.1008</v>
      </c>
      <c r="CH40" s="166">
        <f t="shared" si="25"/>
        <v>50322.792959999999</v>
      </c>
      <c r="CI40" s="167">
        <v>40.18</v>
      </c>
      <c r="CJ40" s="166">
        <f t="shared" si="91"/>
        <v>154339.416</v>
      </c>
      <c r="CK40" s="168">
        <v>5.52</v>
      </c>
      <c r="CL40" s="166">
        <f t="shared" si="26"/>
        <v>21203.423999999999</v>
      </c>
      <c r="CM40" s="167">
        <v>25.56</v>
      </c>
      <c r="CN40" s="166">
        <f t="shared" si="27"/>
        <v>98181.071999999986</v>
      </c>
      <c r="CO40" s="169">
        <f t="shared" si="28"/>
        <v>3970.7289999999994</v>
      </c>
      <c r="CP40" s="166">
        <f t="shared" si="29"/>
        <v>15252364.234799996</v>
      </c>
      <c r="CQ40" s="167">
        <v>3657</v>
      </c>
      <c r="CR40" s="166">
        <f t="shared" si="92"/>
        <v>14047268.399999999</v>
      </c>
      <c r="CS40" s="170">
        <f t="shared" si="30"/>
        <v>41.07733065198984</v>
      </c>
      <c r="CT40" s="166">
        <f t="shared" si="31"/>
        <v>157786.24250042337</v>
      </c>
      <c r="CU40" s="168">
        <v>3.41</v>
      </c>
      <c r="CV40" s="166">
        <f t="shared" si="77"/>
        <v>13098.492</v>
      </c>
      <c r="CW40" s="170">
        <f t="shared" si="78"/>
        <v>26.130825571549533</v>
      </c>
      <c r="CX40" s="166">
        <f t="shared" si="79"/>
        <v>100373.72718543606</v>
      </c>
      <c r="CY40" s="171">
        <f t="shared" si="80"/>
        <v>3738.6709356477563</v>
      </c>
      <c r="CZ40" s="166">
        <f t="shared" si="81"/>
        <v>14360982.798010161</v>
      </c>
      <c r="DA40" s="170" t="str">
        <f t="shared" si="83"/>
        <v>G12</v>
      </c>
      <c r="DB40" s="171">
        <f t="shared" si="38"/>
        <v>3363.5729720575787</v>
      </c>
      <c r="DC40" s="166">
        <f t="shared" si="69"/>
        <v>12920156.500267571</v>
      </c>
      <c r="DD40" s="170">
        <f t="shared" si="54"/>
        <v>36.956073835732433</v>
      </c>
      <c r="DE40" s="221">
        <f t="shared" si="55"/>
        <v>141955.67081781541</v>
      </c>
      <c r="DF40" s="222">
        <f t="shared" si="56"/>
        <v>9.6907999999999994</v>
      </c>
      <c r="DG40" s="221">
        <f t="shared" si="57"/>
        <v>37224.300959999993</v>
      </c>
      <c r="DH40" s="172">
        <f t="shared" si="40"/>
        <v>-2</v>
      </c>
      <c r="DI40" s="173">
        <f t="shared" si="95"/>
        <v>47.670935647756323</v>
      </c>
      <c r="DJ40" s="174">
        <f t="shared" si="96"/>
        <v>-3</v>
      </c>
      <c r="DK40" s="175">
        <f t="shared" si="97"/>
        <v>759</v>
      </c>
      <c r="DL40" s="176">
        <f t="shared" si="98"/>
        <v>-3</v>
      </c>
      <c r="DM40" s="175" t="e">
        <f t="shared" si="99"/>
        <v>#VALUE!</v>
      </c>
      <c r="DN40" s="177"/>
      <c r="DO40" s="178">
        <f t="shared" si="46"/>
        <v>73.427027942421319</v>
      </c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80"/>
      <c r="EC40" s="181">
        <f t="shared" si="47"/>
        <v>-47.670935647756323</v>
      </c>
      <c r="EE40" s="181"/>
    </row>
    <row r="41" spans="1:135" s="182" customFormat="1" ht="30">
      <c r="A41" s="74">
        <v>52</v>
      </c>
      <c r="B41" s="74">
        <v>89</v>
      </c>
      <c r="C41" s="138">
        <v>45826</v>
      </c>
      <c r="D41" s="139">
        <v>151001342</v>
      </c>
      <c r="E41" s="138">
        <v>45824</v>
      </c>
      <c r="F41" s="138"/>
      <c r="G41" s="138"/>
      <c r="H41" s="140">
        <v>3840.85</v>
      </c>
      <c r="I41" s="141">
        <v>3840.85</v>
      </c>
      <c r="J41" s="142"/>
      <c r="K41" s="568"/>
      <c r="L41" s="337">
        <v>58</v>
      </c>
      <c r="M41" s="144"/>
      <c r="N41" s="144">
        <v>3840.85</v>
      </c>
      <c r="O41" s="522" t="s">
        <v>180</v>
      </c>
      <c r="P41" s="145" t="s">
        <v>71</v>
      </c>
      <c r="Q41" s="146" t="s">
        <v>52</v>
      </c>
      <c r="R41" s="145"/>
      <c r="S41" s="145" t="s">
        <v>181</v>
      </c>
      <c r="T41" s="145"/>
      <c r="U41" s="147" t="s">
        <v>188</v>
      </c>
      <c r="V41" s="147" t="s">
        <v>189</v>
      </c>
      <c r="W41" s="147">
        <v>4450</v>
      </c>
      <c r="X41" s="519">
        <v>3906.48</v>
      </c>
      <c r="Y41" s="148">
        <v>3906.48</v>
      </c>
      <c r="Z41" s="150"/>
      <c r="AA41" s="149"/>
      <c r="AB41" s="150"/>
      <c r="AC41" s="151"/>
      <c r="AD41" s="151"/>
      <c r="AE41" s="152">
        <f t="shared" si="0"/>
        <v>0</v>
      </c>
      <c r="AF41" s="151"/>
      <c r="AG41" s="152" t="e">
        <f>AF41*#REF!</f>
        <v>#REF!</v>
      </c>
      <c r="AH41" s="151"/>
      <c r="AI41" s="152" t="e">
        <f>AH41*#REF!</f>
        <v>#REF!</v>
      </c>
      <c r="AJ41" s="149"/>
      <c r="AK41" s="152" t="e">
        <f>AJ41*#REF!</f>
        <v>#REF!</v>
      </c>
      <c r="AL41" s="149"/>
      <c r="AM41" s="151"/>
      <c r="AN41" s="152" t="e">
        <f>AM41*#REF!</f>
        <v>#REF!</v>
      </c>
      <c r="AO41" s="151"/>
      <c r="AP41" s="152">
        <f t="shared" si="4"/>
        <v>0</v>
      </c>
      <c r="AQ41" s="174">
        <f t="shared" si="100"/>
        <v>4450</v>
      </c>
      <c r="AR41" s="152">
        <f t="shared" si="48"/>
        <v>17091782.5</v>
      </c>
      <c r="AS41" s="149"/>
      <c r="AT41" s="149">
        <f t="shared" si="5"/>
        <v>4450</v>
      </c>
      <c r="AU41" s="152">
        <f t="shared" si="71"/>
        <v>0</v>
      </c>
      <c r="AV41" s="149">
        <f t="shared" si="7"/>
        <v>0</v>
      </c>
      <c r="AW41" s="152" t="e">
        <f>AV41*#REF!</f>
        <v>#REF!</v>
      </c>
      <c r="AX41" s="151">
        <f t="shared" si="9"/>
        <v>0</v>
      </c>
      <c r="AY41" s="152">
        <f t="shared" si="74"/>
        <v>0</v>
      </c>
      <c r="AZ41" s="153">
        <v>4.0999999999999996</v>
      </c>
      <c r="BA41" s="153">
        <v>9.9009999999999998</v>
      </c>
      <c r="BB41" s="153"/>
      <c r="BC41" s="154">
        <f t="shared" si="11"/>
        <v>13.595058999999999</v>
      </c>
      <c r="BD41" s="155">
        <f t="shared" si="68"/>
        <v>52216.582360149994</v>
      </c>
      <c r="BE41" s="156">
        <f t="shared" ref="BE41:BE44" si="101">CD41</f>
        <v>3840.85</v>
      </c>
      <c r="BF41" s="157">
        <v>3127</v>
      </c>
      <c r="BG41" s="157" t="s">
        <v>250</v>
      </c>
      <c r="BH41" s="156">
        <v>13.6</v>
      </c>
      <c r="BI41" s="158">
        <f t="shared" si="14"/>
        <v>52235.56</v>
      </c>
      <c r="BJ41" s="156">
        <v>7.72</v>
      </c>
      <c r="BK41" s="158">
        <f t="shared" si="15"/>
        <v>29651.361999999997</v>
      </c>
      <c r="BL41" s="570">
        <v>53.59</v>
      </c>
      <c r="BM41" s="159">
        <f t="shared" si="16"/>
        <v>205831.15150000001</v>
      </c>
      <c r="BN41" s="570">
        <v>2450</v>
      </c>
      <c r="BO41" s="159">
        <f t="shared" si="17"/>
        <v>9410082.5</v>
      </c>
      <c r="BP41" s="160"/>
      <c r="BQ41" s="570">
        <v>6.8</v>
      </c>
      <c r="BR41" s="158">
        <f t="shared" si="18"/>
        <v>26117.78</v>
      </c>
      <c r="BS41" s="570">
        <v>54.12</v>
      </c>
      <c r="BT41" s="159">
        <f t="shared" si="19"/>
        <v>207866.802</v>
      </c>
      <c r="BU41" s="570">
        <v>2474</v>
      </c>
      <c r="BV41" s="161">
        <f t="shared" si="49"/>
        <v>9502262.9000000004</v>
      </c>
      <c r="BW41" s="570" t="s">
        <v>223</v>
      </c>
      <c r="BX41" s="157">
        <f t="shared" si="20"/>
        <v>2293</v>
      </c>
      <c r="BY41" s="161">
        <f t="shared" si="50"/>
        <v>8807069.0499999989</v>
      </c>
      <c r="BZ41" s="157">
        <f t="shared" si="21"/>
        <v>50.17</v>
      </c>
      <c r="CA41" s="161">
        <f t="shared" si="75"/>
        <v>192695.44450000001</v>
      </c>
      <c r="CB41" s="156">
        <f t="shared" si="23"/>
        <v>6.8</v>
      </c>
      <c r="CC41" s="161">
        <f t="shared" si="94"/>
        <v>26117.78</v>
      </c>
      <c r="CD41" s="162">
        <f t="shared" si="62"/>
        <v>3840.85</v>
      </c>
      <c r="CE41" s="163">
        <v>4.0999999999999996</v>
      </c>
      <c r="CF41" s="164">
        <v>9.91</v>
      </c>
      <c r="CG41" s="165">
        <f t="shared" si="51"/>
        <v>13.60369</v>
      </c>
      <c r="CH41" s="166">
        <f t="shared" si="25"/>
        <v>52249.732736500002</v>
      </c>
      <c r="CI41" s="167">
        <v>53.94</v>
      </c>
      <c r="CJ41" s="166">
        <f t="shared" si="91"/>
        <v>207175.44899999999</v>
      </c>
      <c r="CK41" s="168">
        <v>4.59</v>
      </c>
      <c r="CL41" s="166">
        <f t="shared" si="26"/>
        <v>17629.501499999998</v>
      </c>
      <c r="CM41" s="167">
        <v>20.21</v>
      </c>
      <c r="CN41" s="166">
        <f t="shared" si="27"/>
        <v>77623.578500000003</v>
      </c>
      <c r="CO41" s="169">
        <f t="shared" si="28"/>
        <v>2811.1462000000001</v>
      </c>
      <c r="CP41" s="166">
        <f t="shared" si="29"/>
        <v>10797190.882270001</v>
      </c>
      <c r="CQ41" s="167">
        <v>2543</v>
      </c>
      <c r="CR41" s="166">
        <f t="shared" si="92"/>
        <v>9767281.5499999989</v>
      </c>
      <c r="CS41" s="170">
        <f t="shared" si="30"/>
        <v>53.855197568389059</v>
      </c>
      <c r="CT41" s="166">
        <f t="shared" si="31"/>
        <v>206849.7355805471</v>
      </c>
      <c r="CU41" s="168">
        <v>4.74</v>
      </c>
      <c r="CV41" s="166">
        <f t="shared" si="77"/>
        <v>18205.629000000001</v>
      </c>
      <c r="CW41" s="170">
        <f t="shared" si="78"/>
        <v>20.178226600985223</v>
      </c>
      <c r="CX41" s="166">
        <f t="shared" si="79"/>
        <v>77501.541640394091</v>
      </c>
      <c r="CY41" s="171">
        <f t="shared" si="80"/>
        <v>2539.0019914055133</v>
      </c>
      <c r="CZ41" s="166">
        <f t="shared" si="81"/>
        <v>9751925.7986898664</v>
      </c>
      <c r="DA41" s="170" t="str">
        <f t="shared" si="83"/>
        <v>G16</v>
      </c>
      <c r="DB41" s="171">
        <f t="shared" si="38"/>
        <v>2302.7545994130596</v>
      </c>
      <c r="DC41" s="166">
        <f t="shared" si="69"/>
        <v>8844535.0031556506</v>
      </c>
      <c r="DD41" s="170">
        <f t="shared" si="54"/>
        <v>48.844114468085102</v>
      </c>
      <c r="DE41" s="221">
        <f t="shared" si="55"/>
        <v>187602.91705474467</v>
      </c>
      <c r="DF41" s="222">
        <f t="shared" si="56"/>
        <v>8.8636900000000001</v>
      </c>
      <c r="DG41" s="221">
        <f t="shared" si="57"/>
        <v>34044.103736500001</v>
      </c>
      <c r="DH41" s="172">
        <f t="shared" si="40"/>
        <v>-6</v>
      </c>
      <c r="DI41" s="173">
        <f t="shared" si="95"/>
        <v>65.001991405513309</v>
      </c>
      <c r="DJ41" s="174">
        <f t="shared" si="96"/>
        <v>-7</v>
      </c>
      <c r="DK41" s="175">
        <f t="shared" si="97"/>
        <v>1976</v>
      </c>
      <c r="DL41" s="176">
        <f t="shared" si="98"/>
        <v>-7</v>
      </c>
      <c r="DM41" s="175" t="e">
        <f t="shared" si="99"/>
        <v>#VALUE!</v>
      </c>
      <c r="DN41" s="177"/>
      <c r="DO41" s="178">
        <f t="shared" si="46"/>
        <v>-9.7545994130596227</v>
      </c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80"/>
      <c r="EC41" s="181">
        <f t="shared" si="47"/>
        <v>-65.001991405513309</v>
      </c>
      <c r="EE41" s="181"/>
    </row>
    <row r="42" spans="1:135" s="182" customFormat="1" ht="30">
      <c r="A42" s="74">
        <v>53</v>
      </c>
      <c r="B42" s="74">
        <v>90</v>
      </c>
      <c r="C42" s="138">
        <v>45826</v>
      </c>
      <c r="D42" s="139">
        <v>151001340</v>
      </c>
      <c r="E42" s="138">
        <v>45823</v>
      </c>
      <c r="F42" s="138"/>
      <c r="G42" s="138"/>
      <c r="H42" s="140">
        <v>3832.2</v>
      </c>
      <c r="I42" s="141">
        <v>3832.2</v>
      </c>
      <c r="J42" s="142"/>
      <c r="K42" s="568"/>
      <c r="L42" s="337">
        <v>58</v>
      </c>
      <c r="M42" s="144"/>
      <c r="N42" s="144">
        <v>3832.2</v>
      </c>
      <c r="O42" s="522" t="s">
        <v>180</v>
      </c>
      <c r="P42" s="145" t="s">
        <v>71</v>
      </c>
      <c r="Q42" s="146" t="s">
        <v>222</v>
      </c>
      <c r="R42" s="145"/>
      <c r="S42" s="145" t="s">
        <v>181</v>
      </c>
      <c r="T42" s="145"/>
      <c r="U42" s="147" t="s">
        <v>188</v>
      </c>
      <c r="V42" s="147" t="s">
        <v>189</v>
      </c>
      <c r="W42" s="147">
        <v>4450</v>
      </c>
      <c r="X42" s="519">
        <v>3906.03</v>
      </c>
      <c r="Y42" s="148">
        <v>3906.03</v>
      </c>
      <c r="Z42" s="150" t="s">
        <v>285</v>
      </c>
      <c r="AA42" s="149">
        <v>1688</v>
      </c>
      <c r="AB42" s="150">
        <v>45838</v>
      </c>
      <c r="AC42" s="151">
        <v>3906.03</v>
      </c>
      <c r="AD42" s="151">
        <v>11.28</v>
      </c>
      <c r="AE42" s="152">
        <f t="shared" si="0"/>
        <v>44060.018400000001</v>
      </c>
      <c r="AF42" s="151">
        <v>6.68</v>
      </c>
      <c r="AG42" s="152">
        <f t="shared" ref="AG42:AG62" si="102">AF42*$AC42</f>
        <v>26092.2804</v>
      </c>
      <c r="AH42" s="151">
        <v>42.52</v>
      </c>
      <c r="AI42" s="152">
        <f t="shared" ref="AI42:AI62" si="103">AH42*$AC42</f>
        <v>166084.39560000002</v>
      </c>
      <c r="AJ42" s="149">
        <v>3525</v>
      </c>
      <c r="AK42" s="152">
        <f t="shared" ref="AK42:AK62" si="104">AJ42*$AC42</f>
        <v>13768755.75</v>
      </c>
      <c r="AL42" s="149"/>
      <c r="AM42" s="151">
        <v>8.52</v>
      </c>
      <c r="AN42" s="152">
        <f t="shared" si="3"/>
        <v>33279.375599999999</v>
      </c>
      <c r="AO42" s="151">
        <v>41.68</v>
      </c>
      <c r="AP42" s="152">
        <f t="shared" si="4"/>
        <v>162803.33040000001</v>
      </c>
      <c r="AQ42" s="149">
        <v>3455</v>
      </c>
      <c r="AR42" s="152">
        <f t="shared" si="48"/>
        <v>13240251</v>
      </c>
      <c r="AS42" s="149" t="s">
        <v>190</v>
      </c>
      <c r="AT42" s="149">
        <f t="shared" si="5"/>
        <v>3351</v>
      </c>
      <c r="AU42" s="152">
        <f t="shared" si="71"/>
        <v>13089106.530000001</v>
      </c>
      <c r="AV42" s="149">
        <f t="shared" si="7"/>
        <v>40.42</v>
      </c>
      <c r="AW42" s="152">
        <f t="shared" ref="AW42:AW47" si="105">AV42*$AC42</f>
        <v>157881.73260000002</v>
      </c>
      <c r="AX42" s="151">
        <f t="shared" si="9"/>
        <v>2.76</v>
      </c>
      <c r="AY42" s="152">
        <f t="shared" si="74"/>
        <v>10780.6428</v>
      </c>
      <c r="AZ42" s="153">
        <v>4.9000000000000004</v>
      </c>
      <c r="BA42" s="153">
        <v>8.8490000000000002</v>
      </c>
      <c r="BB42" s="153"/>
      <c r="BC42" s="154">
        <f t="shared" si="11"/>
        <v>13.315398999999999</v>
      </c>
      <c r="BD42" s="155">
        <f t="shared" si="68"/>
        <v>51027.272047799997</v>
      </c>
      <c r="BE42" s="156">
        <f t="shared" si="101"/>
        <v>3832.2</v>
      </c>
      <c r="BF42" s="569">
        <v>3128</v>
      </c>
      <c r="BG42" s="157" t="s">
        <v>250</v>
      </c>
      <c r="BH42" s="570">
        <v>13.32</v>
      </c>
      <c r="BI42" s="158">
        <f t="shared" si="14"/>
        <v>51044.904000000002</v>
      </c>
      <c r="BJ42" s="570">
        <v>7.87</v>
      </c>
      <c r="BK42" s="158">
        <f t="shared" si="15"/>
        <v>30159.414000000001</v>
      </c>
      <c r="BL42" s="570">
        <v>47.69</v>
      </c>
      <c r="BM42" s="159">
        <f t="shared" si="16"/>
        <v>182757.61799999999</v>
      </c>
      <c r="BN42" s="570">
        <v>3052</v>
      </c>
      <c r="BO42" s="159">
        <f t="shared" si="17"/>
        <v>11695874.4</v>
      </c>
      <c r="BP42" s="160"/>
      <c r="BQ42" s="570">
        <v>6.51</v>
      </c>
      <c r="BR42" s="158">
        <f t="shared" si="18"/>
        <v>24947.621999999999</v>
      </c>
      <c r="BS42" s="570">
        <v>48.39</v>
      </c>
      <c r="BT42" s="159">
        <f t="shared" si="19"/>
        <v>185440.158</v>
      </c>
      <c r="BU42" s="570">
        <v>3097</v>
      </c>
      <c r="BV42" s="161">
        <f t="shared" si="49"/>
        <v>11868323.399999999</v>
      </c>
      <c r="BW42" s="570" t="s">
        <v>187</v>
      </c>
      <c r="BX42" s="157">
        <f t="shared" si="20"/>
        <v>2871</v>
      </c>
      <c r="BY42" s="161">
        <f t="shared" si="50"/>
        <v>11002246.199999999</v>
      </c>
      <c r="BZ42" s="157">
        <f t="shared" si="21"/>
        <v>44.87</v>
      </c>
      <c r="CA42" s="161">
        <f t="shared" si="75"/>
        <v>171950.81399999998</v>
      </c>
      <c r="CB42" s="156">
        <f t="shared" si="23"/>
        <v>6.8100000000000005</v>
      </c>
      <c r="CC42" s="161">
        <f t="shared" si="94"/>
        <v>26097.281999999999</v>
      </c>
      <c r="CD42" s="162">
        <f t="shared" si="62"/>
        <v>3832.2</v>
      </c>
      <c r="CE42" s="412">
        <v>4.9000000000000004</v>
      </c>
      <c r="CF42" s="164">
        <v>8.85</v>
      </c>
      <c r="CG42" s="165">
        <f t="shared" si="51"/>
        <v>13.31635</v>
      </c>
      <c r="CH42" s="166">
        <f t="shared" si="25"/>
        <v>51030.916469999996</v>
      </c>
      <c r="CI42" s="167">
        <v>48.22</v>
      </c>
      <c r="CJ42" s="166">
        <f t="shared" si="91"/>
        <v>184788.68399999998</v>
      </c>
      <c r="CK42" s="168">
        <v>5.34</v>
      </c>
      <c r="CL42" s="166">
        <f t="shared" si="26"/>
        <v>20463.947999999997</v>
      </c>
      <c r="CM42" s="167">
        <v>22.22</v>
      </c>
      <c r="CN42" s="166">
        <f t="shared" si="27"/>
        <v>85151.483999999997</v>
      </c>
      <c r="CO42" s="169">
        <f t="shared" si="28"/>
        <v>3240.2853999999998</v>
      </c>
      <c r="CP42" s="166">
        <f t="shared" si="29"/>
        <v>12417421.709879998</v>
      </c>
      <c r="CQ42" s="167">
        <v>3034</v>
      </c>
      <c r="CR42" s="166">
        <f t="shared" si="92"/>
        <v>11626894.799999999</v>
      </c>
      <c r="CS42" s="170">
        <f t="shared" si="30"/>
        <v>48.184341855060218</v>
      </c>
      <c r="CT42" s="166">
        <f t="shared" si="31"/>
        <v>184652.03485696175</v>
      </c>
      <c r="CU42" s="168">
        <v>5.41</v>
      </c>
      <c r="CV42" s="166">
        <f t="shared" si="77"/>
        <v>20732.202000000001</v>
      </c>
      <c r="CW42" s="170">
        <f t="shared" si="78"/>
        <v>22.203568561166282</v>
      </c>
      <c r="CX42" s="166">
        <f t="shared" si="79"/>
        <v>85088.515440101415</v>
      </c>
      <c r="CY42" s="171">
        <f t="shared" si="80"/>
        <v>3031.7563912951618</v>
      </c>
      <c r="CZ42" s="166">
        <f t="shared" si="81"/>
        <v>11618296.842721319</v>
      </c>
      <c r="DA42" s="170" t="str">
        <f t="shared" si="83"/>
        <v>G15</v>
      </c>
      <c r="DB42" s="171">
        <f t="shared" si="38"/>
        <v>2778.3455958166069</v>
      </c>
      <c r="DC42" s="166">
        <f t="shared" si="69"/>
        <v>10647175.992288399</v>
      </c>
      <c r="DD42" s="170">
        <f t="shared" si="54"/>
        <v>44.156830794422142</v>
      </c>
      <c r="DE42" s="221">
        <f t="shared" si="55"/>
        <v>169217.80697038452</v>
      </c>
      <c r="DF42" s="222">
        <f t="shared" si="56"/>
        <v>7.9063499999999998</v>
      </c>
      <c r="DG42" s="221">
        <f t="shared" si="57"/>
        <v>30298.714469999999</v>
      </c>
      <c r="DH42" s="172">
        <f t="shared" si="40"/>
        <v>-5</v>
      </c>
      <c r="DI42" s="173">
        <f t="shared" si="95"/>
        <v>-65.243608704838152</v>
      </c>
      <c r="DJ42" s="174">
        <f t="shared" si="96"/>
        <v>-5</v>
      </c>
      <c r="DK42" s="175">
        <f t="shared" si="97"/>
        <v>358</v>
      </c>
      <c r="DL42" s="176">
        <f t="shared" si="98"/>
        <v>-5</v>
      </c>
      <c r="DM42" s="175">
        <f t="shared" si="99"/>
        <v>-3</v>
      </c>
      <c r="DN42" s="177"/>
      <c r="DO42" s="178">
        <f t="shared" si="46"/>
        <v>92.654404183393126</v>
      </c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80"/>
      <c r="EC42" s="181">
        <f t="shared" si="47"/>
        <v>65.243608704838152</v>
      </c>
      <c r="EE42" s="181"/>
    </row>
    <row r="43" spans="1:135" s="182" customFormat="1" ht="30">
      <c r="A43" s="74">
        <v>54</v>
      </c>
      <c r="B43" s="74">
        <v>91</v>
      </c>
      <c r="C43" s="138">
        <v>45826</v>
      </c>
      <c r="D43" s="139">
        <v>161016422</v>
      </c>
      <c r="E43" s="138">
        <v>45825</v>
      </c>
      <c r="F43" s="138"/>
      <c r="G43" s="138"/>
      <c r="H43" s="140">
        <v>3858.15</v>
      </c>
      <c r="I43" s="141">
        <v>3858.15</v>
      </c>
      <c r="J43" s="142"/>
      <c r="K43" s="568"/>
      <c r="L43" s="337">
        <v>58</v>
      </c>
      <c r="M43" s="144"/>
      <c r="N43" s="144">
        <v>3858.15</v>
      </c>
      <c r="O43" s="522" t="s">
        <v>180</v>
      </c>
      <c r="P43" s="145" t="s">
        <v>71</v>
      </c>
      <c r="Q43" s="146" t="s">
        <v>222</v>
      </c>
      <c r="R43" s="145"/>
      <c r="S43" s="145" t="s">
        <v>181</v>
      </c>
      <c r="T43" s="145"/>
      <c r="U43" s="147" t="s">
        <v>188</v>
      </c>
      <c r="V43" s="147" t="s">
        <v>189</v>
      </c>
      <c r="W43" s="147">
        <v>4450</v>
      </c>
      <c r="X43" s="519">
        <v>3931.72</v>
      </c>
      <c r="Y43" s="148">
        <v>3931.72</v>
      </c>
      <c r="Z43" s="150"/>
      <c r="AA43" s="149"/>
      <c r="AB43" s="150"/>
      <c r="AC43" s="151"/>
      <c r="AD43" s="151"/>
      <c r="AE43" s="152">
        <f t="shared" si="0"/>
        <v>0</v>
      </c>
      <c r="AF43" s="151"/>
      <c r="AG43" s="152">
        <f t="shared" si="102"/>
        <v>0</v>
      </c>
      <c r="AH43" s="151"/>
      <c r="AI43" s="152">
        <f t="shared" si="103"/>
        <v>0</v>
      </c>
      <c r="AJ43" s="149"/>
      <c r="AK43" s="152">
        <f t="shared" si="104"/>
        <v>0</v>
      </c>
      <c r="AL43" s="149"/>
      <c r="AM43" s="151"/>
      <c r="AN43" s="152">
        <f t="shared" si="3"/>
        <v>0</v>
      </c>
      <c r="AO43" s="151"/>
      <c r="AP43" s="152">
        <f t="shared" si="4"/>
        <v>0</v>
      </c>
      <c r="AQ43" s="174">
        <f t="shared" ref="AQ43:AQ62" si="106">W43</f>
        <v>4450</v>
      </c>
      <c r="AR43" s="152">
        <f t="shared" si="48"/>
        <v>17168767.5</v>
      </c>
      <c r="AS43" s="149"/>
      <c r="AT43" s="149">
        <f t="shared" si="5"/>
        <v>4450</v>
      </c>
      <c r="AU43" s="152">
        <f t="shared" si="71"/>
        <v>0</v>
      </c>
      <c r="AV43" s="149">
        <f t="shared" si="7"/>
        <v>0</v>
      </c>
      <c r="AW43" s="152">
        <f t="shared" si="105"/>
        <v>0</v>
      </c>
      <c r="AX43" s="151">
        <f t="shared" si="9"/>
        <v>0</v>
      </c>
      <c r="AY43" s="152">
        <f t="shared" si="74"/>
        <v>0</v>
      </c>
      <c r="AZ43" s="153">
        <v>4.3</v>
      </c>
      <c r="BA43" s="153">
        <v>7.149</v>
      </c>
      <c r="BB43" s="153"/>
      <c r="BC43" s="154">
        <f t="shared" si="11"/>
        <v>11.141593</v>
      </c>
      <c r="BD43" s="155">
        <f t="shared" si="68"/>
        <v>42985.937032950002</v>
      </c>
      <c r="BE43" s="156">
        <f t="shared" si="101"/>
        <v>3858.15</v>
      </c>
      <c r="BF43" s="569">
        <v>3129</v>
      </c>
      <c r="BG43" s="157" t="s">
        <v>250</v>
      </c>
      <c r="BH43" s="570">
        <v>11.14</v>
      </c>
      <c r="BI43" s="158">
        <f t="shared" si="14"/>
        <v>42979.791000000005</v>
      </c>
      <c r="BJ43" s="570">
        <v>7.8</v>
      </c>
      <c r="BK43" s="158">
        <f t="shared" si="15"/>
        <v>30093.57</v>
      </c>
      <c r="BL43" s="570">
        <v>44.32</v>
      </c>
      <c r="BM43" s="159">
        <f t="shared" si="16"/>
        <v>170993.20800000001</v>
      </c>
      <c r="BN43" s="570">
        <v>3461</v>
      </c>
      <c r="BO43" s="159">
        <f t="shared" si="17"/>
        <v>13353057.15</v>
      </c>
      <c r="BP43" s="160"/>
      <c r="BQ43" s="570">
        <v>6.57</v>
      </c>
      <c r="BR43" s="158">
        <f t="shared" si="18"/>
        <v>25348.0455</v>
      </c>
      <c r="BS43" s="570">
        <v>44.91</v>
      </c>
      <c r="BT43" s="159">
        <f t="shared" si="19"/>
        <v>173269.5165</v>
      </c>
      <c r="BU43" s="570">
        <v>3507</v>
      </c>
      <c r="BV43" s="161">
        <f t="shared" si="49"/>
        <v>13530532.050000001</v>
      </c>
      <c r="BW43" s="570" t="s">
        <v>190</v>
      </c>
      <c r="BX43" s="157">
        <f t="shared" si="20"/>
        <v>3335</v>
      </c>
      <c r="BY43" s="161">
        <f t="shared" si="50"/>
        <v>12866930.25</v>
      </c>
      <c r="BZ43" s="157">
        <f t="shared" si="21"/>
        <v>42.71</v>
      </c>
      <c r="CA43" s="161">
        <f t="shared" si="75"/>
        <v>164781.5865</v>
      </c>
      <c r="CB43" s="156">
        <f t="shared" si="23"/>
        <v>4.57</v>
      </c>
      <c r="CC43" s="161">
        <f t="shared" si="94"/>
        <v>17631.745500000001</v>
      </c>
      <c r="CD43" s="162">
        <f t="shared" si="62"/>
        <v>3858.15</v>
      </c>
      <c r="CE43" s="412">
        <v>4.3</v>
      </c>
      <c r="CF43" s="164">
        <v>7.15</v>
      </c>
      <c r="CG43" s="165">
        <f t="shared" si="51"/>
        <v>11.14255</v>
      </c>
      <c r="CH43" s="166">
        <f>CG43*$CD43</f>
        <v>42989.629282499998</v>
      </c>
      <c r="CI43" s="167">
        <v>48.48</v>
      </c>
      <c r="CJ43" s="166">
        <f t="shared" si="91"/>
        <v>187043.11199999999</v>
      </c>
      <c r="CK43" s="168">
        <v>5.3</v>
      </c>
      <c r="CL43" s="166">
        <f t="shared" si="26"/>
        <v>20448.195</v>
      </c>
      <c r="CM43" s="167">
        <v>22.47</v>
      </c>
      <c r="CN43" s="166">
        <f t="shared" si="27"/>
        <v>86692.630499999999</v>
      </c>
      <c r="CO43" s="169">
        <f t="shared" si="28"/>
        <v>3221.6391999999996</v>
      </c>
      <c r="CP43" s="166">
        <f t="shared" si="29"/>
        <v>12429567.279479999</v>
      </c>
      <c r="CQ43" s="167">
        <v>3557</v>
      </c>
      <c r="CR43" s="166">
        <f t="shared" si="92"/>
        <v>13723439.550000001</v>
      </c>
      <c r="CS43" s="170">
        <f t="shared" si="30"/>
        <v>48.664295670538543</v>
      </c>
      <c r="CT43" s="166">
        <f t="shared" si="31"/>
        <v>187754.15234128828</v>
      </c>
      <c r="CU43" s="168">
        <v>4.9400000000000004</v>
      </c>
      <c r="CV43" s="166">
        <f t="shared" si="77"/>
        <v>19059.261000000002</v>
      </c>
      <c r="CW43" s="170">
        <f t="shared" si="78"/>
        <v>22.555419218585005</v>
      </c>
      <c r="CX43" s="166">
        <f t="shared" si="79"/>
        <v>87022.190658183739</v>
      </c>
      <c r="CY43" s="171">
        <f t="shared" si="80"/>
        <v>3570.5218585005282</v>
      </c>
      <c r="CZ43" s="166">
        <f t="shared" si="81"/>
        <v>13775608.908373814</v>
      </c>
      <c r="DA43" s="170" t="str">
        <f t="shared" si="83"/>
        <v>G13</v>
      </c>
      <c r="DB43" s="171">
        <f t="shared" si="38"/>
        <v>3337.5496267159451</v>
      </c>
      <c r="DC43" s="166">
        <f t="shared" si="69"/>
        <v>12876767.092314124</v>
      </c>
      <c r="DD43" s="170">
        <f t="shared" si="54"/>
        <v>45.48900925026399</v>
      </c>
      <c r="DE43" s="221">
        <f t="shared" si="55"/>
        <v>175503.42103890603</v>
      </c>
      <c r="DF43" s="222">
        <f t="shared" si="56"/>
        <v>6.2025499999999996</v>
      </c>
      <c r="DG43" s="221">
        <f t="shared" si="57"/>
        <v>23930.3682825</v>
      </c>
      <c r="DH43" s="172">
        <f t="shared" si="40"/>
        <v>-3</v>
      </c>
      <c r="DI43" s="173">
        <f t="shared" si="95"/>
        <v>63.521858500528197</v>
      </c>
      <c r="DJ43" s="174">
        <f t="shared" si="96"/>
        <v>-3</v>
      </c>
      <c r="DK43" s="175">
        <f t="shared" si="97"/>
        <v>943</v>
      </c>
      <c r="DL43" s="176">
        <f t="shared" si="98"/>
        <v>-3</v>
      </c>
      <c r="DM43" s="175" t="e">
        <f t="shared" si="99"/>
        <v>#VALUE!</v>
      </c>
      <c r="DN43" s="177"/>
      <c r="DO43" s="178">
        <f t="shared" si="46"/>
        <v>-2.5496267159451236</v>
      </c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80"/>
      <c r="EC43" s="181">
        <f t="shared" si="47"/>
        <v>-63.521858500528197</v>
      </c>
      <c r="EE43" s="181"/>
    </row>
    <row r="44" spans="1:135" s="182" customFormat="1" ht="30">
      <c r="A44" s="74">
        <v>57</v>
      </c>
      <c r="B44" s="74">
        <v>97</v>
      </c>
      <c r="C44" s="138">
        <v>45827</v>
      </c>
      <c r="D44" s="139">
        <v>151001347</v>
      </c>
      <c r="E44" s="138">
        <v>45826</v>
      </c>
      <c r="F44" s="138"/>
      <c r="G44" s="138"/>
      <c r="H44" s="140">
        <v>3941.35</v>
      </c>
      <c r="I44" s="141">
        <v>3941.35</v>
      </c>
      <c r="J44" s="142"/>
      <c r="K44" s="568"/>
      <c r="L44" s="337">
        <v>59</v>
      </c>
      <c r="M44" s="144"/>
      <c r="N44" s="140">
        <v>3941.35</v>
      </c>
      <c r="O44" s="522" t="s">
        <v>180</v>
      </c>
      <c r="P44" s="145" t="s">
        <v>71</v>
      </c>
      <c r="Q44" s="146" t="s">
        <v>52</v>
      </c>
      <c r="R44" s="145"/>
      <c r="S44" s="145" t="s">
        <v>181</v>
      </c>
      <c r="T44" s="145"/>
      <c r="U44" s="147" t="s">
        <v>188</v>
      </c>
      <c r="V44" s="147" t="s">
        <v>189</v>
      </c>
      <c r="W44" s="147">
        <v>4450</v>
      </c>
      <c r="X44" s="519">
        <v>4157.95</v>
      </c>
      <c r="Y44" s="148">
        <v>4157.95</v>
      </c>
      <c r="Z44" s="150"/>
      <c r="AA44" s="149"/>
      <c r="AB44" s="150"/>
      <c r="AC44" s="151"/>
      <c r="AD44" s="151"/>
      <c r="AE44" s="152">
        <f t="shared" si="0"/>
        <v>0</v>
      </c>
      <c r="AF44" s="151"/>
      <c r="AG44" s="152">
        <f t="shared" si="102"/>
        <v>0</v>
      </c>
      <c r="AH44" s="151"/>
      <c r="AI44" s="152">
        <f t="shared" si="103"/>
        <v>0</v>
      </c>
      <c r="AJ44" s="149"/>
      <c r="AK44" s="152">
        <f t="shared" si="104"/>
        <v>0</v>
      </c>
      <c r="AL44" s="149"/>
      <c r="AM44" s="151"/>
      <c r="AN44" s="152">
        <f t="shared" si="3"/>
        <v>0</v>
      </c>
      <c r="AO44" s="151"/>
      <c r="AP44" s="152">
        <f t="shared" si="4"/>
        <v>0</v>
      </c>
      <c r="AQ44" s="174">
        <f t="shared" si="106"/>
        <v>4450</v>
      </c>
      <c r="AR44" s="152">
        <f t="shared" si="48"/>
        <v>17539007.5</v>
      </c>
      <c r="AS44" s="149"/>
      <c r="AT44" s="149">
        <f t="shared" si="5"/>
        <v>4450</v>
      </c>
      <c r="AU44" s="152">
        <f t="shared" si="71"/>
        <v>0</v>
      </c>
      <c r="AV44" s="149">
        <f t="shared" si="7"/>
        <v>0</v>
      </c>
      <c r="AW44" s="152">
        <f t="shared" si="105"/>
        <v>0</v>
      </c>
      <c r="AX44" s="151">
        <f t="shared" si="9"/>
        <v>0</v>
      </c>
      <c r="AY44" s="152">
        <f t="shared" si="74"/>
        <v>0</v>
      </c>
      <c r="AZ44" s="153">
        <v>5.3</v>
      </c>
      <c r="BA44" s="153">
        <v>9.3800000000000008</v>
      </c>
      <c r="BB44" s="153"/>
      <c r="BC44" s="154">
        <f t="shared" si="11"/>
        <v>14.182860000000002</v>
      </c>
      <c r="BD44" s="155">
        <f t="shared" si="68"/>
        <v>55899.615261000006</v>
      </c>
      <c r="BE44" s="156">
        <f t="shared" si="101"/>
        <v>3941.35</v>
      </c>
      <c r="BF44" s="569">
        <v>3135</v>
      </c>
      <c r="BG44" s="157" t="s">
        <v>250</v>
      </c>
      <c r="BH44" s="570">
        <v>14.18</v>
      </c>
      <c r="BI44" s="158">
        <f t="shared" si="14"/>
        <v>55888.343000000001</v>
      </c>
      <c r="BJ44" s="570">
        <v>8.2799999999999994</v>
      </c>
      <c r="BK44" s="158">
        <f t="shared" si="15"/>
        <v>32634.377999999997</v>
      </c>
      <c r="BL44" s="570">
        <v>46.06</v>
      </c>
      <c r="BM44" s="159">
        <f t="shared" si="16"/>
        <v>181538.58100000001</v>
      </c>
      <c r="BN44" s="570">
        <v>3050</v>
      </c>
      <c r="BO44" s="159">
        <f t="shared" si="17"/>
        <v>12021117.5</v>
      </c>
      <c r="BP44" s="160"/>
      <c r="BQ44" s="570">
        <v>6.69</v>
      </c>
      <c r="BR44" s="158">
        <f t="shared" si="18"/>
        <v>26367.6315</v>
      </c>
      <c r="BS44" s="570">
        <v>46.86</v>
      </c>
      <c r="BT44" s="159">
        <f t="shared" si="19"/>
        <v>184691.66099999999</v>
      </c>
      <c r="BU44" s="570">
        <v>3103</v>
      </c>
      <c r="BV44" s="161">
        <f t="shared" si="49"/>
        <v>12230009.049999999</v>
      </c>
      <c r="BW44" s="570" t="s">
        <v>193</v>
      </c>
      <c r="BX44" s="157">
        <f t="shared" si="20"/>
        <v>2854</v>
      </c>
      <c r="BY44" s="161">
        <f t="shared" si="50"/>
        <v>11248612.9</v>
      </c>
      <c r="BZ44" s="157">
        <f t="shared" si="21"/>
        <v>43.1</v>
      </c>
      <c r="CA44" s="161">
        <f t="shared" si="75"/>
        <v>169872.185</v>
      </c>
      <c r="CB44" s="156">
        <f t="shared" si="23"/>
        <v>7.4899999999999993</v>
      </c>
      <c r="CC44" s="161">
        <f t="shared" si="94"/>
        <v>29520.711499999998</v>
      </c>
      <c r="CD44" s="162">
        <f t="shared" si="62"/>
        <v>3941.35</v>
      </c>
      <c r="CE44" s="412">
        <v>5.3</v>
      </c>
      <c r="CF44" s="164">
        <v>9.3800000000000008</v>
      </c>
      <c r="CG44" s="165">
        <f t="shared" si="51"/>
        <v>14.182860000000002</v>
      </c>
      <c r="CH44" s="166">
        <f t="shared" ref="CH44:CH62" si="107">CG44*$CD44</f>
        <v>55899.615261000006</v>
      </c>
      <c r="CI44" s="167">
        <v>45.88</v>
      </c>
      <c r="CJ44" s="166">
        <f t="shared" si="91"/>
        <v>180829.13800000001</v>
      </c>
      <c r="CK44" s="168">
        <v>6.06</v>
      </c>
      <c r="CL44" s="166">
        <f t="shared" si="26"/>
        <v>23884.580999999998</v>
      </c>
      <c r="CM44" s="167">
        <v>22.05</v>
      </c>
      <c r="CN44" s="166">
        <f t="shared" si="27"/>
        <v>86906.767500000002</v>
      </c>
      <c r="CO44" s="169">
        <f t="shared" si="28"/>
        <v>3355.699599999999</v>
      </c>
      <c r="CP44" s="166">
        <f t="shared" si="29"/>
        <v>13225986.618459996</v>
      </c>
      <c r="CQ44" s="167">
        <v>3190</v>
      </c>
      <c r="CR44" s="166">
        <f t="shared" si="92"/>
        <v>12572906.5</v>
      </c>
      <c r="CS44" s="170">
        <f t="shared" si="30"/>
        <v>45.513702363210562</v>
      </c>
      <c r="CT44" s="166">
        <f t="shared" si="31"/>
        <v>179385.43080923994</v>
      </c>
      <c r="CU44" s="168">
        <v>6.81</v>
      </c>
      <c r="CV44" s="166">
        <f t="shared" si="77"/>
        <v>26840.593499999999</v>
      </c>
      <c r="CW44" s="170">
        <f t="shared" si="78"/>
        <v>21.873956780923994</v>
      </c>
      <c r="CX44" s="166">
        <f t="shared" si="79"/>
        <v>86212.919558494774</v>
      </c>
      <c r="CY44" s="171">
        <f t="shared" si="80"/>
        <v>3164.5316159250583</v>
      </c>
      <c r="CZ44" s="166">
        <f t="shared" si="81"/>
        <v>12472526.684426228</v>
      </c>
      <c r="DA44" s="170" t="str">
        <f t="shared" si="83"/>
        <v>G14</v>
      </c>
      <c r="DB44" s="171">
        <f t="shared" si="38"/>
        <v>2914.1651756440278</v>
      </c>
      <c r="DC44" s="166">
        <f t="shared" si="69"/>
        <v>11485744.91502459</v>
      </c>
      <c r="DD44" s="170">
        <f t="shared" si="54"/>
        <v>41.912820770704705</v>
      </c>
      <c r="DE44" s="221">
        <f t="shared" si="55"/>
        <v>165193.09614461698</v>
      </c>
      <c r="DF44" s="222">
        <f t="shared" si="56"/>
        <v>7.372860000000002</v>
      </c>
      <c r="DG44" s="221">
        <f t="shared" si="57"/>
        <v>29059.021761000007</v>
      </c>
      <c r="DH44" s="172">
        <f t="shared" si="40"/>
        <v>-4</v>
      </c>
      <c r="DI44" s="173">
        <f t="shared" si="95"/>
        <v>61.531615925058304</v>
      </c>
      <c r="DJ44" s="174">
        <f t="shared" si="96"/>
        <v>-4</v>
      </c>
      <c r="DK44" s="175">
        <f t="shared" si="97"/>
        <v>1347</v>
      </c>
      <c r="DL44" s="176">
        <f t="shared" si="98"/>
        <v>-4</v>
      </c>
      <c r="DM44" s="175" t="e">
        <f t="shared" si="99"/>
        <v>#VALUE!</v>
      </c>
      <c r="DN44" s="177"/>
      <c r="DO44" s="178">
        <f t="shared" si="46"/>
        <v>-60.16517564402784</v>
      </c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80"/>
      <c r="EC44" s="181">
        <f t="shared" si="47"/>
        <v>-61.531615925058304</v>
      </c>
      <c r="EE44" s="181"/>
    </row>
    <row r="45" spans="1:135" s="182" customFormat="1" ht="45">
      <c r="A45" s="74">
        <v>58</v>
      </c>
      <c r="B45" s="74">
        <v>100</v>
      </c>
      <c r="C45" s="138">
        <v>45828</v>
      </c>
      <c r="D45" s="139">
        <v>161005925</v>
      </c>
      <c r="E45" s="138">
        <v>45827</v>
      </c>
      <c r="F45" s="138"/>
      <c r="G45" s="138"/>
      <c r="H45" s="140">
        <v>3847.45</v>
      </c>
      <c r="I45" s="141">
        <v>3847.45</v>
      </c>
      <c r="J45" s="142"/>
      <c r="K45" s="568"/>
      <c r="L45" s="337">
        <v>58</v>
      </c>
      <c r="M45" s="144"/>
      <c r="N45" s="140">
        <v>3847.45</v>
      </c>
      <c r="O45" s="522" t="s">
        <v>180</v>
      </c>
      <c r="P45" s="145" t="s">
        <v>69</v>
      </c>
      <c r="Q45" s="146" t="s">
        <v>50</v>
      </c>
      <c r="R45" s="145"/>
      <c r="S45" s="145" t="s">
        <v>181</v>
      </c>
      <c r="T45" s="145"/>
      <c r="U45" s="147" t="s">
        <v>182</v>
      </c>
      <c r="V45" s="147" t="s">
        <v>183</v>
      </c>
      <c r="W45" s="147">
        <v>4150</v>
      </c>
      <c r="X45" s="519">
        <v>4102.6000000000004</v>
      </c>
      <c r="Y45" s="148">
        <v>4102.6000000000004</v>
      </c>
      <c r="Z45" s="150"/>
      <c r="AA45" s="149"/>
      <c r="AB45" s="150"/>
      <c r="AC45" s="151"/>
      <c r="AD45" s="151"/>
      <c r="AE45" s="152">
        <f t="shared" si="0"/>
        <v>0</v>
      </c>
      <c r="AF45" s="151"/>
      <c r="AG45" s="152">
        <f t="shared" si="102"/>
        <v>0</v>
      </c>
      <c r="AH45" s="151"/>
      <c r="AI45" s="152">
        <f t="shared" si="103"/>
        <v>0</v>
      </c>
      <c r="AJ45" s="149"/>
      <c r="AK45" s="152">
        <f t="shared" si="104"/>
        <v>0</v>
      </c>
      <c r="AL45" s="149"/>
      <c r="AM45" s="151"/>
      <c r="AN45" s="152">
        <f t="shared" si="3"/>
        <v>0</v>
      </c>
      <c r="AO45" s="151"/>
      <c r="AP45" s="152">
        <f t="shared" si="4"/>
        <v>0</v>
      </c>
      <c r="AQ45" s="174">
        <f t="shared" si="106"/>
        <v>4150</v>
      </c>
      <c r="AR45" s="152">
        <f t="shared" si="48"/>
        <v>15966917.5</v>
      </c>
      <c r="AS45" s="149"/>
      <c r="AT45" s="149">
        <f t="shared" si="5"/>
        <v>4150</v>
      </c>
      <c r="AU45" s="152">
        <f t="shared" si="71"/>
        <v>0</v>
      </c>
      <c r="AV45" s="149">
        <f t="shared" si="7"/>
        <v>0</v>
      </c>
      <c r="AW45" s="152">
        <f t="shared" si="105"/>
        <v>0</v>
      </c>
      <c r="AX45" s="151">
        <f t="shared" si="9"/>
        <v>0</v>
      </c>
      <c r="AY45" s="152">
        <f t="shared" si="74"/>
        <v>0</v>
      </c>
      <c r="AZ45" s="153">
        <v>5.4</v>
      </c>
      <c r="BA45" s="153">
        <v>7.03</v>
      </c>
      <c r="BB45" s="153"/>
      <c r="BC45" s="154">
        <f t="shared" si="11"/>
        <v>12.050380000000001</v>
      </c>
      <c r="BD45" s="155">
        <f t="shared" si="68"/>
        <v>46363.234531000002</v>
      </c>
      <c r="BE45" s="156"/>
      <c r="BF45" s="157"/>
      <c r="BG45" s="157"/>
      <c r="BH45" s="156"/>
      <c r="BI45" s="158">
        <f t="shared" si="14"/>
        <v>0</v>
      </c>
      <c r="BJ45" s="156"/>
      <c r="BK45" s="158">
        <f t="shared" si="15"/>
        <v>0</v>
      </c>
      <c r="BL45" s="156"/>
      <c r="BM45" s="159">
        <f t="shared" si="16"/>
        <v>0</v>
      </c>
      <c r="BN45" s="157"/>
      <c r="BO45" s="159">
        <f t="shared" si="17"/>
        <v>0</v>
      </c>
      <c r="BP45" s="160"/>
      <c r="BQ45" s="156"/>
      <c r="BR45" s="158">
        <f t="shared" si="18"/>
        <v>0</v>
      </c>
      <c r="BS45" s="156"/>
      <c r="BT45" s="159">
        <f t="shared" si="19"/>
        <v>0</v>
      </c>
      <c r="BU45" s="472">
        <f>CY45</f>
        <v>2722.0728185812932</v>
      </c>
      <c r="BV45" s="161">
        <f t="shared" si="49"/>
        <v>10473039.065850595</v>
      </c>
      <c r="BW45" s="518"/>
      <c r="BX45" s="472">
        <f>DB45</f>
        <v>2522.1794143126176</v>
      </c>
      <c r="BY45" s="161">
        <f t="shared" si="50"/>
        <v>9703959.1875970811</v>
      </c>
      <c r="BZ45" s="157">
        <f t="shared" si="21"/>
        <v>0</v>
      </c>
      <c r="CA45" s="161">
        <f t="shared" si="75"/>
        <v>0</v>
      </c>
      <c r="CB45" s="156">
        <f t="shared" si="23"/>
        <v>0</v>
      </c>
      <c r="CC45" s="161">
        <f t="shared" si="94"/>
        <v>0</v>
      </c>
      <c r="CD45" s="162">
        <f t="shared" si="62"/>
        <v>3847.45</v>
      </c>
      <c r="CE45" s="163">
        <v>5.4</v>
      </c>
      <c r="CF45" s="164">
        <v>7.03</v>
      </c>
      <c r="CG45" s="165">
        <f t="shared" si="51"/>
        <v>12.050380000000001</v>
      </c>
      <c r="CH45" s="166">
        <f t="shared" si="107"/>
        <v>46363.234531000002</v>
      </c>
      <c r="CI45" s="167">
        <v>51.33</v>
      </c>
      <c r="CJ45" s="166">
        <f t="shared" si="91"/>
        <v>197489.60849999997</v>
      </c>
      <c r="CK45" s="168">
        <v>4.42</v>
      </c>
      <c r="CL45" s="166">
        <f t="shared" si="26"/>
        <v>17005.728999999999</v>
      </c>
      <c r="CM45" s="167">
        <v>23.1</v>
      </c>
      <c r="CN45" s="166">
        <f t="shared" si="27"/>
        <v>88876.095000000001</v>
      </c>
      <c r="CO45" s="169">
        <f t="shared" si="28"/>
        <v>3081.5185000000001</v>
      </c>
      <c r="CP45" s="166">
        <f t="shared" si="29"/>
        <v>11855988.352824999</v>
      </c>
      <c r="CQ45" s="167">
        <v>2741</v>
      </c>
      <c r="CR45" s="166">
        <f t="shared" si="92"/>
        <v>10545860.449999999</v>
      </c>
      <c r="CS45" s="170">
        <f t="shared" si="30"/>
        <v>50.975555555555559</v>
      </c>
      <c r="CT45" s="166">
        <f t="shared" si="31"/>
        <v>196125.90122222222</v>
      </c>
      <c r="CU45" s="168">
        <v>5.08</v>
      </c>
      <c r="CV45" s="166">
        <f t="shared" si="77"/>
        <v>19545.045999999998</v>
      </c>
      <c r="CW45" s="170">
        <f t="shared" si="78"/>
        <v>22.940489642184559</v>
      </c>
      <c r="CX45" s="166">
        <f t="shared" si="79"/>
        <v>88262.386873822979</v>
      </c>
      <c r="CY45" s="171">
        <f t="shared" si="80"/>
        <v>2722.0728185812932</v>
      </c>
      <c r="CZ45" s="166">
        <f t="shared" si="81"/>
        <v>10473039.065850595</v>
      </c>
      <c r="DA45" s="170" t="str">
        <f t="shared" si="83"/>
        <v>G16</v>
      </c>
      <c r="DB45" s="171">
        <f t="shared" si="38"/>
        <v>2522.1794143126176</v>
      </c>
      <c r="DC45" s="166">
        <f t="shared" si="69"/>
        <v>9703959.1875970811</v>
      </c>
      <c r="DD45" s="170">
        <f t="shared" si="54"/>
        <v>47.232203333333331</v>
      </c>
      <c r="DE45" s="221">
        <f t="shared" si="55"/>
        <v>181723.5407148333</v>
      </c>
      <c r="DF45" s="222">
        <f t="shared" si="56"/>
        <v>6.9703800000000005</v>
      </c>
      <c r="DG45" s="221">
        <f t="shared" si="57"/>
        <v>26818.188531</v>
      </c>
      <c r="DH45" s="172">
        <f t="shared" si="40"/>
        <v>-5</v>
      </c>
      <c r="DI45" s="173">
        <f t="shared" si="95"/>
        <v>0</v>
      </c>
      <c r="DJ45" s="174" t="e">
        <f t="shared" si="96"/>
        <v>#VALUE!</v>
      </c>
      <c r="DK45" s="175">
        <f t="shared" si="97"/>
        <v>1427.9271814187068</v>
      </c>
      <c r="DL45" s="176" t="e">
        <f t="shared" si="98"/>
        <v>#VALUE!</v>
      </c>
      <c r="DM45" s="175" t="e">
        <f t="shared" si="99"/>
        <v>#VALUE!</v>
      </c>
      <c r="DN45" s="177"/>
      <c r="DO45" s="178">
        <f t="shared" si="46"/>
        <v>0</v>
      </c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80"/>
      <c r="EC45" s="181">
        <f t="shared" si="47"/>
        <v>0</v>
      </c>
      <c r="EE45" s="181"/>
    </row>
    <row r="46" spans="1:135" s="182" customFormat="1" ht="30">
      <c r="A46" s="74">
        <v>61</v>
      </c>
      <c r="B46" s="74">
        <v>104</v>
      </c>
      <c r="C46" s="138">
        <v>45829</v>
      </c>
      <c r="D46" s="139">
        <v>162000394</v>
      </c>
      <c r="E46" s="138">
        <v>45827</v>
      </c>
      <c r="F46" s="138"/>
      <c r="G46" s="138"/>
      <c r="H46" s="656">
        <v>3700.15</v>
      </c>
      <c r="I46" s="141">
        <v>829.86</v>
      </c>
      <c r="J46" s="142">
        <f>(Y46/X46)*100</f>
        <v>22.427769212126215</v>
      </c>
      <c r="K46" s="143">
        <f>ROUND(((J46*H46)/100),2)</f>
        <v>829.86</v>
      </c>
      <c r="L46" s="337">
        <v>59</v>
      </c>
      <c r="M46" s="144"/>
      <c r="N46" s="144">
        <v>829.86</v>
      </c>
      <c r="O46" s="522" t="s">
        <v>180</v>
      </c>
      <c r="P46" s="145" t="s">
        <v>68</v>
      </c>
      <c r="Q46" s="146" t="s">
        <v>62</v>
      </c>
      <c r="R46" s="145"/>
      <c r="S46" s="145" t="s">
        <v>181</v>
      </c>
      <c r="T46" s="145"/>
      <c r="U46" s="147" t="s">
        <v>182</v>
      </c>
      <c r="V46" s="147" t="s">
        <v>183</v>
      </c>
      <c r="W46" s="147">
        <v>4150</v>
      </c>
      <c r="X46" s="653">
        <v>3878.54</v>
      </c>
      <c r="Y46" s="148">
        <v>869.87</v>
      </c>
      <c r="Z46" s="150"/>
      <c r="AA46" s="149"/>
      <c r="AB46" s="150"/>
      <c r="AC46" s="151"/>
      <c r="AD46" s="151"/>
      <c r="AE46" s="152">
        <f t="shared" si="0"/>
        <v>0</v>
      </c>
      <c r="AF46" s="151"/>
      <c r="AG46" s="152">
        <f t="shared" si="102"/>
        <v>0</v>
      </c>
      <c r="AH46" s="151"/>
      <c r="AI46" s="152">
        <f t="shared" si="103"/>
        <v>0</v>
      </c>
      <c r="AJ46" s="149"/>
      <c r="AK46" s="152">
        <f t="shared" si="104"/>
        <v>0</v>
      </c>
      <c r="AL46" s="149"/>
      <c r="AM46" s="151"/>
      <c r="AN46" s="152">
        <f t="shared" si="3"/>
        <v>0</v>
      </c>
      <c r="AO46" s="151"/>
      <c r="AP46" s="152">
        <f t="shared" si="4"/>
        <v>0</v>
      </c>
      <c r="AQ46" s="174">
        <f t="shared" si="106"/>
        <v>4150</v>
      </c>
      <c r="AR46" s="152">
        <f t="shared" si="48"/>
        <v>3443919</v>
      </c>
      <c r="AS46" s="149"/>
      <c r="AT46" s="149">
        <f t="shared" si="5"/>
        <v>4150</v>
      </c>
      <c r="AU46" s="152">
        <f t="shared" si="71"/>
        <v>0</v>
      </c>
      <c r="AV46" s="149">
        <f t="shared" si="7"/>
        <v>0</v>
      </c>
      <c r="AW46" s="152">
        <f t="shared" si="105"/>
        <v>0</v>
      </c>
      <c r="AX46" s="151">
        <f t="shared" si="9"/>
        <v>0</v>
      </c>
      <c r="AY46" s="152">
        <f t="shared" si="74"/>
        <v>0</v>
      </c>
      <c r="AZ46" s="153">
        <v>6.8</v>
      </c>
      <c r="BA46" s="153">
        <v>5.76</v>
      </c>
      <c r="BB46" s="153"/>
      <c r="BC46" s="154">
        <f t="shared" si="11"/>
        <v>12.16832</v>
      </c>
      <c r="BD46" s="155">
        <f t="shared" si="68"/>
        <v>10098.002035199999</v>
      </c>
      <c r="BE46" s="156"/>
      <c r="BF46" s="157"/>
      <c r="BG46" s="157"/>
      <c r="BH46" s="156"/>
      <c r="BI46" s="158">
        <f t="shared" si="14"/>
        <v>0</v>
      </c>
      <c r="BJ46" s="156"/>
      <c r="BK46" s="158">
        <f t="shared" si="15"/>
        <v>0</v>
      </c>
      <c r="BL46" s="156"/>
      <c r="BM46" s="159">
        <f t="shared" si="16"/>
        <v>0</v>
      </c>
      <c r="BN46" s="157"/>
      <c r="BO46" s="159">
        <f t="shared" si="17"/>
        <v>0</v>
      </c>
      <c r="BP46" s="160"/>
      <c r="BQ46" s="156"/>
      <c r="BR46" s="158">
        <f t="shared" si="18"/>
        <v>0</v>
      </c>
      <c r="BS46" s="156"/>
      <c r="BT46" s="159">
        <f t="shared" si="19"/>
        <v>0</v>
      </c>
      <c r="BU46" s="472">
        <f t="shared" ref="BU46:BU62" si="108">CY46</f>
        <v>3543.8980789754532</v>
      </c>
      <c r="BV46" s="161">
        <f t="shared" si="49"/>
        <v>2940939.2598185698</v>
      </c>
      <c r="BW46" s="157"/>
      <c r="BX46" s="472">
        <f t="shared" ref="BX46:BX62" si="109">DB46</f>
        <v>3186.0270800426892</v>
      </c>
      <c r="BY46" s="161">
        <f t="shared" si="50"/>
        <v>2643956.4326442261</v>
      </c>
      <c r="BZ46" s="157">
        <f t="shared" si="21"/>
        <v>0</v>
      </c>
      <c r="CA46" s="161">
        <f t="shared" si="75"/>
        <v>0</v>
      </c>
      <c r="CB46" s="156">
        <f t="shared" si="23"/>
        <v>0</v>
      </c>
      <c r="CC46" s="161">
        <f t="shared" si="94"/>
        <v>0</v>
      </c>
      <c r="CD46" s="162">
        <f t="shared" si="62"/>
        <v>829.86</v>
      </c>
      <c r="CE46" s="163">
        <v>6.8</v>
      </c>
      <c r="CF46" s="164">
        <v>10.050000000000001</v>
      </c>
      <c r="CG46" s="165">
        <f t="shared" si="51"/>
        <v>16.166599999999999</v>
      </c>
      <c r="CH46" s="166">
        <f t="shared" si="107"/>
        <v>13416.014675999999</v>
      </c>
      <c r="CI46" s="167">
        <v>38.619999999999997</v>
      </c>
      <c r="CJ46" s="166">
        <f t="shared" si="91"/>
        <v>32049.193199999998</v>
      </c>
      <c r="CK46" s="168">
        <v>6.3</v>
      </c>
      <c r="CL46" s="166">
        <f t="shared" si="26"/>
        <v>5228.1180000000004</v>
      </c>
      <c r="CM46" s="167">
        <v>27.24</v>
      </c>
      <c r="CN46" s="166">
        <f t="shared" si="27"/>
        <v>22605.386399999999</v>
      </c>
      <c r="CO46" s="169">
        <f t="shared" si="28"/>
        <v>4004.0037999999995</v>
      </c>
      <c r="CP46" s="166">
        <f t="shared" si="29"/>
        <v>3322762.5934679997</v>
      </c>
      <c r="CQ46" s="167">
        <v>3561</v>
      </c>
      <c r="CR46" s="166">
        <f t="shared" si="92"/>
        <v>2955131.46</v>
      </c>
      <c r="CS46" s="170">
        <f t="shared" si="30"/>
        <v>38.434525080042683</v>
      </c>
      <c r="CT46" s="166">
        <f t="shared" si="31"/>
        <v>31895.27498292422</v>
      </c>
      <c r="CU46" s="168">
        <v>6.75</v>
      </c>
      <c r="CV46" s="166">
        <f t="shared" si="77"/>
        <v>5601.5550000000003</v>
      </c>
      <c r="CW46" s="170">
        <f t="shared" si="78"/>
        <v>27.109178228388473</v>
      </c>
      <c r="CX46" s="166">
        <f t="shared" si="79"/>
        <v>22496.82264461046</v>
      </c>
      <c r="CY46" s="171">
        <f t="shared" si="80"/>
        <v>3543.8980789754532</v>
      </c>
      <c r="CZ46" s="166">
        <f t="shared" si="81"/>
        <v>2940939.2598185698</v>
      </c>
      <c r="DA46" s="170" t="str">
        <f t="shared" si="83"/>
        <v>G13</v>
      </c>
      <c r="DB46" s="171">
        <f t="shared" si="38"/>
        <v>3186.0270800426892</v>
      </c>
      <c r="DC46" s="166">
        <f t="shared" si="69"/>
        <v>2643956.4326442261</v>
      </c>
      <c r="DD46" s="170">
        <f t="shared" si="54"/>
        <v>34.553318121664887</v>
      </c>
      <c r="DE46" s="221">
        <f t="shared" si="55"/>
        <v>28674.416576444823</v>
      </c>
      <c r="DF46" s="222">
        <f t="shared" si="56"/>
        <v>9.416599999999999</v>
      </c>
      <c r="DG46" s="221">
        <f t="shared" si="57"/>
        <v>7814.4596759999995</v>
      </c>
      <c r="DH46" s="172">
        <f t="shared" si="40"/>
        <v>-2</v>
      </c>
      <c r="DI46" s="173">
        <f t="shared" si="95"/>
        <v>0</v>
      </c>
      <c r="DJ46" s="174" t="e">
        <f t="shared" si="96"/>
        <v>#VALUE!</v>
      </c>
      <c r="DK46" s="175">
        <f t="shared" si="97"/>
        <v>606.10192102454675</v>
      </c>
      <c r="DL46" s="176" t="e">
        <f t="shared" si="98"/>
        <v>#VALUE!</v>
      </c>
      <c r="DM46" s="175" t="e">
        <f t="shared" si="99"/>
        <v>#VALUE!</v>
      </c>
      <c r="DN46" s="177"/>
      <c r="DO46" s="178">
        <f t="shared" si="46"/>
        <v>0</v>
      </c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80"/>
      <c r="EC46" s="181">
        <f t="shared" si="47"/>
        <v>0</v>
      </c>
      <c r="EE46" s="181"/>
    </row>
    <row r="47" spans="1:135" s="182" customFormat="1" ht="30">
      <c r="A47" s="74">
        <v>62</v>
      </c>
      <c r="B47" s="74">
        <v>104</v>
      </c>
      <c r="C47" s="138">
        <v>45829</v>
      </c>
      <c r="D47" s="139">
        <v>162000394</v>
      </c>
      <c r="E47" s="138">
        <v>45827</v>
      </c>
      <c r="F47" s="138"/>
      <c r="G47" s="138"/>
      <c r="H47" s="657"/>
      <c r="I47" s="141">
        <v>2870.29</v>
      </c>
      <c r="J47" s="142">
        <f>(Y47/X46)*100</f>
        <v>77.572230787873792</v>
      </c>
      <c r="K47" s="143">
        <f>ROUND(((J47*H46)/100),2)</f>
        <v>2870.29</v>
      </c>
      <c r="L47" s="337"/>
      <c r="M47" s="144"/>
      <c r="N47" s="144">
        <v>2870.29</v>
      </c>
      <c r="O47" s="522" t="s">
        <v>180</v>
      </c>
      <c r="P47" s="145" t="s">
        <v>68</v>
      </c>
      <c r="Q47" s="146" t="s">
        <v>63</v>
      </c>
      <c r="R47" s="145"/>
      <c r="S47" s="145" t="s">
        <v>181</v>
      </c>
      <c r="T47" s="145"/>
      <c r="U47" s="147" t="s">
        <v>188</v>
      </c>
      <c r="V47" s="147" t="s">
        <v>189</v>
      </c>
      <c r="W47" s="147">
        <v>4450</v>
      </c>
      <c r="X47" s="655"/>
      <c r="Y47" s="148">
        <v>3008.67</v>
      </c>
      <c r="Z47" s="150"/>
      <c r="AA47" s="149"/>
      <c r="AB47" s="150"/>
      <c r="AC47" s="151"/>
      <c r="AD47" s="151"/>
      <c r="AE47" s="152">
        <f t="shared" si="0"/>
        <v>0</v>
      </c>
      <c r="AF47" s="151"/>
      <c r="AG47" s="152">
        <f t="shared" si="102"/>
        <v>0</v>
      </c>
      <c r="AH47" s="151"/>
      <c r="AI47" s="152">
        <f t="shared" si="103"/>
        <v>0</v>
      </c>
      <c r="AJ47" s="149"/>
      <c r="AK47" s="152">
        <f t="shared" si="104"/>
        <v>0</v>
      </c>
      <c r="AL47" s="149"/>
      <c r="AM47" s="151"/>
      <c r="AN47" s="152">
        <f t="shared" si="3"/>
        <v>0</v>
      </c>
      <c r="AO47" s="151"/>
      <c r="AP47" s="152">
        <f t="shared" si="4"/>
        <v>0</v>
      </c>
      <c r="AQ47" s="174">
        <f t="shared" si="106"/>
        <v>4450</v>
      </c>
      <c r="AR47" s="152">
        <f t="shared" si="48"/>
        <v>12772790.5</v>
      </c>
      <c r="AS47" s="149"/>
      <c r="AT47" s="149">
        <f t="shared" si="5"/>
        <v>4450</v>
      </c>
      <c r="AU47" s="152">
        <f t="shared" si="71"/>
        <v>0</v>
      </c>
      <c r="AV47" s="149">
        <f t="shared" si="7"/>
        <v>0</v>
      </c>
      <c r="AW47" s="152">
        <f t="shared" si="105"/>
        <v>0</v>
      </c>
      <c r="AX47" s="151">
        <f t="shared" si="9"/>
        <v>0</v>
      </c>
      <c r="AY47" s="152">
        <f t="shared" si="74"/>
        <v>0</v>
      </c>
      <c r="AZ47" s="153">
        <v>6.8</v>
      </c>
      <c r="BA47" s="153">
        <v>5.76</v>
      </c>
      <c r="BB47" s="153"/>
      <c r="BC47" s="154">
        <f t="shared" si="11"/>
        <v>12.16832</v>
      </c>
      <c r="BD47" s="155">
        <f t="shared" si="68"/>
        <v>34926.607212800001</v>
      </c>
      <c r="BE47" s="156"/>
      <c r="BF47" s="157"/>
      <c r="BG47" s="157"/>
      <c r="BH47" s="156"/>
      <c r="BI47" s="158">
        <f t="shared" si="14"/>
        <v>0</v>
      </c>
      <c r="BJ47" s="156"/>
      <c r="BK47" s="158">
        <f t="shared" si="15"/>
        <v>0</v>
      </c>
      <c r="BL47" s="156"/>
      <c r="BM47" s="159">
        <f t="shared" si="16"/>
        <v>0</v>
      </c>
      <c r="BN47" s="157"/>
      <c r="BO47" s="159">
        <f t="shared" si="17"/>
        <v>0</v>
      </c>
      <c r="BP47" s="160"/>
      <c r="BQ47" s="156"/>
      <c r="BR47" s="158">
        <f t="shared" si="18"/>
        <v>0</v>
      </c>
      <c r="BS47" s="156"/>
      <c r="BT47" s="159">
        <f t="shared" si="19"/>
        <v>0</v>
      </c>
      <c r="BU47" s="472">
        <f t="shared" si="108"/>
        <v>3543.8980789754532</v>
      </c>
      <c r="BV47" s="161">
        <f t="shared" si="49"/>
        <v>10172015.217102453</v>
      </c>
      <c r="BW47" s="157"/>
      <c r="BX47" s="472">
        <f t="shared" si="109"/>
        <v>3186.0270800426892</v>
      </c>
      <c r="BY47" s="161">
        <f t="shared" si="50"/>
        <v>9144821.66757573</v>
      </c>
      <c r="BZ47" s="157">
        <f t="shared" si="21"/>
        <v>0</v>
      </c>
      <c r="CA47" s="161">
        <f t="shared" si="75"/>
        <v>0</v>
      </c>
      <c r="CB47" s="156">
        <f t="shared" si="23"/>
        <v>0</v>
      </c>
      <c r="CC47" s="161">
        <f t="shared" si="94"/>
        <v>0</v>
      </c>
      <c r="CD47" s="162">
        <f t="shared" si="62"/>
        <v>2870.29</v>
      </c>
      <c r="CE47" s="163">
        <v>6.8</v>
      </c>
      <c r="CF47" s="164">
        <v>10.050000000000001</v>
      </c>
      <c r="CG47" s="165">
        <f t="shared" si="51"/>
        <v>16.166599999999999</v>
      </c>
      <c r="CH47" s="166">
        <f t="shared" si="107"/>
        <v>46402.830313999999</v>
      </c>
      <c r="CI47" s="167">
        <v>38.619999999999997</v>
      </c>
      <c r="CJ47" s="166">
        <f t="shared" si="91"/>
        <v>110850.5998</v>
      </c>
      <c r="CK47" s="168">
        <v>6.3</v>
      </c>
      <c r="CL47" s="166">
        <f t="shared" si="26"/>
        <v>18082.826999999997</v>
      </c>
      <c r="CM47" s="167">
        <v>27.24</v>
      </c>
      <c r="CN47" s="166">
        <f t="shared" si="27"/>
        <v>78186.699599999993</v>
      </c>
      <c r="CO47" s="169">
        <f t="shared" si="28"/>
        <v>4004.0037999999995</v>
      </c>
      <c r="CP47" s="166">
        <f t="shared" si="29"/>
        <v>11492652.067101998</v>
      </c>
      <c r="CQ47" s="167">
        <v>3561</v>
      </c>
      <c r="CR47" s="166">
        <f t="shared" si="92"/>
        <v>10221102.689999999</v>
      </c>
      <c r="CS47" s="170">
        <f t="shared" si="30"/>
        <v>38.434525080042683</v>
      </c>
      <c r="CT47" s="166">
        <f t="shared" si="31"/>
        <v>110318.23299199571</v>
      </c>
      <c r="CU47" s="168">
        <v>6.75</v>
      </c>
      <c r="CV47" s="166">
        <f t="shared" si="77"/>
        <v>19374.4575</v>
      </c>
      <c r="CW47" s="170">
        <f t="shared" si="78"/>
        <v>27.109178228388473</v>
      </c>
      <c r="CX47" s="166">
        <f t="shared" si="79"/>
        <v>77811.203177161151</v>
      </c>
      <c r="CY47" s="171">
        <f t="shared" si="80"/>
        <v>3543.8980789754532</v>
      </c>
      <c r="CZ47" s="166">
        <f t="shared" si="81"/>
        <v>10172015.217102453</v>
      </c>
      <c r="DA47" s="170" t="str">
        <f t="shared" si="83"/>
        <v>G13</v>
      </c>
      <c r="DB47" s="171">
        <f t="shared" si="38"/>
        <v>3186.0270800426892</v>
      </c>
      <c r="DC47" s="166">
        <f t="shared" si="69"/>
        <v>9144821.66757573</v>
      </c>
      <c r="DD47" s="170">
        <f t="shared" si="54"/>
        <v>34.553318121664887</v>
      </c>
      <c r="DE47" s="221">
        <f t="shared" si="55"/>
        <v>99178.043471433513</v>
      </c>
      <c r="DF47" s="222">
        <f t="shared" si="56"/>
        <v>9.416599999999999</v>
      </c>
      <c r="DG47" s="221">
        <f t="shared" si="57"/>
        <v>27028.372813999998</v>
      </c>
      <c r="DH47" s="172">
        <f t="shared" si="40"/>
        <v>-3</v>
      </c>
      <c r="DI47" s="173">
        <f t="shared" si="95"/>
        <v>0</v>
      </c>
      <c r="DJ47" s="174" t="e">
        <f t="shared" si="96"/>
        <v>#VALUE!</v>
      </c>
      <c r="DK47" s="175">
        <f t="shared" si="97"/>
        <v>906.10192102454675</v>
      </c>
      <c r="DL47" s="176" t="e">
        <f t="shared" si="98"/>
        <v>#VALUE!</v>
      </c>
      <c r="DM47" s="175" t="e">
        <f t="shared" si="99"/>
        <v>#VALUE!</v>
      </c>
      <c r="DN47" s="177"/>
      <c r="DO47" s="178">
        <f t="shared" si="46"/>
        <v>0</v>
      </c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80"/>
      <c r="EC47" s="181">
        <f t="shared" si="47"/>
        <v>0</v>
      </c>
      <c r="EE47" s="181"/>
    </row>
    <row r="48" spans="1:135" s="182" customFormat="1" ht="30">
      <c r="A48" s="74">
        <v>65</v>
      </c>
      <c r="B48" s="74">
        <v>108</v>
      </c>
      <c r="C48" s="138">
        <v>45829</v>
      </c>
      <c r="D48" s="139">
        <v>162000396</v>
      </c>
      <c r="E48" s="138">
        <v>45828</v>
      </c>
      <c r="F48" s="138"/>
      <c r="G48" s="138"/>
      <c r="H48" s="656">
        <v>3415.9</v>
      </c>
      <c r="I48" s="141">
        <v>1724.43</v>
      </c>
      <c r="J48" s="142">
        <f>(Y48/X48)*100</f>
        <v>50.482333654614507</v>
      </c>
      <c r="K48" s="143">
        <f>ROUND(((J48*H48)/100),2)</f>
        <v>1724.43</v>
      </c>
      <c r="L48" s="337">
        <v>58</v>
      </c>
      <c r="M48" s="144"/>
      <c r="N48" s="144">
        <v>1724.43</v>
      </c>
      <c r="O48" s="522" t="s">
        <v>180</v>
      </c>
      <c r="P48" s="145" t="s">
        <v>68</v>
      </c>
      <c r="Q48" s="146" t="s">
        <v>62</v>
      </c>
      <c r="R48" s="145"/>
      <c r="S48" s="145" t="s">
        <v>181</v>
      </c>
      <c r="T48" s="145"/>
      <c r="U48" s="147" t="s">
        <v>182</v>
      </c>
      <c r="V48" s="147" t="s">
        <v>183</v>
      </c>
      <c r="W48" s="147">
        <v>4150</v>
      </c>
      <c r="X48" s="653">
        <v>3641.67</v>
      </c>
      <c r="Y48" s="148">
        <v>1838.4</v>
      </c>
      <c r="Z48" s="150"/>
      <c r="AA48" s="149"/>
      <c r="AB48" s="150"/>
      <c r="AC48" s="151"/>
      <c r="AD48" s="151"/>
      <c r="AE48" s="152">
        <f t="shared" si="0"/>
        <v>0</v>
      </c>
      <c r="AF48" s="151"/>
      <c r="AG48" s="152">
        <f t="shared" si="102"/>
        <v>0</v>
      </c>
      <c r="AH48" s="151"/>
      <c r="AI48" s="152">
        <f t="shared" si="103"/>
        <v>0</v>
      </c>
      <c r="AJ48" s="149"/>
      <c r="AK48" s="152">
        <f t="shared" si="104"/>
        <v>0</v>
      </c>
      <c r="AL48" s="149"/>
      <c r="AM48" s="151"/>
      <c r="AN48" s="152">
        <f t="shared" si="3"/>
        <v>0</v>
      </c>
      <c r="AO48" s="151"/>
      <c r="AP48" s="152">
        <f t="shared" si="4"/>
        <v>0</v>
      </c>
      <c r="AQ48" s="174">
        <f t="shared" si="106"/>
        <v>4150</v>
      </c>
      <c r="AR48" s="152">
        <f t="shared" si="48"/>
        <v>7156384.5</v>
      </c>
      <c r="AS48" s="149"/>
      <c r="AT48" s="149">
        <f t="shared" si="5"/>
        <v>4150</v>
      </c>
      <c r="AU48" s="152">
        <f t="shared" si="71"/>
        <v>0</v>
      </c>
      <c r="AV48" s="149">
        <f t="shared" si="7"/>
        <v>0</v>
      </c>
      <c r="AW48" s="152">
        <f t="shared" si="73"/>
        <v>0</v>
      </c>
      <c r="AX48" s="151">
        <f t="shared" si="9"/>
        <v>0</v>
      </c>
      <c r="AY48" s="152">
        <f t="shared" si="74"/>
        <v>0</v>
      </c>
      <c r="AZ48" s="153">
        <v>2.4</v>
      </c>
      <c r="BA48" s="153">
        <v>9.98</v>
      </c>
      <c r="BB48" s="153"/>
      <c r="BC48" s="154">
        <f t="shared" si="11"/>
        <v>12.14048</v>
      </c>
      <c r="BD48" s="155">
        <f t="shared" si="68"/>
        <v>20935.407926399999</v>
      </c>
      <c r="BE48" s="156"/>
      <c r="BF48" s="157"/>
      <c r="BG48" s="157"/>
      <c r="BH48" s="156"/>
      <c r="BI48" s="158">
        <f t="shared" si="14"/>
        <v>0</v>
      </c>
      <c r="BJ48" s="156"/>
      <c r="BK48" s="158">
        <f t="shared" si="15"/>
        <v>0</v>
      </c>
      <c r="BL48" s="156"/>
      <c r="BM48" s="159">
        <f t="shared" si="16"/>
        <v>0</v>
      </c>
      <c r="BN48" s="157"/>
      <c r="BO48" s="159">
        <f t="shared" si="17"/>
        <v>0</v>
      </c>
      <c r="BP48" s="160"/>
      <c r="BQ48" s="156"/>
      <c r="BR48" s="158">
        <f t="shared" si="18"/>
        <v>0</v>
      </c>
      <c r="BS48" s="156"/>
      <c r="BT48" s="159">
        <f t="shared" si="19"/>
        <v>0</v>
      </c>
      <c r="BU48" s="472">
        <f t="shared" si="108"/>
        <v>2438</v>
      </c>
      <c r="BV48" s="161">
        <f t="shared" si="49"/>
        <v>4204160.34</v>
      </c>
      <c r="BW48" s="157"/>
      <c r="BX48" s="472">
        <f t="shared" si="109"/>
        <v>2931.4434041110408</v>
      </c>
      <c r="BY48" s="161">
        <f t="shared" si="50"/>
        <v>5055068.9493512018</v>
      </c>
      <c r="BZ48" s="157">
        <f t="shared" si="21"/>
        <v>0</v>
      </c>
      <c r="CA48" s="161">
        <f t="shared" si="75"/>
        <v>0</v>
      </c>
      <c r="CB48" s="156">
        <f t="shared" si="23"/>
        <v>0</v>
      </c>
      <c r="CC48" s="161">
        <f t="shared" si="94"/>
        <v>0</v>
      </c>
      <c r="CD48" s="162">
        <f t="shared" si="62"/>
        <v>1724.43</v>
      </c>
      <c r="CE48" s="163">
        <v>2.4</v>
      </c>
      <c r="CF48" s="164">
        <v>9.98</v>
      </c>
      <c r="CG48" s="165">
        <f t="shared" si="51"/>
        <v>12.14048</v>
      </c>
      <c r="CH48" s="166">
        <f t="shared" si="107"/>
        <v>20935.407926399999</v>
      </c>
      <c r="CI48" s="167">
        <v>57.07</v>
      </c>
      <c r="CJ48" s="166">
        <f t="shared" si="91"/>
        <v>98413.220100000006</v>
      </c>
      <c r="CK48" s="168">
        <v>5.62</v>
      </c>
      <c r="CL48" s="166">
        <f t="shared" si="26"/>
        <v>9691.2965999999997</v>
      </c>
      <c r="CM48" s="167">
        <v>20.88</v>
      </c>
      <c r="CN48" s="166">
        <f t="shared" si="27"/>
        <v>36006.098400000003</v>
      </c>
      <c r="CO48" s="169">
        <f t="shared" si="28"/>
        <v>2366.6550999999999</v>
      </c>
      <c r="CP48" s="166">
        <f t="shared" si="29"/>
        <v>4081131.054093</v>
      </c>
      <c r="CQ48" s="167">
        <v>3149</v>
      </c>
      <c r="CR48" s="166">
        <f t="shared" si="92"/>
        <v>5430230.0700000003</v>
      </c>
      <c r="CS48" s="170">
        <f t="shared" si="30"/>
        <v>56.767658402203857</v>
      </c>
      <c r="CT48" s="166">
        <f t="shared" si="31"/>
        <v>97891.853178512407</v>
      </c>
      <c r="CU48" s="168">
        <v>6.12</v>
      </c>
      <c r="CV48" s="166">
        <f t="shared" si="77"/>
        <v>10553.5116</v>
      </c>
      <c r="CW48" s="170">
        <f t="shared" si="78"/>
        <v>20.769383343928798</v>
      </c>
      <c r="CX48" s="166">
        <f t="shared" si="79"/>
        <v>35815.34771977114</v>
      </c>
      <c r="CY48" s="171">
        <v>2438</v>
      </c>
      <c r="CZ48" s="166">
        <f t="shared" si="81"/>
        <v>4204160.34</v>
      </c>
      <c r="DA48" s="170" t="str">
        <f t="shared" si="83"/>
        <v>G17</v>
      </c>
      <c r="DB48" s="171">
        <f t="shared" si="38"/>
        <v>2931.4434041110408</v>
      </c>
      <c r="DC48" s="166">
        <f t="shared" si="69"/>
        <v>5055068.9493512018</v>
      </c>
      <c r="DD48" s="170">
        <f t="shared" si="54"/>
        <v>53.127175316804411</v>
      </c>
      <c r="DE48" s="221">
        <f t="shared" si="55"/>
        <v>91614.094931557032</v>
      </c>
      <c r="DF48" s="222">
        <f t="shared" si="56"/>
        <v>6.0204800000000001</v>
      </c>
      <c r="DG48" s="221">
        <f t="shared" si="57"/>
        <v>10381.896326400001</v>
      </c>
      <c r="DH48" s="172">
        <f t="shared" si="40"/>
        <v>-6</v>
      </c>
      <c r="DI48" s="173">
        <f t="shared" si="95"/>
        <v>0</v>
      </c>
      <c r="DJ48" s="174" t="e">
        <f t="shared" si="96"/>
        <v>#VALUE!</v>
      </c>
      <c r="DK48" s="175">
        <f t="shared" si="97"/>
        <v>1712</v>
      </c>
      <c r="DL48" s="176" t="e">
        <f t="shared" si="98"/>
        <v>#VALUE!</v>
      </c>
      <c r="DM48" s="175" t="e">
        <f t="shared" si="99"/>
        <v>#VALUE!</v>
      </c>
      <c r="DN48" s="177"/>
      <c r="DO48" s="178">
        <f t="shared" si="46"/>
        <v>0</v>
      </c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80"/>
      <c r="EC48" s="181">
        <f t="shared" si="47"/>
        <v>0</v>
      </c>
      <c r="EE48" s="181"/>
    </row>
    <row r="49" spans="1:138" s="182" customFormat="1" ht="30.75" thickBot="1">
      <c r="A49" s="74">
        <v>66</v>
      </c>
      <c r="B49" s="74">
        <v>108</v>
      </c>
      <c r="C49" s="138">
        <v>45829</v>
      </c>
      <c r="D49" s="139">
        <v>162000396</v>
      </c>
      <c r="E49" s="138">
        <v>45828</v>
      </c>
      <c r="F49" s="138"/>
      <c r="G49" s="138"/>
      <c r="H49" s="657"/>
      <c r="I49" s="141">
        <v>1691.47</v>
      </c>
      <c r="J49" s="142">
        <f>(Y49/X48)*100</f>
        <v>49.5176663453855</v>
      </c>
      <c r="K49" s="143">
        <f>ROUND(((J49*H48)/100),2)</f>
        <v>1691.47</v>
      </c>
      <c r="L49" s="337">
        <v>58</v>
      </c>
      <c r="M49" s="144"/>
      <c r="N49" s="144">
        <v>1691.47</v>
      </c>
      <c r="O49" s="522" t="s">
        <v>180</v>
      </c>
      <c r="P49" s="145" t="s">
        <v>68</v>
      </c>
      <c r="Q49" s="146" t="s">
        <v>63</v>
      </c>
      <c r="R49" s="145"/>
      <c r="S49" s="145" t="s">
        <v>181</v>
      </c>
      <c r="T49" s="145"/>
      <c r="U49" s="147" t="s">
        <v>188</v>
      </c>
      <c r="V49" s="147" t="s">
        <v>189</v>
      </c>
      <c r="W49" s="147">
        <v>4450</v>
      </c>
      <c r="X49" s="655"/>
      <c r="Y49" s="148">
        <v>1803.27</v>
      </c>
      <c r="Z49" s="150"/>
      <c r="AA49" s="149"/>
      <c r="AB49" s="150"/>
      <c r="AC49" s="151"/>
      <c r="AD49" s="151"/>
      <c r="AE49" s="152">
        <f t="shared" si="0"/>
        <v>0</v>
      </c>
      <c r="AF49" s="151"/>
      <c r="AG49" s="152">
        <f t="shared" si="102"/>
        <v>0</v>
      </c>
      <c r="AH49" s="151"/>
      <c r="AI49" s="152">
        <f t="shared" si="103"/>
        <v>0</v>
      </c>
      <c r="AJ49" s="149"/>
      <c r="AK49" s="152">
        <f t="shared" si="104"/>
        <v>0</v>
      </c>
      <c r="AL49" s="149"/>
      <c r="AM49" s="151"/>
      <c r="AN49" s="152">
        <f t="shared" si="3"/>
        <v>0</v>
      </c>
      <c r="AO49" s="151"/>
      <c r="AP49" s="152">
        <f t="shared" si="4"/>
        <v>0</v>
      </c>
      <c r="AQ49" s="174">
        <f t="shared" si="106"/>
        <v>4450</v>
      </c>
      <c r="AR49" s="152">
        <f t="shared" si="48"/>
        <v>7527041.5</v>
      </c>
      <c r="AS49" s="149"/>
      <c r="AT49" s="149">
        <f t="shared" si="5"/>
        <v>4450</v>
      </c>
      <c r="AU49" s="152">
        <f t="shared" si="71"/>
        <v>0</v>
      </c>
      <c r="AV49" s="149">
        <f t="shared" si="7"/>
        <v>0</v>
      </c>
      <c r="AW49" s="152">
        <f t="shared" si="73"/>
        <v>0</v>
      </c>
      <c r="AX49" s="151">
        <f t="shared" si="9"/>
        <v>0</v>
      </c>
      <c r="AY49" s="152">
        <f t="shared" si="74"/>
        <v>0</v>
      </c>
      <c r="AZ49" s="153">
        <v>2.4</v>
      </c>
      <c r="BA49" s="153">
        <v>9.98</v>
      </c>
      <c r="BB49" s="153"/>
      <c r="BC49" s="154">
        <f t="shared" si="11"/>
        <v>12.14048</v>
      </c>
      <c r="BD49" s="155">
        <f t="shared" si="68"/>
        <v>20535.257705600001</v>
      </c>
      <c r="BE49" s="156"/>
      <c r="BF49" s="157"/>
      <c r="BG49" s="157"/>
      <c r="BH49" s="156"/>
      <c r="BI49" s="158">
        <f t="shared" si="14"/>
        <v>0</v>
      </c>
      <c r="BJ49" s="156"/>
      <c r="BK49" s="158">
        <f t="shared" si="15"/>
        <v>0</v>
      </c>
      <c r="BL49" s="156"/>
      <c r="BM49" s="159">
        <f t="shared" si="16"/>
        <v>0</v>
      </c>
      <c r="BN49" s="157"/>
      <c r="BO49" s="159">
        <f t="shared" si="17"/>
        <v>0</v>
      </c>
      <c r="BP49" s="160"/>
      <c r="BQ49" s="156"/>
      <c r="BR49" s="158">
        <f t="shared" si="18"/>
        <v>0</v>
      </c>
      <c r="BS49" s="156"/>
      <c r="BT49" s="159">
        <f t="shared" si="19"/>
        <v>0</v>
      </c>
      <c r="BU49" s="472">
        <f t="shared" si="108"/>
        <v>2438</v>
      </c>
      <c r="BV49" s="161">
        <f t="shared" si="49"/>
        <v>4123803.86</v>
      </c>
      <c r="BW49" s="157"/>
      <c r="BX49" s="472">
        <f t="shared" si="109"/>
        <v>2931.4434041110408</v>
      </c>
      <c r="BY49" s="161">
        <f t="shared" si="50"/>
        <v>4958448.5747517021</v>
      </c>
      <c r="BZ49" s="157">
        <f t="shared" si="21"/>
        <v>0</v>
      </c>
      <c r="CA49" s="161">
        <f t="shared" si="75"/>
        <v>0</v>
      </c>
      <c r="CB49" s="156">
        <f t="shared" si="23"/>
        <v>0</v>
      </c>
      <c r="CC49" s="161">
        <f t="shared" si="94"/>
        <v>0</v>
      </c>
      <c r="CD49" s="162">
        <f t="shared" si="62"/>
        <v>1691.47</v>
      </c>
      <c r="CE49" s="163">
        <v>2.4</v>
      </c>
      <c r="CF49" s="164">
        <v>9.98</v>
      </c>
      <c r="CG49" s="165">
        <f t="shared" si="51"/>
        <v>12.14048</v>
      </c>
      <c r="CH49" s="166">
        <f t="shared" si="107"/>
        <v>20535.257705600001</v>
      </c>
      <c r="CI49" s="167">
        <v>57.07</v>
      </c>
      <c r="CJ49" s="166">
        <f t="shared" si="91"/>
        <v>96532.192900000009</v>
      </c>
      <c r="CK49" s="168">
        <v>5.62</v>
      </c>
      <c r="CL49" s="166">
        <f t="shared" si="26"/>
        <v>9506.0614000000005</v>
      </c>
      <c r="CM49" s="167">
        <v>20.88</v>
      </c>
      <c r="CN49" s="166">
        <f t="shared" si="27"/>
        <v>35317.893599999996</v>
      </c>
      <c r="CO49" s="169">
        <f t="shared" si="28"/>
        <v>2366.6550999999999</v>
      </c>
      <c r="CP49" s="166">
        <f t="shared" si="29"/>
        <v>4003126.1019970002</v>
      </c>
      <c r="CQ49" s="167">
        <v>3149</v>
      </c>
      <c r="CR49" s="166">
        <f t="shared" si="92"/>
        <v>5326439.03</v>
      </c>
      <c r="CS49" s="170">
        <f t="shared" si="30"/>
        <v>56.767658402203857</v>
      </c>
      <c r="CT49" s="166">
        <f t="shared" si="31"/>
        <v>96020.791157575761</v>
      </c>
      <c r="CU49" s="168">
        <v>6.12</v>
      </c>
      <c r="CV49" s="166">
        <f t="shared" si="77"/>
        <v>10351.796400000001</v>
      </c>
      <c r="CW49" s="170">
        <f t="shared" si="78"/>
        <v>20.769383343928798</v>
      </c>
      <c r="CX49" s="166">
        <f t="shared" si="79"/>
        <v>35130.788844755247</v>
      </c>
      <c r="CY49" s="171">
        <v>2438</v>
      </c>
      <c r="CZ49" s="166">
        <f t="shared" si="81"/>
        <v>4123803.86</v>
      </c>
      <c r="DA49" s="170" t="str">
        <f t="shared" si="83"/>
        <v>G17</v>
      </c>
      <c r="DB49" s="171">
        <f t="shared" si="38"/>
        <v>2931.4434041110408</v>
      </c>
      <c r="DC49" s="166">
        <f t="shared" si="69"/>
        <v>4958448.5747517021</v>
      </c>
      <c r="DD49" s="170">
        <f t="shared" si="54"/>
        <v>53.127175316804411</v>
      </c>
      <c r="DE49" s="221">
        <f t="shared" si="55"/>
        <v>89863.023233115164</v>
      </c>
      <c r="DF49" s="222">
        <f t="shared" si="56"/>
        <v>6.0204800000000001</v>
      </c>
      <c r="DG49" s="221">
        <f t="shared" si="57"/>
        <v>10183.4613056</v>
      </c>
      <c r="DH49" s="172">
        <f t="shared" si="40"/>
        <v>-7</v>
      </c>
      <c r="DI49" s="173">
        <f t="shared" si="95"/>
        <v>0</v>
      </c>
      <c r="DJ49" s="174" t="e">
        <f t="shared" si="96"/>
        <v>#VALUE!</v>
      </c>
      <c r="DK49" s="175">
        <f t="shared" si="97"/>
        <v>2012</v>
      </c>
      <c r="DL49" s="176" t="e">
        <f t="shared" si="98"/>
        <v>#VALUE!</v>
      </c>
      <c r="DM49" s="175" t="e">
        <f t="shared" si="99"/>
        <v>#VALUE!</v>
      </c>
      <c r="DN49" s="177"/>
      <c r="DO49" s="178">
        <f t="shared" si="46"/>
        <v>0</v>
      </c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80"/>
      <c r="EC49" s="181">
        <f t="shared" si="47"/>
        <v>0</v>
      </c>
      <c r="EE49" s="181"/>
    </row>
    <row r="50" spans="1:138" s="182" customFormat="1" ht="30">
      <c r="A50" s="74">
        <v>70</v>
      </c>
      <c r="B50" s="74">
        <v>113</v>
      </c>
      <c r="C50" s="138">
        <v>45830</v>
      </c>
      <c r="D50" s="139">
        <v>151000057</v>
      </c>
      <c r="E50" s="138">
        <v>45830</v>
      </c>
      <c r="F50" s="138"/>
      <c r="G50" s="138"/>
      <c r="H50" s="140">
        <v>3714.5</v>
      </c>
      <c r="I50" s="616">
        <v>3614.5</v>
      </c>
      <c r="J50" s="142"/>
      <c r="K50" s="568"/>
      <c r="L50" s="337">
        <v>58</v>
      </c>
      <c r="M50" s="144"/>
      <c r="N50" s="144">
        <v>3714.5</v>
      </c>
      <c r="O50" s="522" t="s">
        <v>180</v>
      </c>
      <c r="P50" s="145" t="s">
        <v>71</v>
      </c>
      <c r="Q50" s="146" t="s">
        <v>222</v>
      </c>
      <c r="R50" s="145"/>
      <c r="S50" s="145" t="s">
        <v>181</v>
      </c>
      <c r="T50" s="145"/>
      <c r="U50" s="147" t="s">
        <v>188</v>
      </c>
      <c r="V50" s="147" t="s">
        <v>189</v>
      </c>
      <c r="W50" s="147">
        <v>4450</v>
      </c>
      <c r="X50" s="519">
        <v>3972.72</v>
      </c>
      <c r="Y50" s="148">
        <v>3972.72</v>
      </c>
      <c r="Z50" s="150"/>
      <c r="AA50" s="149"/>
      <c r="AB50" s="150"/>
      <c r="AC50" s="151"/>
      <c r="AD50" s="151"/>
      <c r="AE50" s="152">
        <f t="shared" si="0"/>
        <v>0</v>
      </c>
      <c r="AF50" s="151"/>
      <c r="AG50" s="152">
        <f t="shared" si="102"/>
        <v>0</v>
      </c>
      <c r="AH50" s="151"/>
      <c r="AI50" s="152">
        <f t="shared" si="103"/>
        <v>0</v>
      </c>
      <c r="AJ50" s="149"/>
      <c r="AK50" s="152">
        <f t="shared" si="104"/>
        <v>0</v>
      </c>
      <c r="AL50" s="149"/>
      <c r="AM50" s="151"/>
      <c r="AN50" s="152">
        <f t="shared" si="3"/>
        <v>0</v>
      </c>
      <c r="AO50" s="151"/>
      <c r="AP50" s="152">
        <f t="shared" si="4"/>
        <v>0</v>
      </c>
      <c r="AQ50" s="174">
        <f t="shared" si="106"/>
        <v>4450</v>
      </c>
      <c r="AR50" s="152">
        <f t="shared" si="48"/>
        <v>16084525</v>
      </c>
      <c r="AS50" s="149"/>
      <c r="AT50" s="149">
        <f t="shared" si="5"/>
        <v>4450</v>
      </c>
      <c r="AU50" s="152">
        <f t="shared" si="71"/>
        <v>0</v>
      </c>
      <c r="AV50" s="149">
        <f t="shared" si="7"/>
        <v>0</v>
      </c>
      <c r="AW50" s="152">
        <f t="shared" si="73"/>
        <v>0</v>
      </c>
      <c r="AX50" s="151">
        <f t="shared" si="9"/>
        <v>0</v>
      </c>
      <c r="AY50" s="152">
        <f t="shared" si="74"/>
        <v>0</v>
      </c>
      <c r="AZ50" s="153"/>
      <c r="BA50" s="153"/>
      <c r="BB50" s="153"/>
      <c r="BC50" s="154">
        <f t="shared" si="11"/>
        <v>0</v>
      </c>
      <c r="BD50" s="155">
        <f t="shared" si="68"/>
        <v>0</v>
      </c>
      <c r="BE50" s="156"/>
      <c r="BF50" s="157"/>
      <c r="BG50" s="157"/>
      <c r="BH50" s="156"/>
      <c r="BI50" s="158">
        <f t="shared" si="14"/>
        <v>0</v>
      </c>
      <c r="BJ50" s="156"/>
      <c r="BK50" s="158">
        <f t="shared" si="15"/>
        <v>0</v>
      </c>
      <c r="BL50" s="156"/>
      <c r="BM50" s="159">
        <f t="shared" si="16"/>
        <v>0</v>
      </c>
      <c r="BN50" s="157"/>
      <c r="BO50" s="159">
        <f t="shared" si="17"/>
        <v>0</v>
      </c>
      <c r="BP50" s="160"/>
      <c r="BQ50" s="156"/>
      <c r="BR50" s="158">
        <f t="shared" si="18"/>
        <v>0</v>
      </c>
      <c r="BS50" s="156"/>
      <c r="BT50" s="159">
        <f t="shared" si="19"/>
        <v>0</v>
      </c>
      <c r="BU50" s="472">
        <f t="shared" si="108"/>
        <v>3561.4730338255322</v>
      </c>
      <c r="BV50" s="161">
        <f t="shared" si="49"/>
        <v>12872944.280762386</v>
      </c>
      <c r="BW50" s="157"/>
      <c r="BX50" s="472">
        <f t="shared" si="109"/>
        <v>3306.8415274897898</v>
      </c>
      <c r="BY50" s="161">
        <f t="shared" si="50"/>
        <v>11952578.701111846</v>
      </c>
      <c r="BZ50" s="157">
        <f t="shared" si="21"/>
        <v>0</v>
      </c>
      <c r="CA50" s="161">
        <f t="shared" si="75"/>
        <v>0</v>
      </c>
      <c r="CB50" s="156">
        <f t="shared" si="23"/>
        <v>0</v>
      </c>
      <c r="CC50" s="161">
        <f t="shared" si="94"/>
        <v>0</v>
      </c>
      <c r="CD50" s="162">
        <f t="shared" si="62"/>
        <v>3714.5</v>
      </c>
      <c r="CE50" s="163">
        <v>3.1</v>
      </c>
      <c r="CF50" s="164">
        <v>7.37</v>
      </c>
      <c r="CG50" s="165">
        <f t="shared" si="51"/>
        <v>10.241529999999999</v>
      </c>
      <c r="CH50" s="166">
        <f t="shared" si="107"/>
        <v>38042.163184999998</v>
      </c>
      <c r="CI50" s="167">
        <v>45.62</v>
      </c>
      <c r="CJ50" s="166">
        <f t="shared" si="91"/>
        <v>169455.49</v>
      </c>
      <c r="CK50" s="168">
        <v>4.51</v>
      </c>
      <c r="CL50" s="166">
        <f t="shared" si="26"/>
        <v>16752.395</v>
      </c>
      <c r="CM50" s="167">
        <v>26.84</v>
      </c>
      <c r="CN50" s="166">
        <f t="shared" si="27"/>
        <v>99697.18</v>
      </c>
      <c r="CO50" s="169">
        <f t="shared" si="28"/>
        <v>3605.7861999999996</v>
      </c>
      <c r="CP50" s="166">
        <f t="shared" si="29"/>
        <v>13393692.839899998</v>
      </c>
      <c r="CQ50" s="167">
        <v>3518</v>
      </c>
      <c r="CR50" s="166">
        <f t="shared" si="92"/>
        <v>13067611</v>
      </c>
      <c r="CS50" s="170">
        <f t="shared" si="30"/>
        <v>46.183740705833074</v>
      </c>
      <c r="CT50" s="166">
        <f t="shared" si="31"/>
        <v>171549.50485181695</v>
      </c>
      <c r="CU50" s="168">
        <v>3.33</v>
      </c>
      <c r="CV50" s="166">
        <f t="shared" si="77"/>
        <v>12369.285</v>
      </c>
      <c r="CW50" s="170">
        <f t="shared" si="78"/>
        <v>27.171670331971939</v>
      </c>
      <c r="CX50" s="166">
        <f t="shared" si="79"/>
        <v>100929.16944810977</v>
      </c>
      <c r="CY50" s="171">
        <f t="shared" si="80"/>
        <v>3561.4730338255322</v>
      </c>
      <c r="CZ50" s="166">
        <f t="shared" si="81"/>
        <v>13229091.584144939</v>
      </c>
      <c r="DA50" s="170" t="str">
        <f t="shared" si="83"/>
        <v>G13</v>
      </c>
      <c r="DB50" s="171">
        <f t="shared" si="38"/>
        <v>3306.8415274897898</v>
      </c>
      <c r="DC50" s="166">
        <f t="shared" si="69"/>
        <v>12283262.853860823</v>
      </c>
      <c r="DD50" s="170">
        <f t="shared" si="54"/>
        <v>42.881782400251332</v>
      </c>
      <c r="DE50" s="221">
        <f t="shared" si="55"/>
        <v>159284.38072573359</v>
      </c>
      <c r="DF50" s="222">
        <f t="shared" si="56"/>
        <v>6.9115299999999991</v>
      </c>
      <c r="DG50" s="221">
        <f t="shared" si="57"/>
        <v>25672.878184999998</v>
      </c>
      <c r="DH50" s="172">
        <f t="shared" si="40"/>
        <v>-3</v>
      </c>
      <c r="DI50" s="173">
        <f t="shared" si="95"/>
        <v>0</v>
      </c>
      <c r="DJ50" s="174" t="e">
        <f t="shared" si="96"/>
        <v>#VALUE!</v>
      </c>
      <c r="DK50" s="175">
        <f t="shared" si="97"/>
        <v>888.52696617446782</v>
      </c>
      <c r="DL50" s="176" t="e">
        <f t="shared" si="98"/>
        <v>#VALUE!</v>
      </c>
      <c r="DM50" s="175" t="e">
        <f t="shared" si="99"/>
        <v>#VALUE!</v>
      </c>
      <c r="DN50" s="177"/>
      <c r="DO50" s="178">
        <f t="shared" si="46"/>
        <v>0</v>
      </c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80"/>
      <c r="EC50" s="181">
        <f t="shared" si="47"/>
        <v>0</v>
      </c>
      <c r="EE50" s="181"/>
    </row>
    <row r="51" spans="1:138" s="182" customFormat="1" ht="30">
      <c r="A51" s="74">
        <v>71</v>
      </c>
      <c r="B51" s="74">
        <v>114</v>
      </c>
      <c r="C51" s="138">
        <v>45830</v>
      </c>
      <c r="D51" s="139">
        <v>151001352</v>
      </c>
      <c r="E51" s="138">
        <v>45829</v>
      </c>
      <c r="F51" s="138"/>
      <c r="G51" s="138"/>
      <c r="H51" s="140">
        <v>3702.15</v>
      </c>
      <c r="I51" s="141">
        <v>3702.15</v>
      </c>
      <c r="J51" s="142"/>
      <c r="K51" s="568"/>
      <c r="L51" s="337">
        <v>58</v>
      </c>
      <c r="M51" s="144"/>
      <c r="N51" s="144">
        <v>3702.15</v>
      </c>
      <c r="O51" s="522" t="s">
        <v>180</v>
      </c>
      <c r="P51" s="145" t="s">
        <v>71</v>
      </c>
      <c r="Q51" s="146" t="s">
        <v>222</v>
      </c>
      <c r="R51" s="145"/>
      <c r="S51" s="145" t="s">
        <v>181</v>
      </c>
      <c r="T51" s="145"/>
      <c r="U51" s="147" t="s">
        <v>188</v>
      </c>
      <c r="V51" s="147" t="s">
        <v>189</v>
      </c>
      <c r="W51" s="147">
        <v>4450</v>
      </c>
      <c r="X51" s="519">
        <v>3921.76</v>
      </c>
      <c r="Y51" s="148">
        <v>3921.76</v>
      </c>
      <c r="Z51" s="150"/>
      <c r="AA51" s="149"/>
      <c r="AB51" s="150"/>
      <c r="AC51" s="151"/>
      <c r="AD51" s="151"/>
      <c r="AE51" s="152">
        <f t="shared" si="0"/>
        <v>0</v>
      </c>
      <c r="AF51" s="151"/>
      <c r="AG51" s="152">
        <f t="shared" si="102"/>
        <v>0</v>
      </c>
      <c r="AH51" s="151"/>
      <c r="AI51" s="152">
        <f t="shared" si="103"/>
        <v>0</v>
      </c>
      <c r="AJ51" s="149"/>
      <c r="AK51" s="152">
        <f t="shared" si="104"/>
        <v>0</v>
      </c>
      <c r="AL51" s="149"/>
      <c r="AM51" s="151"/>
      <c r="AN51" s="152">
        <f t="shared" si="3"/>
        <v>0</v>
      </c>
      <c r="AO51" s="151"/>
      <c r="AP51" s="152">
        <f t="shared" si="4"/>
        <v>0</v>
      </c>
      <c r="AQ51" s="174">
        <f t="shared" si="106"/>
        <v>4450</v>
      </c>
      <c r="AR51" s="152">
        <f t="shared" si="48"/>
        <v>16474567.5</v>
      </c>
      <c r="AS51" s="149"/>
      <c r="AT51" s="149">
        <f t="shared" si="5"/>
        <v>4450</v>
      </c>
      <c r="AU51" s="152">
        <f t="shared" si="71"/>
        <v>0</v>
      </c>
      <c r="AV51" s="149">
        <f t="shared" si="7"/>
        <v>0</v>
      </c>
      <c r="AW51" s="152">
        <f t="shared" si="73"/>
        <v>0</v>
      </c>
      <c r="AX51" s="151">
        <f t="shared" si="9"/>
        <v>0</v>
      </c>
      <c r="AY51" s="152">
        <f t="shared" si="74"/>
        <v>0</v>
      </c>
      <c r="AZ51" s="153"/>
      <c r="BA51" s="153"/>
      <c r="BB51" s="153"/>
      <c r="BC51" s="154">
        <f t="shared" si="11"/>
        <v>0</v>
      </c>
      <c r="BD51" s="155">
        <f t="shared" si="68"/>
        <v>0</v>
      </c>
      <c r="BE51" s="156"/>
      <c r="BF51" s="157"/>
      <c r="BG51" s="157"/>
      <c r="BH51" s="156"/>
      <c r="BI51" s="158">
        <f t="shared" si="14"/>
        <v>0</v>
      </c>
      <c r="BJ51" s="156"/>
      <c r="BK51" s="158">
        <f t="shared" si="15"/>
        <v>0</v>
      </c>
      <c r="BL51" s="156"/>
      <c r="BM51" s="159">
        <f t="shared" si="16"/>
        <v>0</v>
      </c>
      <c r="BN51" s="157"/>
      <c r="BO51" s="159">
        <f t="shared" si="17"/>
        <v>0</v>
      </c>
      <c r="BP51" s="160"/>
      <c r="BQ51" s="156"/>
      <c r="BR51" s="158">
        <f t="shared" si="18"/>
        <v>0</v>
      </c>
      <c r="BS51" s="156"/>
      <c r="BT51" s="159">
        <f t="shared" si="19"/>
        <v>0</v>
      </c>
      <c r="BU51" s="472">
        <f t="shared" si="108"/>
        <v>3810.8705456866287</v>
      </c>
      <c r="BV51" s="161">
        <f t="shared" si="49"/>
        <v>14108414.390713753</v>
      </c>
      <c r="BW51" s="157"/>
      <c r="BX51" s="472">
        <f t="shared" si="109"/>
        <v>3459.8978159770236</v>
      </c>
      <c r="BY51" s="161">
        <f t="shared" si="50"/>
        <v>12809060.699419338</v>
      </c>
      <c r="BZ51" s="157">
        <f t="shared" si="21"/>
        <v>0</v>
      </c>
      <c r="CA51" s="161">
        <f t="shared" si="75"/>
        <v>0</v>
      </c>
      <c r="CB51" s="156">
        <f t="shared" si="23"/>
        <v>0</v>
      </c>
      <c r="CC51" s="161">
        <f t="shared" si="94"/>
        <v>0</v>
      </c>
      <c r="CD51" s="162">
        <f t="shared" si="62"/>
        <v>3702.15</v>
      </c>
      <c r="CE51" s="163">
        <v>3.3</v>
      </c>
      <c r="CF51" s="164">
        <v>9.36</v>
      </c>
      <c r="CG51" s="165">
        <f t="shared" si="51"/>
        <v>12.351119999999998</v>
      </c>
      <c r="CH51" s="166">
        <f t="shared" si="107"/>
        <v>45725.698907999991</v>
      </c>
      <c r="CI51" s="167">
        <v>39.11</v>
      </c>
      <c r="CJ51" s="166">
        <f>CI51*$CD51</f>
        <v>144791.0865</v>
      </c>
      <c r="CK51" s="168">
        <v>5.99</v>
      </c>
      <c r="CL51" s="166">
        <f t="shared" si="26"/>
        <v>22175.878500000003</v>
      </c>
      <c r="CM51" s="167">
        <v>29.77</v>
      </c>
      <c r="CN51" s="166">
        <f t="shared" si="27"/>
        <v>110213.0055</v>
      </c>
      <c r="CO51" s="169">
        <f t="shared" si="28"/>
        <v>4003.0134999999991</v>
      </c>
      <c r="CP51" s="166">
        <f t="shared" si="29"/>
        <v>14819756.429024996</v>
      </c>
      <c r="CQ51" s="167">
        <v>3711</v>
      </c>
      <c r="CR51" s="166">
        <f>CQ51*$CD51</f>
        <v>13738678.65</v>
      </c>
      <c r="CS51" s="170">
        <f t="shared" si="30"/>
        <v>40.162529518136367</v>
      </c>
      <c r="CT51" s="166">
        <f t="shared" si="31"/>
        <v>148687.70865556857</v>
      </c>
      <c r="CU51" s="168">
        <v>3.46</v>
      </c>
      <c r="CV51" s="166">
        <f t="shared" si="77"/>
        <v>12809.439</v>
      </c>
      <c r="CW51" s="170">
        <f t="shared" si="78"/>
        <v>30.571171152005103</v>
      </c>
      <c r="CX51" s="166">
        <f t="shared" si="79"/>
        <v>113179.06128039569</v>
      </c>
      <c r="CY51" s="171">
        <f t="shared" si="80"/>
        <v>3810.8705456866287</v>
      </c>
      <c r="CZ51" s="166">
        <f t="shared" si="81"/>
        <v>14108414.390713753</v>
      </c>
      <c r="DA51" s="170" t="str">
        <f t="shared" si="83"/>
        <v>G12</v>
      </c>
      <c r="DB51" s="171">
        <f t="shared" si="38"/>
        <v>3459.8978159770236</v>
      </c>
      <c r="DC51" s="166">
        <f t="shared" si="69"/>
        <v>12809060.699419338</v>
      </c>
      <c r="DD51" s="170">
        <f t="shared" si="54"/>
        <v>36.463649577704501</v>
      </c>
      <c r="DE51" s="221">
        <f t="shared" si="55"/>
        <v>134993.90028409872</v>
      </c>
      <c r="DF51" s="222">
        <f t="shared" si="56"/>
        <v>8.8911199999999972</v>
      </c>
      <c r="DG51" s="221">
        <f t="shared" si="57"/>
        <v>32916.259907999993</v>
      </c>
      <c r="DH51" s="172">
        <f t="shared" si="40"/>
        <v>-2</v>
      </c>
      <c r="DI51" s="173">
        <f t="shared" si="95"/>
        <v>0</v>
      </c>
      <c r="DJ51" s="174" t="e">
        <f t="shared" si="96"/>
        <v>#VALUE!</v>
      </c>
      <c r="DK51" s="175">
        <f t="shared" si="97"/>
        <v>639.1294543133713</v>
      </c>
      <c r="DL51" s="176" t="e">
        <f t="shared" si="98"/>
        <v>#VALUE!</v>
      </c>
      <c r="DM51" s="175" t="e">
        <f t="shared" si="99"/>
        <v>#VALUE!</v>
      </c>
      <c r="DN51" s="177"/>
      <c r="DO51" s="178">
        <f t="shared" si="46"/>
        <v>0</v>
      </c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80"/>
      <c r="EC51" s="181">
        <f t="shared" si="47"/>
        <v>0</v>
      </c>
      <c r="EE51" s="181"/>
    </row>
    <row r="52" spans="1:138" s="182" customFormat="1" ht="45">
      <c r="A52" s="74">
        <v>75</v>
      </c>
      <c r="B52" s="74">
        <v>118</v>
      </c>
      <c r="C52" s="138">
        <v>45831</v>
      </c>
      <c r="D52" s="139">
        <v>151000156</v>
      </c>
      <c r="E52" s="138">
        <v>45831</v>
      </c>
      <c r="F52" s="138"/>
      <c r="G52" s="138"/>
      <c r="H52" s="647">
        <v>3546.1</v>
      </c>
      <c r="I52" s="141">
        <v>857.59</v>
      </c>
      <c r="J52" s="142">
        <f>(Y52/X52)*100</f>
        <v>24.18409705669675</v>
      </c>
      <c r="K52" s="143">
        <f>ROUND(((J52*H52)/100),2)</f>
        <v>857.59</v>
      </c>
      <c r="L52" s="650">
        <v>59</v>
      </c>
      <c r="M52" s="144"/>
      <c r="N52" s="144">
        <v>857.59</v>
      </c>
      <c r="O52" s="522" t="s">
        <v>180</v>
      </c>
      <c r="P52" s="145" t="s">
        <v>72</v>
      </c>
      <c r="Q52" s="146" t="s">
        <v>224</v>
      </c>
      <c r="R52" s="145"/>
      <c r="S52" s="145" t="s">
        <v>181</v>
      </c>
      <c r="T52" s="145"/>
      <c r="U52" s="147" t="s">
        <v>182</v>
      </c>
      <c r="V52" s="147" t="s">
        <v>183</v>
      </c>
      <c r="W52" s="147">
        <v>4150</v>
      </c>
      <c r="X52" s="653">
        <v>3733.9</v>
      </c>
      <c r="Y52" s="148">
        <v>903.01</v>
      </c>
      <c r="Z52" s="150"/>
      <c r="AA52" s="149"/>
      <c r="AB52" s="150"/>
      <c r="AC52" s="151"/>
      <c r="AD52" s="151"/>
      <c r="AE52" s="152">
        <f t="shared" si="0"/>
        <v>0</v>
      </c>
      <c r="AF52" s="151"/>
      <c r="AG52" s="152">
        <f t="shared" si="102"/>
        <v>0</v>
      </c>
      <c r="AH52" s="151"/>
      <c r="AI52" s="152">
        <f t="shared" si="103"/>
        <v>0</v>
      </c>
      <c r="AJ52" s="149"/>
      <c r="AK52" s="152">
        <f t="shared" si="104"/>
        <v>0</v>
      </c>
      <c r="AL52" s="149"/>
      <c r="AM52" s="151"/>
      <c r="AN52" s="152">
        <f t="shared" si="3"/>
        <v>0</v>
      </c>
      <c r="AO52" s="151"/>
      <c r="AP52" s="152">
        <f t="shared" si="4"/>
        <v>0</v>
      </c>
      <c r="AQ52" s="174">
        <f t="shared" si="106"/>
        <v>4150</v>
      </c>
      <c r="AR52" s="152">
        <f t="shared" si="48"/>
        <v>3558998.5</v>
      </c>
      <c r="AS52" s="149"/>
      <c r="AT52" s="149">
        <f t="shared" si="5"/>
        <v>4150</v>
      </c>
      <c r="AU52" s="152">
        <f t="shared" si="71"/>
        <v>0</v>
      </c>
      <c r="AV52" s="149">
        <f t="shared" si="7"/>
        <v>0</v>
      </c>
      <c r="AW52" s="152">
        <f t="shared" si="73"/>
        <v>0</v>
      </c>
      <c r="AX52" s="151">
        <f t="shared" si="9"/>
        <v>0</v>
      </c>
      <c r="AY52" s="152">
        <f t="shared" si="74"/>
        <v>0</v>
      </c>
      <c r="AZ52" s="153"/>
      <c r="BA52" s="153"/>
      <c r="BB52" s="153"/>
      <c r="BC52" s="154">
        <f t="shared" si="11"/>
        <v>0</v>
      </c>
      <c r="BD52" s="155">
        <f t="shared" si="68"/>
        <v>0</v>
      </c>
      <c r="BE52" s="156"/>
      <c r="BF52" s="157"/>
      <c r="BG52" s="157"/>
      <c r="BH52" s="156"/>
      <c r="BI52" s="158">
        <f t="shared" si="14"/>
        <v>0</v>
      </c>
      <c r="BJ52" s="156"/>
      <c r="BK52" s="158">
        <f t="shared" si="15"/>
        <v>0</v>
      </c>
      <c r="BL52" s="156"/>
      <c r="BM52" s="159">
        <f t="shared" si="16"/>
        <v>0</v>
      </c>
      <c r="BN52" s="157"/>
      <c r="BO52" s="159">
        <f t="shared" si="17"/>
        <v>0</v>
      </c>
      <c r="BP52" s="160"/>
      <c r="BQ52" s="156"/>
      <c r="BR52" s="158">
        <f t="shared" si="18"/>
        <v>0</v>
      </c>
      <c r="BS52" s="156"/>
      <c r="BT52" s="159">
        <f t="shared" si="19"/>
        <v>0</v>
      </c>
      <c r="BU52" s="472">
        <f t="shared" si="108"/>
        <v>3764</v>
      </c>
      <c r="BV52" s="161">
        <f t="shared" si="49"/>
        <v>3227968.7600000002</v>
      </c>
      <c r="BW52" s="157"/>
      <c r="BX52" s="472">
        <f t="shared" si="109"/>
        <v>3171.2522223385326</v>
      </c>
      <c r="BY52" s="161">
        <f t="shared" si="50"/>
        <v>2719634.1933553023</v>
      </c>
      <c r="BZ52" s="157">
        <f t="shared" si="21"/>
        <v>0</v>
      </c>
      <c r="CA52" s="161">
        <f t="shared" si="75"/>
        <v>0</v>
      </c>
      <c r="CB52" s="156">
        <f t="shared" si="23"/>
        <v>0</v>
      </c>
      <c r="CC52" s="161">
        <f t="shared" si="94"/>
        <v>0</v>
      </c>
      <c r="CD52" s="162">
        <f t="shared" si="62"/>
        <v>857.59</v>
      </c>
      <c r="CE52" s="163">
        <v>3.6</v>
      </c>
      <c r="CF52" s="164">
        <v>11.2</v>
      </c>
      <c r="CG52" s="165">
        <f t="shared" si="51"/>
        <v>14.396799999999999</v>
      </c>
      <c r="CH52" s="166">
        <f t="shared" si="107"/>
        <v>12346.551712</v>
      </c>
      <c r="CI52" s="167">
        <v>42.47</v>
      </c>
      <c r="CJ52" s="166">
        <f t="shared" ref="CJ52:CJ62" si="110">CI52*$CD52</f>
        <v>36421.847300000001</v>
      </c>
      <c r="CK52" s="168">
        <v>4.47</v>
      </c>
      <c r="CL52" s="166">
        <f t="shared" si="26"/>
        <v>3833.4272999999998</v>
      </c>
      <c r="CM52" s="167">
        <v>25.19</v>
      </c>
      <c r="CN52" s="166">
        <f t="shared" si="27"/>
        <v>21602.6921</v>
      </c>
      <c r="CO52" s="169">
        <f t="shared" si="28"/>
        <v>3908.0550999999996</v>
      </c>
      <c r="CP52" s="166">
        <f t="shared" si="29"/>
        <v>3351508.9732089997</v>
      </c>
      <c r="CQ52" s="167">
        <v>3539</v>
      </c>
      <c r="CR52" s="166">
        <f t="shared" ref="CR52:CR62" si="111">CQ52*$CD52</f>
        <v>3035011.0100000002</v>
      </c>
      <c r="CS52" s="170">
        <f t="shared" si="30"/>
        <v>42.767863498377473</v>
      </c>
      <c r="CT52" s="166">
        <f t="shared" si="31"/>
        <v>36677.292057573541</v>
      </c>
      <c r="CU52" s="168">
        <v>3.8</v>
      </c>
      <c r="CV52" s="166">
        <f t="shared" si="77"/>
        <v>3258.8420000000001</v>
      </c>
      <c r="CW52" s="170">
        <f t="shared" si="78"/>
        <v>25.366670155971946</v>
      </c>
      <c r="CX52" s="166">
        <f t="shared" si="79"/>
        <v>21754.202659059982</v>
      </c>
      <c r="CY52" s="171">
        <v>3764</v>
      </c>
      <c r="CZ52" s="166">
        <f t="shared" si="81"/>
        <v>3227968.7600000002</v>
      </c>
      <c r="DA52" s="170" t="str">
        <f t="shared" si="83"/>
        <v>G12</v>
      </c>
      <c r="DB52" s="171">
        <f t="shared" si="38"/>
        <v>3171.2522223385326</v>
      </c>
      <c r="DC52" s="166">
        <f t="shared" si="69"/>
        <v>2719634.1933553023</v>
      </c>
      <c r="DD52" s="170">
        <f t="shared" si="54"/>
        <v>38.056818842248511</v>
      </c>
      <c r="DE52" s="221">
        <f t="shared" si="55"/>
        <v>32637.147270923902</v>
      </c>
      <c r="DF52" s="222">
        <f t="shared" si="56"/>
        <v>10.596799999999998</v>
      </c>
      <c r="DG52" s="221">
        <f t="shared" si="57"/>
        <v>9087.709711999998</v>
      </c>
      <c r="DH52" s="172">
        <f t="shared" si="40"/>
        <v>-1</v>
      </c>
      <c r="DI52" s="173">
        <f t="shared" si="95"/>
        <v>0</v>
      </c>
      <c r="DJ52" s="174" t="e">
        <f t="shared" si="96"/>
        <v>#VALUE!</v>
      </c>
      <c r="DK52" s="175">
        <f t="shared" si="97"/>
        <v>386</v>
      </c>
      <c r="DL52" s="176" t="e">
        <f t="shared" si="98"/>
        <v>#VALUE!</v>
      </c>
      <c r="DM52" s="175" t="e">
        <f t="shared" si="99"/>
        <v>#VALUE!</v>
      </c>
      <c r="DN52" s="177"/>
      <c r="DO52" s="178">
        <f t="shared" si="46"/>
        <v>0</v>
      </c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80"/>
      <c r="EC52" s="181">
        <f t="shared" si="47"/>
        <v>0</v>
      </c>
      <c r="EE52" s="181"/>
    </row>
    <row r="53" spans="1:138" s="182" customFormat="1" ht="30">
      <c r="A53" s="74">
        <v>76</v>
      </c>
      <c r="B53" s="74">
        <v>118</v>
      </c>
      <c r="C53" s="138">
        <v>45831</v>
      </c>
      <c r="D53" s="139">
        <v>151000156</v>
      </c>
      <c r="E53" s="138">
        <v>45831</v>
      </c>
      <c r="F53" s="138"/>
      <c r="G53" s="138"/>
      <c r="H53" s="648"/>
      <c r="I53" s="141">
        <v>271.35000000000002</v>
      </c>
      <c r="J53" s="142">
        <f>(Y53/X52)*100</f>
        <v>7.6520528134122507</v>
      </c>
      <c r="K53" s="143">
        <f>ROUND(((J53*H52)/100),2)</f>
        <v>271.35000000000002</v>
      </c>
      <c r="L53" s="651"/>
      <c r="M53" s="144"/>
      <c r="N53" s="144">
        <v>271.35000000000002</v>
      </c>
      <c r="O53" s="522" t="s">
        <v>180</v>
      </c>
      <c r="P53" s="145" t="s">
        <v>72</v>
      </c>
      <c r="Q53" s="146" t="s">
        <v>51</v>
      </c>
      <c r="R53" s="145"/>
      <c r="S53" s="145" t="s">
        <v>181</v>
      </c>
      <c r="T53" s="145"/>
      <c r="U53" s="147" t="s">
        <v>191</v>
      </c>
      <c r="V53" s="147" t="s">
        <v>192</v>
      </c>
      <c r="W53" s="147">
        <v>5350</v>
      </c>
      <c r="X53" s="654"/>
      <c r="Y53" s="148">
        <v>285.72000000000003</v>
      </c>
      <c r="Z53" s="150"/>
      <c r="AA53" s="149"/>
      <c r="AB53" s="150"/>
      <c r="AC53" s="151"/>
      <c r="AD53" s="151"/>
      <c r="AE53" s="152">
        <f t="shared" si="0"/>
        <v>0</v>
      </c>
      <c r="AF53" s="151"/>
      <c r="AG53" s="152">
        <f t="shared" si="102"/>
        <v>0</v>
      </c>
      <c r="AH53" s="151"/>
      <c r="AI53" s="152">
        <f t="shared" si="103"/>
        <v>0</v>
      </c>
      <c r="AJ53" s="149"/>
      <c r="AK53" s="152">
        <f t="shared" si="104"/>
        <v>0</v>
      </c>
      <c r="AL53" s="149"/>
      <c r="AM53" s="151"/>
      <c r="AN53" s="152">
        <f t="shared" si="3"/>
        <v>0</v>
      </c>
      <c r="AO53" s="151"/>
      <c r="AP53" s="152">
        <f t="shared" si="4"/>
        <v>0</v>
      </c>
      <c r="AQ53" s="174">
        <f t="shared" si="106"/>
        <v>5350</v>
      </c>
      <c r="AR53" s="152">
        <f t="shared" si="48"/>
        <v>1451722.5000000002</v>
      </c>
      <c r="AS53" s="149"/>
      <c r="AT53" s="149">
        <f t="shared" si="5"/>
        <v>5350</v>
      </c>
      <c r="AU53" s="152">
        <f t="shared" si="71"/>
        <v>0</v>
      </c>
      <c r="AV53" s="149">
        <f t="shared" si="7"/>
        <v>0</v>
      </c>
      <c r="AW53" s="152">
        <f t="shared" si="73"/>
        <v>0</v>
      </c>
      <c r="AX53" s="151">
        <f t="shared" si="9"/>
        <v>0</v>
      </c>
      <c r="AY53" s="152">
        <f t="shared" si="74"/>
        <v>0</v>
      </c>
      <c r="AZ53" s="153"/>
      <c r="BA53" s="153"/>
      <c r="BB53" s="153"/>
      <c r="BC53" s="154">
        <f t="shared" si="11"/>
        <v>0</v>
      </c>
      <c r="BD53" s="155">
        <f t="shared" si="68"/>
        <v>0</v>
      </c>
      <c r="BE53" s="156"/>
      <c r="BF53" s="157"/>
      <c r="BG53" s="157"/>
      <c r="BH53" s="156"/>
      <c r="BI53" s="158">
        <f t="shared" si="14"/>
        <v>0</v>
      </c>
      <c r="BJ53" s="156"/>
      <c r="BK53" s="158">
        <f t="shared" si="15"/>
        <v>0</v>
      </c>
      <c r="BL53" s="156"/>
      <c r="BM53" s="159">
        <f t="shared" si="16"/>
        <v>0</v>
      </c>
      <c r="BN53" s="157"/>
      <c r="BO53" s="159">
        <f t="shared" si="17"/>
        <v>0</v>
      </c>
      <c r="BP53" s="160"/>
      <c r="BQ53" s="156"/>
      <c r="BR53" s="158">
        <f t="shared" si="18"/>
        <v>0</v>
      </c>
      <c r="BS53" s="156"/>
      <c r="BT53" s="159">
        <f t="shared" si="19"/>
        <v>0</v>
      </c>
      <c r="BU53" s="472">
        <f t="shared" si="108"/>
        <v>3764</v>
      </c>
      <c r="BV53" s="161">
        <f t="shared" si="49"/>
        <v>1021361.4000000001</v>
      </c>
      <c r="BW53" s="157"/>
      <c r="BX53" s="472">
        <f t="shared" si="109"/>
        <v>3171.2522223385326</v>
      </c>
      <c r="BY53" s="161">
        <f t="shared" si="50"/>
        <v>860519.2905315609</v>
      </c>
      <c r="BZ53" s="157">
        <f t="shared" si="21"/>
        <v>0</v>
      </c>
      <c r="CA53" s="161">
        <f t="shared" si="75"/>
        <v>0</v>
      </c>
      <c r="CB53" s="156">
        <f t="shared" si="23"/>
        <v>0</v>
      </c>
      <c r="CC53" s="161">
        <f t="shared" si="94"/>
        <v>0</v>
      </c>
      <c r="CD53" s="162">
        <f t="shared" si="62"/>
        <v>271.35000000000002</v>
      </c>
      <c r="CE53" s="163">
        <v>3.6</v>
      </c>
      <c r="CF53" s="164">
        <v>11.2</v>
      </c>
      <c r="CG53" s="165">
        <f t="shared" si="51"/>
        <v>14.396799999999999</v>
      </c>
      <c r="CH53" s="166">
        <f t="shared" si="107"/>
        <v>3906.57168</v>
      </c>
      <c r="CI53" s="167">
        <v>42.47</v>
      </c>
      <c r="CJ53" s="166">
        <f t="shared" si="110"/>
        <v>11524.2345</v>
      </c>
      <c r="CK53" s="168">
        <v>4.47</v>
      </c>
      <c r="CL53" s="166">
        <f t="shared" si="26"/>
        <v>1212.9345000000001</v>
      </c>
      <c r="CM53" s="167">
        <v>25.19</v>
      </c>
      <c r="CN53" s="166">
        <f t="shared" si="27"/>
        <v>6835.3065000000006</v>
      </c>
      <c r="CO53" s="169">
        <f t="shared" si="28"/>
        <v>3908.0550999999996</v>
      </c>
      <c r="CP53" s="166">
        <f t="shared" si="29"/>
        <v>1060450.7513850001</v>
      </c>
      <c r="CQ53" s="167">
        <v>3539</v>
      </c>
      <c r="CR53" s="166">
        <f t="shared" si="111"/>
        <v>960307.65</v>
      </c>
      <c r="CS53" s="170">
        <f t="shared" si="30"/>
        <v>42.767863498377473</v>
      </c>
      <c r="CT53" s="166">
        <f t="shared" si="31"/>
        <v>11605.059760284728</v>
      </c>
      <c r="CU53" s="168">
        <v>3.8</v>
      </c>
      <c r="CV53" s="166">
        <f t="shared" si="77"/>
        <v>1031.1300000000001</v>
      </c>
      <c r="CW53" s="170">
        <f t="shared" si="78"/>
        <v>25.366670155971946</v>
      </c>
      <c r="CX53" s="166">
        <f t="shared" si="79"/>
        <v>6883.2459468229881</v>
      </c>
      <c r="CY53" s="171">
        <v>3764</v>
      </c>
      <c r="CZ53" s="166">
        <f t="shared" si="81"/>
        <v>1021361.4000000001</v>
      </c>
      <c r="DA53" s="170" t="str">
        <f t="shared" si="83"/>
        <v>G12</v>
      </c>
      <c r="DB53" s="171">
        <f t="shared" si="38"/>
        <v>3171.2522223385326</v>
      </c>
      <c r="DC53" s="166">
        <f t="shared" si="69"/>
        <v>860519.2905315609</v>
      </c>
      <c r="DD53" s="170">
        <f t="shared" si="54"/>
        <v>38.056818842248511</v>
      </c>
      <c r="DE53" s="221">
        <f t="shared" si="55"/>
        <v>10326.717792844134</v>
      </c>
      <c r="DF53" s="222">
        <f t="shared" si="56"/>
        <v>10.596799999999998</v>
      </c>
      <c r="DG53" s="221">
        <f t="shared" si="57"/>
        <v>2875.4416799999999</v>
      </c>
      <c r="DH53" s="172">
        <f t="shared" si="40"/>
        <v>-5</v>
      </c>
      <c r="DI53" s="173">
        <f t="shared" si="95"/>
        <v>0</v>
      </c>
      <c r="DJ53" s="174" t="e">
        <f t="shared" si="96"/>
        <v>#VALUE!</v>
      </c>
      <c r="DK53" s="175">
        <f t="shared" si="97"/>
        <v>1586</v>
      </c>
      <c r="DL53" s="176" t="e">
        <f t="shared" si="98"/>
        <v>#VALUE!</v>
      </c>
      <c r="DM53" s="175" t="e">
        <f t="shared" si="99"/>
        <v>#VALUE!</v>
      </c>
      <c r="DN53" s="177"/>
      <c r="DO53" s="178">
        <f t="shared" si="46"/>
        <v>0</v>
      </c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80"/>
      <c r="EC53" s="181">
        <f t="shared" si="47"/>
        <v>0</v>
      </c>
      <c r="EE53" s="181"/>
    </row>
    <row r="54" spans="1:138" s="182" customFormat="1" ht="30">
      <c r="A54" s="74">
        <v>77</v>
      </c>
      <c r="B54" s="74">
        <v>118</v>
      </c>
      <c r="C54" s="138">
        <v>45831</v>
      </c>
      <c r="D54" s="139">
        <v>151000156</v>
      </c>
      <c r="E54" s="138">
        <v>45831</v>
      </c>
      <c r="F54" s="138"/>
      <c r="G54" s="138"/>
      <c r="H54" s="649"/>
      <c r="I54" s="141">
        <v>2417.16</v>
      </c>
      <c r="J54" s="142">
        <f>(Y54/X52)*100</f>
        <v>68.163850129891003</v>
      </c>
      <c r="K54" s="143">
        <f>ROUND(((J54*H52)/100),2)</f>
        <v>2417.16</v>
      </c>
      <c r="L54" s="652"/>
      <c r="M54" s="144"/>
      <c r="N54" s="144">
        <v>2417.16</v>
      </c>
      <c r="O54" s="522" t="s">
        <v>180</v>
      </c>
      <c r="P54" s="145" t="s">
        <v>72</v>
      </c>
      <c r="Q54" s="146" t="s">
        <v>231</v>
      </c>
      <c r="R54" s="145"/>
      <c r="S54" s="145" t="s">
        <v>181</v>
      </c>
      <c r="T54" s="145"/>
      <c r="U54" s="147" t="s">
        <v>182</v>
      </c>
      <c r="V54" s="147" t="s">
        <v>183</v>
      </c>
      <c r="W54" s="147">
        <v>4150</v>
      </c>
      <c r="X54" s="655"/>
      <c r="Y54" s="148">
        <v>2545.17</v>
      </c>
      <c r="Z54" s="150"/>
      <c r="AA54" s="149"/>
      <c r="AB54" s="150"/>
      <c r="AC54" s="151"/>
      <c r="AD54" s="151"/>
      <c r="AE54" s="152">
        <f t="shared" si="0"/>
        <v>0</v>
      </c>
      <c r="AF54" s="151"/>
      <c r="AG54" s="152">
        <f t="shared" si="102"/>
        <v>0</v>
      </c>
      <c r="AH54" s="151"/>
      <c r="AI54" s="152">
        <f t="shared" si="103"/>
        <v>0</v>
      </c>
      <c r="AJ54" s="149"/>
      <c r="AK54" s="152">
        <f t="shared" si="104"/>
        <v>0</v>
      </c>
      <c r="AL54" s="149"/>
      <c r="AM54" s="151"/>
      <c r="AN54" s="152">
        <f t="shared" si="3"/>
        <v>0</v>
      </c>
      <c r="AO54" s="151"/>
      <c r="AP54" s="152">
        <f t="shared" si="4"/>
        <v>0</v>
      </c>
      <c r="AQ54" s="174">
        <f t="shared" si="106"/>
        <v>4150</v>
      </c>
      <c r="AR54" s="152">
        <f t="shared" si="48"/>
        <v>10031214</v>
      </c>
      <c r="AS54" s="149"/>
      <c r="AT54" s="149">
        <f t="shared" si="5"/>
        <v>4150</v>
      </c>
      <c r="AU54" s="152">
        <f t="shared" si="71"/>
        <v>0</v>
      </c>
      <c r="AV54" s="149">
        <f t="shared" si="7"/>
        <v>0</v>
      </c>
      <c r="AW54" s="152">
        <f t="shared" si="73"/>
        <v>0</v>
      </c>
      <c r="AX54" s="151">
        <f t="shared" si="9"/>
        <v>0</v>
      </c>
      <c r="AY54" s="152">
        <f t="shared" si="74"/>
        <v>0</v>
      </c>
      <c r="AZ54" s="153"/>
      <c r="BA54" s="153"/>
      <c r="BB54" s="153"/>
      <c r="BC54" s="154">
        <f t="shared" si="11"/>
        <v>0</v>
      </c>
      <c r="BD54" s="155">
        <f t="shared" si="68"/>
        <v>0</v>
      </c>
      <c r="BE54" s="156"/>
      <c r="BF54" s="157"/>
      <c r="BG54" s="157"/>
      <c r="BH54" s="156"/>
      <c r="BI54" s="158">
        <f t="shared" si="14"/>
        <v>0</v>
      </c>
      <c r="BJ54" s="156"/>
      <c r="BK54" s="158">
        <f t="shared" si="15"/>
        <v>0</v>
      </c>
      <c r="BL54" s="156"/>
      <c r="BM54" s="159">
        <f t="shared" si="16"/>
        <v>0</v>
      </c>
      <c r="BN54" s="157"/>
      <c r="BO54" s="159">
        <f t="shared" si="17"/>
        <v>0</v>
      </c>
      <c r="BP54" s="160"/>
      <c r="BQ54" s="156"/>
      <c r="BR54" s="158">
        <f t="shared" si="18"/>
        <v>0</v>
      </c>
      <c r="BS54" s="156"/>
      <c r="BT54" s="159">
        <f t="shared" si="19"/>
        <v>0</v>
      </c>
      <c r="BU54" s="472">
        <f t="shared" si="108"/>
        <v>3563.8207892808541</v>
      </c>
      <c r="BV54" s="161">
        <f t="shared" si="49"/>
        <v>8614325.059018109</v>
      </c>
      <c r="BW54" s="157"/>
      <c r="BX54" s="472">
        <f t="shared" si="109"/>
        <v>3171.2522223385326</v>
      </c>
      <c r="BY54" s="161">
        <f t="shared" si="50"/>
        <v>7665424.021747807</v>
      </c>
      <c r="BZ54" s="157">
        <f t="shared" si="21"/>
        <v>0</v>
      </c>
      <c r="CA54" s="161">
        <f t="shared" si="75"/>
        <v>0</v>
      </c>
      <c r="CB54" s="156">
        <f t="shared" si="23"/>
        <v>0</v>
      </c>
      <c r="CC54" s="161">
        <f t="shared" si="94"/>
        <v>0</v>
      </c>
      <c r="CD54" s="162">
        <f t="shared" si="62"/>
        <v>2417.16</v>
      </c>
      <c r="CE54" s="163">
        <v>3.6</v>
      </c>
      <c r="CF54" s="164">
        <v>11.2</v>
      </c>
      <c r="CG54" s="165">
        <f t="shared" si="51"/>
        <v>14.396799999999999</v>
      </c>
      <c r="CH54" s="166">
        <f t="shared" si="107"/>
        <v>34799.369087999992</v>
      </c>
      <c r="CI54" s="167">
        <v>42.47</v>
      </c>
      <c r="CJ54" s="166">
        <f t="shared" si="110"/>
        <v>102656.78519999998</v>
      </c>
      <c r="CK54" s="168">
        <v>4.47</v>
      </c>
      <c r="CL54" s="166">
        <f t="shared" si="26"/>
        <v>10804.705199999999</v>
      </c>
      <c r="CM54" s="167">
        <v>25.19</v>
      </c>
      <c r="CN54" s="166">
        <f t="shared" si="27"/>
        <v>60888.260399999999</v>
      </c>
      <c r="CO54" s="169">
        <f t="shared" si="28"/>
        <v>3908.0550999999996</v>
      </c>
      <c r="CP54" s="166">
        <f t="shared" si="29"/>
        <v>9446394.4655159991</v>
      </c>
      <c r="CQ54" s="167">
        <v>3539</v>
      </c>
      <c r="CR54" s="166">
        <f t="shared" si="111"/>
        <v>8554329.2400000002</v>
      </c>
      <c r="CS54" s="170">
        <f t="shared" si="30"/>
        <v>42.767863498377473</v>
      </c>
      <c r="CT54" s="166">
        <f t="shared" si="31"/>
        <v>103376.76893373809</v>
      </c>
      <c r="CU54" s="168">
        <v>3.8</v>
      </c>
      <c r="CV54" s="166">
        <f t="shared" si="77"/>
        <v>9185.2079999999987</v>
      </c>
      <c r="CW54" s="170">
        <f t="shared" si="78"/>
        <v>25.366670155971946</v>
      </c>
      <c r="CX54" s="166">
        <f t="shared" si="79"/>
        <v>61315.300434209144</v>
      </c>
      <c r="CY54" s="171">
        <f t="shared" si="80"/>
        <v>3563.8207892808541</v>
      </c>
      <c r="CZ54" s="166">
        <f t="shared" si="81"/>
        <v>8614325.059018109</v>
      </c>
      <c r="DA54" s="170" t="str">
        <f t="shared" si="83"/>
        <v>G13</v>
      </c>
      <c r="DB54" s="171">
        <f t="shared" si="38"/>
        <v>3171.2522223385326</v>
      </c>
      <c r="DC54" s="166">
        <f t="shared" si="69"/>
        <v>7665424.021747807</v>
      </c>
      <c r="DD54" s="170">
        <f t="shared" si="54"/>
        <v>38.056818842248511</v>
      </c>
      <c r="DE54" s="221">
        <f t="shared" si="55"/>
        <v>91989.420232729404</v>
      </c>
      <c r="DF54" s="222">
        <f t="shared" si="56"/>
        <v>10.596799999999998</v>
      </c>
      <c r="DG54" s="221">
        <f t="shared" si="57"/>
        <v>25614.161087999993</v>
      </c>
      <c r="DH54" s="172">
        <f t="shared" si="40"/>
        <v>-2</v>
      </c>
      <c r="DI54" s="173">
        <f t="shared" si="95"/>
        <v>0</v>
      </c>
      <c r="DJ54" s="174" t="e">
        <f t="shared" si="96"/>
        <v>#VALUE!</v>
      </c>
      <c r="DK54" s="175">
        <f t="shared" si="97"/>
        <v>586.17921071914589</v>
      </c>
      <c r="DL54" s="176" t="e">
        <f t="shared" si="98"/>
        <v>#VALUE!</v>
      </c>
      <c r="DM54" s="175" t="e">
        <f t="shared" si="99"/>
        <v>#VALUE!</v>
      </c>
      <c r="DN54" s="177"/>
      <c r="DO54" s="178">
        <f t="shared" si="46"/>
        <v>0</v>
      </c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80"/>
      <c r="EC54" s="181">
        <f t="shared" si="47"/>
        <v>0</v>
      </c>
      <c r="EE54" s="181"/>
    </row>
    <row r="55" spans="1:138" s="182" customFormat="1" ht="30">
      <c r="A55" s="74">
        <v>78</v>
      </c>
      <c r="B55" s="74">
        <v>120</v>
      </c>
      <c r="C55" s="138">
        <v>45832</v>
      </c>
      <c r="D55" s="139">
        <v>151001353</v>
      </c>
      <c r="E55" s="138">
        <v>45830</v>
      </c>
      <c r="F55" s="138"/>
      <c r="G55" s="138"/>
      <c r="H55" s="140">
        <v>3945.45</v>
      </c>
      <c r="I55" s="141">
        <v>3945.45</v>
      </c>
      <c r="J55" s="142"/>
      <c r="K55" s="568"/>
      <c r="L55" s="337">
        <v>59</v>
      </c>
      <c r="M55" s="144"/>
      <c r="N55" s="144">
        <v>3945.45</v>
      </c>
      <c r="O55" s="522" t="s">
        <v>180</v>
      </c>
      <c r="P55" s="145" t="s">
        <v>71</v>
      </c>
      <c r="Q55" s="146" t="s">
        <v>52</v>
      </c>
      <c r="R55" s="145"/>
      <c r="S55" s="145" t="s">
        <v>181</v>
      </c>
      <c r="T55" s="145"/>
      <c r="U55" s="147" t="s">
        <v>188</v>
      </c>
      <c r="V55" s="147" t="s">
        <v>189</v>
      </c>
      <c r="W55" s="147">
        <v>4450</v>
      </c>
      <c r="X55" s="519">
        <v>4057.05</v>
      </c>
      <c r="Y55" s="148">
        <v>4057.05</v>
      </c>
      <c r="Z55" s="150"/>
      <c r="AA55" s="149"/>
      <c r="AB55" s="150"/>
      <c r="AC55" s="151"/>
      <c r="AD55" s="151"/>
      <c r="AE55" s="152">
        <f t="shared" si="0"/>
        <v>0</v>
      </c>
      <c r="AF55" s="151"/>
      <c r="AG55" s="152">
        <f t="shared" si="102"/>
        <v>0</v>
      </c>
      <c r="AH55" s="151"/>
      <c r="AI55" s="152">
        <f t="shared" si="103"/>
        <v>0</v>
      </c>
      <c r="AJ55" s="149"/>
      <c r="AK55" s="152">
        <f t="shared" si="104"/>
        <v>0</v>
      </c>
      <c r="AL55" s="149"/>
      <c r="AM55" s="151"/>
      <c r="AN55" s="152">
        <f t="shared" si="3"/>
        <v>0</v>
      </c>
      <c r="AO55" s="151"/>
      <c r="AP55" s="152">
        <f t="shared" si="4"/>
        <v>0</v>
      </c>
      <c r="AQ55" s="174">
        <f t="shared" si="106"/>
        <v>4450</v>
      </c>
      <c r="AR55" s="152">
        <f t="shared" si="48"/>
        <v>17557252.5</v>
      </c>
      <c r="AS55" s="149"/>
      <c r="AT55" s="149">
        <f t="shared" si="5"/>
        <v>4450</v>
      </c>
      <c r="AU55" s="152">
        <f t="shared" si="71"/>
        <v>0</v>
      </c>
      <c r="AV55" s="149">
        <f t="shared" si="7"/>
        <v>0</v>
      </c>
      <c r="AW55" s="152">
        <f t="shared" si="73"/>
        <v>0</v>
      </c>
      <c r="AX55" s="151">
        <f t="shared" si="9"/>
        <v>0</v>
      </c>
      <c r="AY55" s="152">
        <f t="shared" si="74"/>
        <v>0</v>
      </c>
      <c r="AZ55" s="153"/>
      <c r="BA55" s="153"/>
      <c r="BB55" s="153"/>
      <c r="BC55" s="154">
        <f t="shared" si="11"/>
        <v>0</v>
      </c>
      <c r="BD55" s="155">
        <f t="shared" si="68"/>
        <v>0</v>
      </c>
      <c r="BE55" s="156"/>
      <c r="BF55" s="157"/>
      <c r="BG55" s="157"/>
      <c r="BH55" s="156"/>
      <c r="BI55" s="158">
        <f t="shared" si="14"/>
        <v>0</v>
      </c>
      <c r="BJ55" s="156"/>
      <c r="BK55" s="158">
        <f t="shared" si="15"/>
        <v>0</v>
      </c>
      <c r="BL55" s="156"/>
      <c r="BM55" s="159">
        <f t="shared" si="16"/>
        <v>0</v>
      </c>
      <c r="BN55" s="157"/>
      <c r="BO55" s="159">
        <f t="shared" si="17"/>
        <v>0</v>
      </c>
      <c r="BP55" s="160"/>
      <c r="BQ55" s="156"/>
      <c r="BR55" s="158">
        <f t="shared" si="18"/>
        <v>0</v>
      </c>
      <c r="BS55" s="156"/>
      <c r="BT55" s="159">
        <f t="shared" si="19"/>
        <v>0</v>
      </c>
      <c r="BU55" s="472">
        <f t="shared" si="108"/>
        <v>3782.3904721395147</v>
      </c>
      <c r="BV55" s="161">
        <f t="shared" si="49"/>
        <v>14923232.488302847</v>
      </c>
      <c r="BW55" s="157"/>
      <c r="BX55" s="472">
        <f t="shared" si="109"/>
        <v>3457.3511867290517</v>
      </c>
      <c r="BY55" s="161">
        <f t="shared" si="50"/>
        <v>13640806.239680136</v>
      </c>
      <c r="BZ55" s="157">
        <f t="shared" si="21"/>
        <v>0</v>
      </c>
      <c r="CA55" s="161">
        <f t="shared" si="75"/>
        <v>0</v>
      </c>
      <c r="CB55" s="156">
        <f t="shared" si="23"/>
        <v>0</v>
      </c>
      <c r="CC55" s="161">
        <f t="shared" si="94"/>
        <v>0</v>
      </c>
      <c r="CD55" s="162">
        <f t="shared" si="62"/>
        <v>3945.45</v>
      </c>
      <c r="CE55" s="163">
        <v>4.5999999999999996</v>
      </c>
      <c r="CF55" s="164">
        <v>9.36</v>
      </c>
      <c r="CG55" s="165">
        <f t="shared" si="51"/>
        <v>13.529439999999999</v>
      </c>
      <c r="CH55" s="166">
        <f t="shared" si="107"/>
        <v>53379.729047999994</v>
      </c>
      <c r="CI55" s="167">
        <v>43</v>
      </c>
      <c r="CJ55" s="166">
        <f t="shared" si="110"/>
        <v>169654.35</v>
      </c>
      <c r="CK55" s="168">
        <v>5.96</v>
      </c>
      <c r="CL55" s="166">
        <f t="shared" si="26"/>
        <v>23514.881999999998</v>
      </c>
      <c r="CM55" s="167">
        <v>24.31</v>
      </c>
      <c r="CN55" s="166">
        <f t="shared" si="27"/>
        <v>95913.88949999999</v>
      </c>
      <c r="CO55" s="169">
        <f t="shared" si="28"/>
        <v>3641.2923999999994</v>
      </c>
      <c r="CP55" s="166">
        <f t="shared" si="29"/>
        <v>14366537.099579997</v>
      </c>
      <c r="CQ55" s="167">
        <v>3760</v>
      </c>
      <c r="CR55" s="166">
        <f t="shared" si="111"/>
        <v>14834892</v>
      </c>
      <c r="CS55" s="170">
        <f t="shared" si="30"/>
        <v>43.256061250531687</v>
      </c>
      <c r="CT55" s="166">
        <f t="shared" si="31"/>
        <v>170664.62686091024</v>
      </c>
      <c r="CU55" s="168">
        <v>5.4</v>
      </c>
      <c r="CV55" s="166">
        <f t="shared" si="77"/>
        <v>21305.43</v>
      </c>
      <c r="CW55" s="170">
        <f t="shared" si="78"/>
        <v>24.454763930242446</v>
      </c>
      <c r="CX55" s="166">
        <f t="shared" si="79"/>
        <v>96485.048348575059</v>
      </c>
      <c r="CY55" s="171">
        <f t="shared" si="80"/>
        <v>3782.3904721395147</v>
      </c>
      <c r="CZ55" s="166">
        <f t="shared" si="81"/>
        <v>14923232.488302847</v>
      </c>
      <c r="DA55" s="170" t="str">
        <f t="shared" si="83"/>
        <v>G12</v>
      </c>
      <c r="DB55" s="171">
        <f t="shared" si="38"/>
        <v>3457.3511867290517</v>
      </c>
      <c r="DC55" s="166">
        <f t="shared" si="69"/>
        <v>13640806.239680136</v>
      </c>
      <c r="DD55" s="170">
        <f t="shared" si="54"/>
        <v>39.538856656741814</v>
      </c>
      <c r="DE55" s="221">
        <f t="shared" si="55"/>
        <v>155998.58199634199</v>
      </c>
      <c r="DF55" s="222">
        <f t="shared" si="56"/>
        <v>8.1294399999999989</v>
      </c>
      <c r="DG55" s="221">
        <f t="shared" si="57"/>
        <v>32074.299047999993</v>
      </c>
      <c r="DH55" s="172">
        <f t="shared" si="40"/>
        <v>-2</v>
      </c>
      <c r="DI55" s="173">
        <f t="shared" si="95"/>
        <v>0</v>
      </c>
      <c r="DJ55" s="174" t="e">
        <f t="shared" si="96"/>
        <v>#VALUE!</v>
      </c>
      <c r="DK55" s="175">
        <f t="shared" si="97"/>
        <v>667.60952786048529</v>
      </c>
      <c r="DL55" s="176" t="e">
        <f t="shared" si="98"/>
        <v>#VALUE!</v>
      </c>
      <c r="DM55" s="175" t="e">
        <f t="shared" si="99"/>
        <v>#VALUE!</v>
      </c>
      <c r="DN55" s="177"/>
      <c r="DO55" s="178">
        <f t="shared" si="46"/>
        <v>0</v>
      </c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80"/>
      <c r="EC55" s="181">
        <f t="shared" si="47"/>
        <v>0</v>
      </c>
      <c r="EE55" s="181"/>
    </row>
    <row r="56" spans="1:138" s="182" customFormat="1" ht="30">
      <c r="A56" s="74">
        <v>80</v>
      </c>
      <c r="B56" s="74">
        <v>124</v>
      </c>
      <c r="C56" s="138">
        <v>45833</v>
      </c>
      <c r="D56" s="139">
        <v>151000187</v>
      </c>
      <c r="E56" s="138">
        <v>45832</v>
      </c>
      <c r="F56" s="138"/>
      <c r="G56" s="138"/>
      <c r="H56" s="140">
        <v>3989.55</v>
      </c>
      <c r="I56" s="141">
        <v>3989.55</v>
      </c>
      <c r="J56" s="142"/>
      <c r="K56" s="568"/>
      <c r="L56" s="337">
        <v>59</v>
      </c>
      <c r="M56" s="144"/>
      <c r="N56" s="144">
        <v>3989.55</v>
      </c>
      <c r="O56" s="522" t="s">
        <v>180</v>
      </c>
      <c r="P56" s="145" t="s">
        <v>70</v>
      </c>
      <c r="Q56" s="146" t="s">
        <v>64</v>
      </c>
      <c r="R56" s="145"/>
      <c r="S56" s="145" t="s">
        <v>181</v>
      </c>
      <c r="T56" s="145"/>
      <c r="U56" s="147" t="s">
        <v>188</v>
      </c>
      <c r="V56" s="147" t="s">
        <v>189</v>
      </c>
      <c r="W56" s="147">
        <v>4450</v>
      </c>
      <c r="X56" s="519">
        <v>4130</v>
      </c>
      <c r="Y56" s="148">
        <v>4130</v>
      </c>
      <c r="Z56" s="150"/>
      <c r="AA56" s="149"/>
      <c r="AB56" s="150"/>
      <c r="AC56" s="151"/>
      <c r="AD56" s="151"/>
      <c r="AE56" s="152">
        <f t="shared" si="0"/>
        <v>0</v>
      </c>
      <c r="AF56" s="151"/>
      <c r="AG56" s="152">
        <f t="shared" si="102"/>
        <v>0</v>
      </c>
      <c r="AH56" s="151"/>
      <c r="AI56" s="152">
        <f t="shared" si="103"/>
        <v>0</v>
      </c>
      <c r="AJ56" s="149"/>
      <c r="AK56" s="152">
        <f t="shared" si="104"/>
        <v>0</v>
      </c>
      <c r="AL56" s="149"/>
      <c r="AM56" s="151"/>
      <c r="AN56" s="152">
        <f t="shared" si="3"/>
        <v>0</v>
      </c>
      <c r="AO56" s="151"/>
      <c r="AP56" s="152">
        <f t="shared" si="4"/>
        <v>0</v>
      </c>
      <c r="AQ56" s="174">
        <f t="shared" si="106"/>
        <v>4450</v>
      </c>
      <c r="AR56" s="152">
        <f t="shared" si="48"/>
        <v>17753497.5</v>
      </c>
      <c r="AS56" s="149"/>
      <c r="AT56" s="149">
        <f t="shared" si="5"/>
        <v>4450</v>
      </c>
      <c r="AU56" s="152">
        <f t="shared" si="71"/>
        <v>0</v>
      </c>
      <c r="AV56" s="149">
        <f t="shared" si="7"/>
        <v>0</v>
      </c>
      <c r="AW56" s="152">
        <f t="shared" si="73"/>
        <v>0</v>
      </c>
      <c r="AX56" s="151">
        <f t="shared" si="9"/>
        <v>0</v>
      </c>
      <c r="AY56" s="152">
        <f t="shared" si="74"/>
        <v>0</v>
      </c>
      <c r="AZ56" s="153"/>
      <c r="BA56" s="153"/>
      <c r="BB56" s="153"/>
      <c r="BC56" s="154">
        <f t="shared" si="11"/>
        <v>0</v>
      </c>
      <c r="BD56" s="155">
        <f t="shared" si="68"/>
        <v>0</v>
      </c>
      <c r="BE56" s="156"/>
      <c r="BF56" s="157"/>
      <c r="BG56" s="157"/>
      <c r="BH56" s="156"/>
      <c r="BI56" s="158">
        <f t="shared" si="14"/>
        <v>0</v>
      </c>
      <c r="BJ56" s="156"/>
      <c r="BK56" s="158">
        <f t="shared" si="15"/>
        <v>0</v>
      </c>
      <c r="BL56" s="156"/>
      <c r="BM56" s="159">
        <f t="shared" si="16"/>
        <v>0</v>
      </c>
      <c r="BN56" s="157"/>
      <c r="BO56" s="159">
        <f t="shared" si="17"/>
        <v>0</v>
      </c>
      <c r="BP56" s="160"/>
      <c r="BQ56" s="156"/>
      <c r="BR56" s="158">
        <f t="shared" si="18"/>
        <v>0</v>
      </c>
      <c r="BS56" s="156"/>
      <c r="BT56" s="159">
        <f t="shared" si="19"/>
        <v>0</v>
      </c>
      <c r="BU56" s="472">
        <f t="shared" si="108"/>
        <v>4305.4850280051705</v>
      </c>
      <c r="BV56" s="161">
        <f t="shared" si="49"/>
        <v>17176947.793478031</v>
      </c>
      <c r="BW56" s="157"/>
      <c r="BX56" s="472">
        <f t="shared" si="109"/>
        <v>3991.1319063981041</v>
      </c>
      <c r="BY56" s="161">
        <f t="shared" si="50"/>
        <v>15922820.297170557</v>
      </c>
      <c r="BZ56" s="157">
        <f t="shared" si="21"/>
        <v>0</v>
      </c>
      <c r="CA56" s="161">
        <f t="shared" si="75"/>
        <v>0</v>
      </c>
      <c r="CB56" s="156">
        <f t="shared" si="23"/>
        <v>0</v>
      </c>
      <c r="CC56" s="161">
        <f t="shared" si="94"/>
        <v>0</v>
      </c>
      <c r="CD56" s="162">
        <f t="shared" si="62"/>
        <v>3989.55</v>
      </c>
      <c r="CE56" s="163">
        <v>4.3</v>
      </c>
      <c r="CF56" s="164">
        <v>9.81</v>
      </c>
      <c r="CG56" s="165">
        <f t="shared" si="51"/>
        <v>13.68817</v>
      </c>
      <c r="CH56" s="166">
        <f t="shared" si="107"/>
        <v>54609.638623500003</v>
      </c>
      <c r="CI56" s="167">
        <v>43.65</v>
      </c>
      <c r="CJ56" s="166">
        <f t="shared" si="110"/>
        <v>174143.85750000001</v>
      </c>
      <c r="CK56" s="168">
        <v>7.16</v>
      </c>
      <c r="CL56" s="166">
        <f t="shared" si="26"/>
        <v>28565.178000000004</v>
      </c>
      <c r="CM56" s="167">
        <v>25.36</v>
      </c>
      <c r="CN56" s="166">
        <f t="shared" si="27"/>
        <v>101174.988</v>
      </c>
      <c r="CO56" s="169">
        <f t="shared" si="28"/>
        <v>3405.4488999999994</v>
      </c>
      <c r="CP56" s="166">
        <f t="shared" si="29"/>
        <v>13586208.658994999</v>
      </c>
      <c r="CQ56" s="167">
        <v>4293</v>
      </c>
      <c r="CR56" s="166">
        <f t="shared" si="111"/>
        <v>17127138.150000002</v>
      </c>
      <c r="CS56" s="170">
        <f t="shared" si="30"/>
        <v>43.776944205084014</v>
      </c>
      <c r="CT56" s="166">
        <f t="shared" si="31"/>
        <v>174650.30775339293</v>
      </c>
      <c r="CU56" s="168">
        <v>6.89</v>
      </c>
      <c r="CV56" s="166">
        <f t="shared" si="77"/>
        <v>27487.999500000002</v>
      </c>
      <c r="CW56" s="170">
        <f t="shared" si="78"/>
        <v>25.433752692804827</v>
      </c>
      <c r="CX56" s="166">
        <f t="shared" si="79"/>
        <v>101469.2280555795</v>
      </c>
      <c r="CY56" s="171">
        <f t="shared" si="80"/>
        <v>4305.4850280051705</v>
      </c>
      <c r="CZ56" s="166">
        <f t="shared" si="81"/>
        <v>17176947.793478031</v>
      </c>
      <c r="DA56" s="170" t="str">
        <f t="shared" si="83"/>
        <v>G10</v>
      </c>
      <c r="DB56" s="171">
        <f t="shared" si="38"/>
        <v>3991.1319063981041</v>
      </c>
      <c r="DC56" s="166">
        <f t="shared" si="69"/>
        <v>15922820.297170557</v>
      </c>
      <c r="DD56" s="170">
        <f t="shared" si="54"/>
        <v>40.580691291469194</v>
      </c>
      <c r="DE56" s="221">
        <f t="shared" si="55"/>
        <v>161898.69694188092</v>
      </c>
      <c r="DF56" s="222">
        <f t="shared" si="56"/>
        <v>6.7981699999999998</v>
      </c>
      <c r="DG56" s="221">
        <f t="shared" si="57"/>
        <v>27121.639123500001</v>
      </c>
      <c r="DH56" s="172">
        <f t="shared" si="40"/>
        <v>0</v>
      </c>
      <c r="DI56" s="173">
        <f t="shared" si="95"/>
        <v>0</v>
      </c>
      <c r="DJ56" s="174" t="e">
        <f t="shared" si="96"/>
        <v>#VALUE!</v>
      </c>
      <c r="DK56" s="175">
        <f t="shared" si="97"/>
        <v>144.51497199482947</v>
      </c>
      <c r="DL56" s="176" t="e">
        <f t="shared" si="98"/>
        <v>#VALUE!</v>
      </c>
      <c r="DM56" s="175" t="e">
        <f t="shared" si="99"/>
        <v>#VALUE!</v>
      </c>
      <c r="DN56" s="177"/>
      <c r="DO56" s="178">
        <f t="shared" si="46"/>
        <v>0</v>
      </c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80"/>
      <c r="EC56" s="181">
        <f t="shared" si="47"/>
        <v>0</v>
      </c>
      <c r="EE56" s="181"/>
    </row>
    <row r="57" spans="1:138" s="182" customFormat="1" ht="30">
      <c r="A57" s="74">
        <v>84</v>
      </c>
      <c r="B57" s="74">
        <v>129</v>
      </c>
      <c r="C57" s="138">
        <v>45834</v>
      </c>
      <c r="D57" s="139">
        <v>161000001</v>
      </c>
      <c r="E57" s="138">
        <v>45833</v>
      </c>
      <c r="F57" s="138"/>
      <c r="G57" s="138"/>
      <c r="H57" s="140">
        <v>3640.15</v>
      </c>
      <c r="I57" s="141">
        <v>3640.15</v>
      </c>
      <c r="J57" s="142"/>
      <c r="K57" s="568"/>
      <c r="L57" s="337">
        <v>56</v>
      </c>
      <c r="M57" s="144"/>
      <c r="N57" s="144">
        <v>3640.15</v>
      </c>
      <c r="O57" s="522" t="s">
        <v>180</v>
      </c>
      <c r="P57" s="145" t="s">
        <v>272</v>
      </c>
      <c r="Q57" s="146" t="s">
        <v>277</v>
      </c>
      <c r="R57" s="145"/>
      <c r="S57" s="145" t="s">
        <v>181</v>
      </c>
      <c r="T57" s="145"/>
      <c r="U57" s="147" t="s">
        <v>182</v>
      </c>
      <c r="V57" s="147" t="s">
        <v>183</v>
      </c>
      <c r="W57" s="147">
        <v>4150</v>
      </c>
      <c r="X57" s="519">
        <v>3761.31</v>
      </c>
      <c r="Y57" s="148">
        <v>3761.31</v>
      </c>
      <c r="Z57" s="150"/>
      <c r="AA57" s="149"/>
      <c r="AB57" s="150"/>
      <c r="AC57" s="151"/>
      <c r="AD57" s="151"/>
      <c r="AE57" s="152">
        <f t="shared" si="0"/>
        <v>0</v>
      </c>
      <c r="AF57" s="151"/>
      <c r="AG57" s="152">
        <f t="shared" si="102"/>
        <v>0</v>
      </c>
      <c r="AH57" s="151"/>
      <c r="AI57" s="152">
        <f t="shared" si="103"/>
        <v>0</v>
      </c>
      <c r="AJ57" s="149"/>
      <c r="AK57" s="152">
        <f t="shared" si="104"/>
        <v>0</v>
      </c>
      <c r="AL57" s="149"/>
      <c r="AM57" s="151"/>
      <c r="AN57" s="152">
        <f t="shared" si="3"/>
        <v>0</v>
      </c>
      <c r="AO57" s="151"/>
      <c r="AP57" s="152">
        <f t="shared" si="4"/>
        <v>0</v>
      </c>
      <c r="AQ57" s="174">
        <f t="shared" si="106"/>
        <v>4150</v>
      </c>
      <c r="AR57" s="152">
        <f t="shared" si="48"/>
        <v>15106622.5</v>
      </c>
      <c r="AS57" s="149"/>
      <c r="AT57" s="149">
        <f t="shared" si="5"/>
        <v>4150</v>
      </c>
      <c r="AU57" s="152">
        <f t="shared" si="71"/>
        <v>0</v>
      </c>
      <c r="AV57" s="149">
        <f t="shared" si="7"/>
        <v>0</v>
      </c>
      <c r="AW57" s="152">
        <f t="shared" si="73"/>
        <v>0</v>
      </c>
      <c r="AX57" s="151">
        <f t="shared" si="9"/>
        <v>0</v>
      </c>
      <c r="AY57" s="152">
        <f t="shared" si="74"/>
        <v>0</v>
      </c>
      <c r="AZ57" s="153"/>
      <c r="BA57" s="153"/>
      <c r="BB57" s="153"/>
      <c r="BC57" s="154">
        <f t="shared" si="11"/>
        <v>0</v>
      </c>
      <c r="BD57" s="155">
        <f t="shared" si="68"/>
        <v>0</v>
      </c>
      <c r="BE57" s="156"/>
      <c r="BF57" s="157"/>
      <c r="BG57" s="157"/>
      <c r="BH57" s="156"/>
      <c r="BI57" s="158">
        <f t="shared" si="14"/>
        <v>0</v>
      </c>
      <c r="BJ57" s="156"/>
      <c r="BK57" s="158">
        <f t="shared" si="15"/>
        <v>0</v>
      </c>
      <c r="BL57" s="156"/>
      <c r="BM57" s="159">
        <f t="shared" si="16"/>
        <v>0</v>
      </c>
      <c r="BN57" s="157"/>
      <c r="BO57" s="159">
        <f t="shared" si="17"/>
        <v>0</v>
      </c>
      <c r="BP57" s="160"/>
      <c r="BQ57" s="156"/>
      <c r="BR57" s="158">
        <f t="shared" si="18"/>
        <v>0</v>
      </c>
      <c r="BS57" s="156"/>
      <c r="BT57" s="159">
        <f t="shared" si="19"/>
        <v>0</v>
      </c>
      <c r="BU57" s="472">
        <f t="shared" si="108"/>
        <v>4186.4073627698035</v>
      </c>
      <c r="BV57" s="161">
        <f t="shared" si="49"/>
        <v>15239150.7615865</v>
      </c>
      <c r="BW57" s="157"/>
      <c r="BX57" s="472">
        <f t="shared" si="109"/>
        <v>3733.5485482633949</v>
      </c>
      <c r="BY57" s="161">
        <f t="shared" si="50"/>
        <v>13590676.747960998</v>
      </c>
      <c r="BZ57" s="157">
        <f t="shared" si="21"/>
        <v>0</v>
      </c>
      <c r="CA57" s="161">
        <f t="shared" si="75"/>
        <v>0</v>
      </c>
      <c r="CB57" s="156">
        <f t="shared" si="23"/>
        <v>0</v>
      </c>
      <c r="CC57" s="161">
        <f t="shared" si="94"/>
        <v>0</v>
      </c>
      <c r="CD57" s="162">
        <f t="shared" si="62"/>
        <v>3640.15</v>
      </c>
      <c r="CE57" s="163">
        <v>4</v>
      </c>
      <c r="CF57" s="164">
        <v>13.53</v>
      </c>
      <c r="CG57" s="165">
        <f t="shared" si="51"/>
        <v>16.988799999999998</v>
      </c>
      <c r="CH57" s="166">
        <f t="shared" si="107"/>
        <v>61841.780319999991</v>
      </c>
      <c r="CI57" s="167">
        <v>31.27</v>
      </c>
      <c r="CJ57" s="166">
        <f t="shared" si="110"/>
        <v>113827.4905</v>
      </c>
      <c r="CK57" s="168">
        <v>8.73</v>
      </c>
      <c r="CL57" s="166">
        <f t="shared" si="26"/>
        <v>31778.509500000004</v>
      </c>
      <c r="CM57" s="167">
        <v>28.63</v>
      </c>
      <c r="CN57" s="166">
        <f t="shared" si="27"/>
        <v>104217.4945</v>
      </c>
      <c r="CO57" s="169">
        <f t="shared" si="28"/>
        <v>4342.0014999999994</v>
      </c>
      <c r="CP57" s="166">
        <f t="shared" si="29"/>
        <v>15805536.760224998</v>
      </c>
      <c r="CQ57" s="167">
        <v>4105</v>
      </c>
      <c r="CR57" s="166">
        <f t="shared" si="111"/>
        <v>14942815.75</v>
      </c>
      <c r="CS57" s="170">
        <f t="shared" si="30"/>
        <v>31.890123808480332</v>
      </c>
      <c r="CT57" s="166">
        <f t="shared" si="31"/>
        <v>116084.83418143968</v>
      </c>
      <c r="CU57" s="168">
        <v>6.92</v>
      </c>
      <c r="CV57" s="166">
        <f t="shared" si="77"/>
        <v>25189.838</v>
      </c>
      <c r="CW57" s="170">
        <f t="shared" si="78"/>
        <v>29.197769256053466</v>
      </c>
      <c r="CX57" s="166">
        <f t="shared" si="79"/>
        <v>106284.25975742303</v>
      </c>
      <c r="CY57" s="171">
        <f t="shared" si="80"/>
        <v>4186.4073627698035</v>
      </c>
      <c r="CZ57" s="166">
        <f t="shared" si="81"/>
        <v>15239150.7615865</v>
      </c>
      <c r="DA57" s="170" t="str">
        <f t="shared" si="83"/>
        <v>G11</v>
      </c>
      <c r="DB57" s="171">
        <f t="shared" si="38"/>
        <v>3733.5485482633949</v>
      </c>
      <c r="DC57" s="166">
        <f t="shared" si="69"/>
        <v>13590676.747960998</v>
      </c>
      <c r="DD57" s="170">
        <f t="shared" si="54"/>
        <v>28.4404538621672</v>
      </c>
      <c r="DE57" s="221">
        <f t="shared" si="55"/>
        <v>103527.51812636794</v>
      </c>
      <c r="DF57" s="222">
        <f t="shared" si="56"/>
        <v>10.068799999999998</v>
      </c>
      <c r="DG57" s="221">
        <f t="shared" si="57"/>
        <v>36651.942319999995</v>
      </c>
      <c r="DH57" s="172">
        <f t="shared" si="40"/>
        <v>0</v>
      </c>
      <c r="DI57" s="173">
        <f t="shared" si="95"/>
        <v>0</v>
      </c>
      <c r="DJ57" s="174" t="e">
        <f t="shared" si="96"/>
        <v>#VALUE!</v>
      </c>
      <c r="DK57" s="175">
        <f t="shared" si="97"/>
        <v>-36.407362769803512</v>
      </c>
      <c r="DL57" s="176" t="e">
        <f t="shared" si="98"/>
        <v>#VALUE!</v>
      </c>
      <c r="DM57" s="175" t="e">
        <f t="shared" si="99"/>
        <v>#VALUE!</v>
      </c>
      <c r="DN57" s="177"/>
      <c r="DO57" s="178">
        <f t="shared" si="46"/>
        <v>0</v>
      </c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80"/>
      <c r="EC57" s="181">
        <f t="shared" si="47"/>
        <v>0</v>
      </c>
      <c r="EE57" s="181"/>
    </row>
    <row r="58" spans="1:138" s="182" customFormat="1" ht="30">
      <c r="A58" s="74">
        <v>85</v>
      </c>
      <c r="B58" s="74">
        <v>130</v>
      </c>
      <c r="C58" s="138">
        <v>45834</v>
      </c>
      <c r="D58" s="139">
        <v>161016435</v>
      </c>
      <c r="E58" s="138">
        <v>45803</v>
      </c>
      <c r="F58" s="138"/>
      <c r="G58" s="138"/>
      <c r="H58" s="140">
        <v>3775.5</v>
      </c>
      <c r="I58" s="141">
        <v>3775.5</v>
      </c>
      <c r="J58" s="142"/>
      <c r="K58" s="568"/>
      <c r="L58" s="337">
        <v>56</v>
      </c>
      <c r="M58" s="144"/>
      <c r="N58" s="144">
        <v>3775.5</v>
      </c>
      <c r="O58" s="522" t="s">
        <v>180</v>
      </c>
      <c r="P58" s="145" t="s">
        <v>71</v>
      </c>
      <c r="Q58" s="146" t="s">
        <v>222</v>
      </c>
      <c r="R58" s="145"/>
      <c r="S58" s="145" t="s">
        <v>181</v>
      </c>
      <c r="T58" s="145"/>
      <c r="U58" s="147" t="s">
        <v>190</v>
      </c>
      <c r="V58" s="147" t="s">
        <v>194</v>
      </c>
      <c r="W58" s="147">
        <v>3550</v>
      </c>
      <c r="X58" s="519">
        <v>3945.1</v>
      </c>
      <c r="Y58" s="148">
        <v>3945.1</v>
      </c>
      <c r="Z58" s="150"/>
      <c r="AA58" s="149"/>
      <c r="AB58" s="150"/>
      <c r="AC58" s="151"/>
      <c r="AD58" s="151"/>
      <c r="AE58" s="152">
        <f t="shared" si="0"/>
        <v>0</v>
      </c>
      <c r="AF58" s="151"/>
      <c r="AG58" s="152">
        <f t="shared" si="102"/>
        <v>0</v>
      </c>
      <c r="AH58" s="151"/>
      <c r="AI58" s="152">
        <f t="shared" si="103"/>
        <v>0</v>
      </c>
      <c r="AJ58" s="149"/>
      <c r="AK58" s="152">
        <f t="shared" si="104"/>
        <v>0</v>
      </c>
      <c r="AL58" s="149"/>
      <c r="AM58" s="151"/>
      <c r="AN58" s="152">
        <f t="shared" si="3"/>
        <v>0</v>
      </c>
      <c r="AO58" s="151"/>
      <c r="AP58" s="152">
        <f t="shared" si="4"/>
        <v>0</v>
      </c>
      <c r="AQ58" s="174">
        <f t="shared" si="106"/>
        <v>3550</v>
      </c>
      <c r="AR58" s="152">
        <f t="shared" si="48"/>
        <v>13403025</v>
      </c>
      <c r="AS58" s="149"/>
      <c r="AT58" s="149">
        <f t="shared" si="5"/>
        <v>3550</v>
      </c>
      <c r="AU58" s="152">
        <f t="shared" si="71"/>
        <v>0</v>
      </c>
      <c r="AV58" s="149">
        <f t="shared" si="7"/>
        <v>0</v>
      </c>
      <c r="AW58" s="152">
        <f t="shared" si="73"/>
        <v>0</v>
      </c>
      <c r="AX58" s="151">
        <f t="shared" si="9"/>
        <v>0</v>
      </c>
      <c r="AY58" s="152">
        <f t="shared" si="74"/>
        <v>0</v>
      </c>
      <c r="AZ58" s="153"/>
      <c r="BA58" s="153"/>
      <c r="BB58" s="153"/>
      <c r="BC58" s="154">
        <f t="shared" si="11"/>
        <v>0</v>
      </c>
      <c r="BD58" s="155">
        <f t="shared" si="68"/>
        <v>0</v>
      </c>
      <c r="BE58" s="156"/>
      <c r="BF58" s="157"/>
      <c r="BG58" s="157"/>
      <c r="BH58" s="156"/>
      <c r="BI58" s="158">
        <f t="shared" si="14"/>
        <v>0</v>
      </c>
      <c r="BJ58" s="156"/>
      <c r="BK58" s="158">
        <f t="shared" si="15"/>
        <v>0</v>
      </c>
      <c r="BL58" s="156"/>
      <c r="BM58" s="159">
        <f t="shared" si="16"/>
        <v>0</v>
      </c>
      <c r="BN58" s="157"/>
      <c r="BO58" s="159">
        <f t="shared" si="17"/>
        <v>0</v>
      </c>
      <c r="BP58" s="160"/>
      <c r="BQ58" s="156"/>
      <c r="BR58" s="158">
        <f t="shared" si="18"/>
        <v>0</v>
      </c>
      <c r="BS58" s="156"/>
      <c r="BT58" s="159">
        <f t="shared" si="19"/>
        <v>0</v>
      </c>
      <c r="BU58" s="472">
        <f t="shared" si="108"/>
        <v>3911.3987188911055</v>
      </c>
      <c r="BV58" s="161">
        <f t="shared" si="49"/>
        <v>14767485.863173369</v>
      </c>
      <c r="BW58" s="157"/>
      <c r="BX58" s="472">
        <f t="shared" si="109"/>
        <v>3525.9862228289398</v>
      </c>
      <c r="BY58" s="161">
        <f t="shared" si="50"/>
        <v>13312360.984290663</v>
      </c>
      <c r="BZ58" s="157">
        <f t="shared" si="21"/>
        <v>0</v>
      </c>
      <c r="CA58" s="161">
        <f t="shared" si="75"/>
        <v>0</v>
      </c>
      <c r="CB58" s="156">
        <f t="shared" si="23"/>
        <v>0</v>
      </c>
      <c r="CC58" s="161">
        <f t="shared" si="94"/>
        <v>0</v>
      </c>
      <c r="CD58" s="162">
        <f t="shared" si="62"/>
        <v>3775.5</v>
      </c>
      <c r="CE58" s="163">
        <v>5.7</v>
      </c>
      <c r="CF58" s="164">
        <v>9.2799999999999994</v>
      </c>
      <c r="CG58" s="165">
        <f t="shared" si="51"/>
        <v>14.451039999999999</v>
      </c>
      <c r="CH58" s="166">
        <f t="shared" si="107"/>
        <v>54559.901519999999</v>
      </c>
      <c r="CI58" s="167">
        <v>50.32</v>
      </c>
      <c r="CJ58" s="166">
        <f t="shared" si="110"/>
        <v>189983.16</v>
      </c>
      <c r="CK58" s="168">
        <v>4.7699999999999996</v>
      </c>
      <c r="CL58" s="166">
        <f t="shared" si="26"/>
        <v>18009.134999999998</v>
      </c>
      <c r="CM58" s="167">
        <v>24.43</v>
      </c>
      <c r="CN58" s="166">
        <f t="shared" si="27"/>
        <v>92235.464999999997</v>
      </c>
      <c r="CO58" s="169">
        <f t="shared" si="28"/>
        <v>3125.623599999999</v>
      </c>
      <c r="CP58" s="166">
        <f t="shared" si="29"/>
        <v>11800791.901799995</v>
      </c>
      <c r="CQ58" s="167">
        <v>3925</v>
      </c>
      <c r="CR58" s="166">
        <f t="shared" si="111"/>
        <v>14818837.5</v>
      </c>
      <c r="CS58" s="170">
        <f t="shared" si="30"/>
        <v>50.145626378242149</v>
      </c>
      <c r="CT58" s="166">
        <f t="shared" si="31"/>
        <v>189324.81239105324</v>
      </c>
      <c r="CU58" s="168">
        <v>5.0999999999999996</v>
      </c>
      <c r="CV58" s="166">
        <f t="shared" si="77"/>
        <v>19255.05</v>
      </c>
      <c r="CW58" s="170">
        <f t="shared" si="78"/>
        <v>24.345342854142601</v>
      </c>
      <c r="CX58" s="166">
        <f t="shared" si="79"/>
        <v>91915.841945815395</v>
      </c>
      <c r="CY58" s="171">
        <f t="shared" si="80"/>
        <v>3911.3987188911055</v>
      </c>
      <c r="CZ58" s="166">
        <f t="shared" si="81"/>
        <v>14767485.863173369</v>
      </c>
      <c r="DA58" s="170" t="str">
        <f t="shared" si="83"/>
        <v>G12</v>
      </c>
      <c r="DB58" s="171">
        <f t="shared" si="38"/>
        <v>3525.9862228289398</v>
      </c>
      <c r="DC58" s="166">
        <f t="shared" si="69"/>
        <v>13312360.984290663</v>
      </c>
      <c r="DD58" s="170">
        <f t="shared" si="54"/>
        <v>45.204490887325413</v>
      </c>
      <c r="DE58" s="221">
        <f t="shared" si="55"/>
        <v>170669.55534509709</v>
      </c>
      <c r="DF58" s="222">
        <f t="shared" si="56"/>
        <v>9.3510399999999994</v>
      </c>
      <c r="DG58" s="221">
        <f t="shared" si="57"/>
        <v>35304.851519999997</v>
      </c>
      <c r="DH58" s="172">
        <f t="shared" si="40"/>
        <v>1</v>
      </c>
      <c r="DI58" s="173">
        <f t="shared" si="95"/>
        <v>0</v>
      </c>
      <c r="DJ58" s="174" t="e">
        <f t="shared" si="96"/>
        <v>#VALUE!</v>
      </c>
      <c r="DK58" s="175">
        <f t="shared" si="97"/>
        <v>-361.39871889110555</v>
      </c>
      <c r="DL58" s="176" t="e">
        <f t="shared" si="98"/>
        <v>#VALUE!</v>
      </c>
      <c r="DM58" s="175" t="e">
        <f t="shared" si="99"/>
        <v>#VALUE!</v>
      </c>
      <c r="DN58" s="177"/>
      <c r="DO58" s="178">
        <f t="shared" si="46"/>
        <v>0</v>
      </c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80"/>
      <c r="EC58" s="181">
        <f t="shared" si="47"/>
        <v>0</v>
      </c>
      <c r="EE58" s="181"/>
    </row>
    <row r="59" spans="1:138" s="182" customFormat="1" ht="45">
      <c r="A59" s="74">
        <v>87</v>
      </c>
      <c r="B59" s="74">
        <v>135</v>
      </c>
      <c r="C59" s="138">
        <v>45835</v>
      </c>
      <c r="D59" s="139">
        <v>151000157</v>
      </c>
      <c r="E59" s="138">
        <v>45834</v>
      </c>
      <c r="F59" s="138"/>
      <c r="G59" s="138"/>
      <c r="H59" s="647">
        <v>3662.95</v>
      </c>
      <c r="I59" s="141">
        <v>606.28</v>
      </c>
      <c r="J59" s="142">
        <f>(Y59/X59)*100</f>
        <v>16.551691502003305</v>
      </c>
      <c r="K59" s="143">
        <f>ROUND(((J59*H59)/100),2)</f>
        <v>606.28</v>
      </c>
      <c r="L59" s="337">
        <v>59</v>
      </c>
      <c r="M59" s="144"/>
      <c r="N59" s="144">
        <v>606.28</v>
      </c>
      <c r="O59" s="522" t="s">
        <v>180</v>
      </c>
      <c r="P59" s="145" t="s">
        <v>72</v>
      </c>
      <c r="Q59" s="146" t="s">
        <v>224</v>
      </c>
      <c r="R59" s="145"/>
      <c r="S59" s="145" t="s">
        <v>181</v>
      </c>
      <c r="T59" s="145"/>
      <c r="U59" s="147" t="s">
        <v>182</v>
      </c>
      <c r="V59" s="147" t="s">
        <v>183</v>
      </c>
      <c r="W59" s="147">
        <v>4150</v>
      </c>
      <c r="X59" s="653">
        <v>3803.72</v>
      </c>
      <c r="Y59" s="148">
        <v>629.58000000000004</v>
      </c>
      <c r="Z59" s="150"/>
      <c r="AA59" s="149"/>
      <c r="AB59" s="150"/>
      <c r="AC59" s="151"/>
      <c r="AD59" s="151"/>
      <c r="AE59" s="152">
        <f t="shared" si="0"/>
        <v>0</v>
      </c>
      <c r="AF59" s="151"/>
      <c r="AG59" s="152">
        <f t="shared" si="102"/>
        <v>0</v>
      </c>
      <c r="AH59" s="151"/>
      <c r="AI59" s="152">
        <f t="shared" si="103"/>
        <v>0</v>
      </c>
      <c r="AJ59" s="149"/>
      <c r="AK59" s="152">
        <f t="shared" si="104"/>
        <v>0</v>
      </c>
      <c r="AL59" s="149"/>
      <c r="AM59" s="151"/>
      <c r="AN59" s="152">
        <f t="shared" si="3"/>
        <v>0</v>
      </c>
      <c r="AO59" s="151"/>
      <c r="AP59" s="152">
        <f t="shared" si="4"/>
        <v>0</v>
      </c>
      <c r="AQ59" s="174">
        <f t="shared" si="106"/>
        <v>4150</v>
      </c>
      <c r="AR59" s="152">
        <f t="shared" si="48"/>
        <v>2516062</v>
      </c>
      <c r="AS59" s="149"/>
      <c r="AT59" s="149">
        <f t="shared" si="5"/>
        <v>4150</v>
      </c>
      <c r="AU59" s="152">
        <f t="shared" si="71"/>
        <v>0</v>
      </c>
      <c r="AV59" s="149">
        <f t="shared" si="7"/>
        <v>0</v>
      </c>
      <c r="AW59" s="152">
        <f t="shared" si="73"/>
        <v>0</v>
      </c>
      <c r="AX59" s="151">
        <f t="shared" si="9"/>
        <v>0</v>
      </c>
      <c r="AY59" s="152">
        <f t="shared" si="74"/>
        <v>0</v>
      </c>
      <c r="AZ59" s="153"/>
      <c r="BA59" s="153"/>
      <c r="BB59" s="153"/>
      <c r="BC59" s="154">
        <f t="shared" si="11"/>
        <v>0</v>
      </c>
      <c r="BD59" s="155">
        <f t="shared" si="68"/>
        <v>0</v>
      </c>
      <c r="BE59" s="156"/>
      <c r="BF59" s="157"/>
      <c r="BG59" s="157"/>
      <c r="BH59" s="156"/>
      <c r="BI59" s="158">
        <f t="shared" si="14"/>
        <v>0</v>
      </c>
      <c r="BJ59" s="156"/>
      <c r="BK59" s="158">
        <f t="shared" si="15"/>
        <v>0</v>
      </c>
      <c r="BL59" s="156"/>
      <c r="BM59" s="159">
        <f t="shared" si="16"/>
        <v>0</v>
      </c>
      <c r="BN59" s="157"/>
      <c r="BO59" s="159">
        <f t="shared" si="17"/>
        <v>0</v>
      </c>
      <c r="BP59" s="160"/>
      <c r="BQ59" s="156"/>
      <c r="BR59" s="158">
        <f t="shared" si="18"/>
        <v>0</v>
      </c>
      <c r="BS59" s="156"/>
      <c r="BT59" s="159">
        <f t="shared" si="19"/>
        <v>0</v>
      </c>
      <c r="BU59" s="472">
        <f t="shared" si="108"/>
        <v>3677.2839559028153</v>
      </c>
      <c r="BV59" s="161">
        <f t="shared" si="49"/>
        <v>2229463.716784759</v>
      </c>
      <c r="BW59" s="157"/>
      <c r="BX59" s="472">
        <f t="shared" si="109"/>
        <v>3193.373222305469</v>
      </c>
      <c r="BY59" s="161">
        <f t="shared" si="50"/>
        <v>1936078.3172193596</v>
      </c>
      <c r="BZ59" s="157">
        <f t="shared" si="21"/>
        <v>0</v>
      </c>
      <c r="CA59" s="161">
        <f t="shared" si="75"/>
        <v>0</v>
      </c>
      <c r="CB59" s="156">
        <f t="shared" si="23"/>
        <v>0</v>
      </c>
      <c r="CC59" s="161">
        <f t="shared" si="94"/>
        <v>0</v>
      </c>
      <c r="CD59" s="162">
        <f t="shared" si="62"/>
        <v>606.28</v>
      </c>
      <c r="CE59" s="163">
        <v>4.5999999999999996</v>
      </c>
      <c r="CF59" s="164">
        <v>14.27</v>
      </c>
      <c r="CG59" s="165">
        <f t="shared" si="51"/>
        <v>18.21358</v>
      </c>
      <c r="CH59" s="166">
        <f t="shared" si="107"/>
        <v>11042.529282399999</v>
      </c>
      <c r="CI59" s="167">
        <v>39.92</v>
      </c>
      <c r="CJ59" s="166">
        <f t="shared" si="110"/>
        <v>24202.6976</v>
      </c>
      <c r="CK59" s="168">
        <v>6.57</v>
      </c>
      <c r="CL59" s="166">
        <f t="shared" si="26"/>
        <v>3983.2595999999999</v>
      </c>
      <c r="CM59" s="167">
        <v>23.45</v>
      </c>
      <c r="CN59" s="166">
        <f t="shared" si="27"/>
        <v>14217.266</v>
      </c>
      <c r="CO59" s="169">
        <f t="shared" si="28"/>
        <v>3842.3595999999998</v>
      </c>
      <c r="CP59" s="166">
        <f t="shared" si="29"/>
        <v>2329545.7782879998</v>
      </c>
      <c r="CQ59" s="167">
        <v>3648</v>
      </c>
      <c r="CR59" s="166">
        <f t="shared" si="111"/>
        <v>2211709.44</v>
      </c>
      <c r="CS59" s="170">
        <f t="shared" si="30"/>
        <v>40.240453815690898</v>
      </c>
      <c r="CT59" s="166">
        <f t="shared" si="31"/>
        <v>24396.982339377078</v>
      </c>
      <c r="CU59" s="168">
        <v>5.82</v>
      </c>
      <c r="CV59" s="166">
        <f t="shared" si="77"/>
        <v>3528.5495999999998</v>
      </c>
      <c r="CW59" s="170">
        <f t="shared" si="78"/>
        <v>23.638242534517822</v>
      </c>
      <c r="CX59" s="166">
        <f t="shared" si="79"/>
        <v>14331.393683827464</v>
      </c>
      <c r="CY59" s="171">
        <f t="shared" si="80"/>
        <v>3677.2839559028153</v>
      </c>
      <c r="CZ59" s="166">
        <f t="shared" si="81"/>
        <v>2229463.716784759</v>
      </c>
      <c r="DA59" s="170" t="str">
        <f t="shared" si="83"/>
        <v>G13</v>
      </c>
      <c r="DB59" s="171">
        <f t="shared" si="38"/>
        <v>3193.373222305469</v>
      </c>
      <c r="DC59" s="166">
        <f t="shared" si="69"/>
        <v>1936078.3172193596</v>
      </c>
      <c r="DD59" s="170">
        <f t="shared" si="54"/>
        <v>34.945027147597131</v>
      </c>
      <c r="DE59" s="221">
        <f t="shared" si="55"/>
        <v>21186.471059045187</v>
      </c>
      <c r="DF59" s="222">
        <f t="shared" si="56"/>
        <v>12.39358</v>
      </c>
      <c r="DG59" s="221">
        <f t="shared" si="57"/>
        <v>7513.9796823999995</v>
      </c>
      <c r="DH59" s="172">
        <f t="shared" si="40"/>
        <v>-2</v>
      </c>
      <c r="DI59" s="173">
        <f t="shared" si="95"/>
        <v>0</v>
      </c>
      <c r="DJ59" s="174" t="e">
        <f t="shared" si="96"/>
        <v>#VALUE!</v>
      </c>
      <c r="DK59" s="175">
        <f t="shared" si="97"/>
        <v>472.71604409718475</v>
      </c>
      <c r="DL59" s="176" t="e">
        <f t="shared" si="98"/>
        <v>#VALUE!</v>
      </c>
      <c r="DM59" s="175" t="e">
        <f t="shared" si="99"/>
        <v>#VALUE!</v>
      </c>
      <c r="DN59" s="177"/>
      <c r="DO59" s="178">
        <f t="shared" si="46"/>
        <v>0</v>
      </c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80"/>
      <c r="EC59" s="181">
        <f t="shared" si="47"/>
        <v>0</v>
      </c>
      <c r="EE59" s="181"/>
    </row>
    <row r="60" spans="1:138" s="182" customFormat="1" ht="30">
      <c r="A60" s="74">
        <v>88</v>
      </c>
      <c r="B60" s="74">
        <v>135</v>
      </c>
      <c r="C60" s="138">
        <v>45835</v>
      </c>
      <c r="D60" s="139">
        <v>151000157</v>
      </c>
      <c r="E60" s="138">
        <v>45834</v>
      </c>
      <c r="F60" s="138"/>
      <c r="G60" s="138"/>
      <c r="H60" s="649"/>
      <c r="I60" s="141">
        <v>3056.67</v>
      </c>
      <c r="J60" s="142">
        <f>(Y60/X59)*100</f>
        <v>83.448308497996706</v>
      </c>
      <c r="K60" s="143">
        <f>ROUND(((J60*H59)/100),2)</f>
        <v>3056.67</v>
      </c>
      <c r="L60" s="337">
        <v>59</v>
      </c>
      <c r="M60" s="144"/>
      <c r="N60" s="144">
        <v>3056.67</v>
      </c>
      <c r="O60" s="522" t="s">
        <v>180</v>
      </c>
      <c r="P60" s="145" t="s">
        <v>72</v>
      </c>
      <c r="Q60" s="146" t="s">
        <v>231</v>
      </c>
      <c r="R60" s="145"/>
      <c r="S60" s="145" t="s">
        <v>181</v>
      </c>
      <c r="T60" s="145"/>
      <c r="U60" s="147" t="s">
        <v>182</v>
      </c>
      <c r="V60" s="147" t="s">
        <v>183</v>
      </c>
      <c r="W60" s="147">
        <v>4150</v>
      </c>
      <c r="X60" s="655"/>
      <c r="Y60" s="148">
        <v>3174.14</v>
      </c>
      <c r="Z60" s="150"/>
      <c r="AA60" s="149"/>
      <c r="AB60" s="150"/>
      <c r="AC60" s="151"/>
      <c r="AD60" s="151"/>
      <c r="AE60" s="152">
        <f t="shared" si="0"/>
        <v>0</v>
      </c>
      <c r="AF60" s="151"/>
      <c r="AG60" s="152">
        <f t="shared" si="102"/>
        <v>0</v>
      </c>
      <c r="AH60" s="151"/>
      <c r="AI60" s="152">
        <f t="shared" si="103"/>
        <v>0</v>
      </c>
      <c r="AJ60" s="149"/>
      <c r="AK60" s="152">
        <f t="shared" si="104"/>
        <v>0</v>
      </c>
      <c r="AL60" s="149"/>
      <c r="AM60" s="151"/>
      <c r="AN60" s="152">
        <f t="shared" si="3"/>
        <v>0</v>
      </c>
      <c r="AO60" s="151"/>
      <c r="AP60" s="152">
        <f t="shared" si="4"/>
        <v>0</v>
      </c>
      <c r="AQ60" s="174">
        <f t="shared" si="106"/>
        <v>4150</v>
      </c>
      <c r="AR60" s="152">
        <f t="shared" si="48"/>
        <v>12685180.5</v>
      </c>
      <c r="AS60" s="149"/>
      <c r="AT60" s="149">
        <f t="shared" si="5"/>
        <v>4150</v>
      </c>
      <c r="AU60" s="152">
        <f t="shared" si="71"/>
        <v>0</v>
      </c>
      <c r="AV60" s="149">
        <f t="shared" si="7"/>
        <v>0</v>
      </c>
      <c r="AW60" s="152">
        <f t="shared" si="73"/>
        <v>0</v>
      </c>
      <c r="AX60" s="151">
        <f t="shared" si="9"/>
        <v>0</v>
      </c>
      <c r="AY60" s="152">
        <f t="shared" si="74"/>
        <v>0</v>
      </c>
      <c r="AZ60" s="153"/>
      <c r="BA60" s="153"/>
      <c r="BB60" s="153"/>
      <c r="BC60" s="154">
        <f t="shared" si="11"/>
        <v>0</v>
      </c>
      <c r="BD60" s="155">
        <f t="shared" si="68"/>
        <v>0</v>
      </c>
      <c r="BE60" s="156"/>
      <c r="BF60" s="157"/>
      <c r="BG60" s="157"/>
      <c r="BH60" s="156"/>
      <c r="BI60" s="158">
        <f t="shared" si="14"/>
        <v>0</v>
      </c>
      <c r="BJ60" s="156"/>
      <c r="BK60" s="158">
        <f t="shared" si="15"/>
        <v>0</v>
      </c>
      <c r="BL60" s="156"/>
      <c r="BM60" s="159">
        <f t="shared" si="16"/>
        <v>0</v>
      </c>
      <c r="BN60" s="157"/>
      <c r="BO60" s="159">
        <f t="shared" si="17"/>
        <v>0</v>
      </c>
      <c r="BP60" s="160"/>
      <c r="BQ60" s="156"/>
      <c r="BR60" s="158">
        <f t="shared" si="18"/>
        <v>0</v>
      </c>
      <c r="BS60" s="156"/>
      <c r="BT60" s="159">
        <f t="shared" si="19"/>
        <v>0</v>
      </c>
      <c r="BU60" s="472">
        <f t="shared" si="108"/>
        <v>4032.1096007706305</v>
      </c>
      <c r="BV60" s="161">
        <f t="shared" si="49"/>
        <v>12324828.453387564</v>
      </c>
      <c r="BW60" s="157"/>
      <c r="BX60" s="472">
        <f t="shared" si="109"/>
        <v>3501.5057262121368</v>
      </c>
      <c r="BY60" s="161">
        <f t="shared" si="50"/>
        <v>10702947.508140853</v>
      </c>
      <c r="BZ60" s="157">
        <f t="shared" si="21"/>
        <v>0</v>
      </c>
      <c r="CA60" s="161">
        <f t="shared" si="75"/>
        <v>0</v>
      </c>
      <c r="CB60" s="156">
        <f t="shared" si="23"/>
        <v>0</v>
      </c>
      <c r="CC60" s="161">
        <f t="shared" si="94"/>
        <v>0</v>
      </c>
      <c r="CD60" s="162">
        <f t="shared" si="62"/>
        <v>3056.67</v>
      </c>
      <c r="CE60" s="163">
        <v>4.5999999999999996</v>
      </c>
      <c r="CF60" s="164">
        <v>14.27</v>
      </c>
      <c r="CG60" s="165">
        <f t="shared" si="51"/>
        <v>18.21358</v>
      </c>
      <c r="CH60" s="166">
        <f t="shared" si="107"/>
        <v>55672.903578600002</v>
      </c>
      <c r="CI60" s="167">
        <v>39.92</v>
      </c>
      <c r="CJ60" s="166">
        <f t="shared" si="110"/>
        <v>122022.26640000001</v>
      </c>
      <c r="CK60" s="168">
        <v>6.57</v>
      </c>
      <c r="CL60" s="166">
        <f t="shared" si="26"/>
        <v>20082.321900000003</v>
      </c>
      <c r="CM60" s="167">
        <v>23.45</v>
      </c>
      <c r="CN60" s="166">
        <f t="shared" si="27"/>
        <v>71678.911500000002</v>
      </c>
      <c r="CO60" s="169">
        <f t="shared" si="28"/>
        <v>3842.3595999999998</v>
      </c>
      <c r="CP60" s="166">
        <f t="shared" si="29"/>
        <v>11744825.318531999</v>
      </c>
      <c r="CQ60" s="167">
        <v>4000</v>
      </c>
      <c r="CR60" s="166">
        <f t="shared" si="111"/>
        <v>12226680</v>
      </c>
      <c r="CS60" s="170">
        <f t="shared" si="30"/>
        <v>40.240453815690898</v>
      </c>
      <c r="CT60" s="166">
        <f t="shared" si="31"/>
        <v>123001.7879648079</v>
      </c>
      <c r="CU60" s="168">
        <v>5.82</v>
      </c>
      <c r="CV60" s="166">
        <f t="shared" si="77"/>
        <v>17789.8194</v>
      </c>
      <c r="CW60" s="170">
        <f t="shared" si="78"/>
        <v>23.638242534517822</v>
      </c>
      <c r="CX60" s="166">
        <f t="shared" si="79"/>
        <v>72254.306807984598</v>
      </c>
      <c r="CY60" s="171">
        <f t="shared" si="80"/>
        <v>4032.1096007706305</v>
      </c>
      <c r="CZ60" s="166">
        <f t="shared" si="81"/>
        <v>12324828.453387564</v>
      </c>
      <c r="DA60" s="170" t="str">
        <f t="shared" si="83"/>
        <v>G11</v>
      </c>
      <c r="DB60" s="171">
        <f t="shared" si="38"/>
        <v>3501.5057262121368</v>
      </c>
      <c r="DC60" s="166">
        <f t="shared" si="69"/>
        <v>10702947.508140853</v>
      </c>
      <c r="DD60" s="170">
        <f t="shared" si="54"/>
        <v>34.945027147597131</v>
      </c>
      <c r="DE60" s="221">
        <f t="shared" si="55"/>
        <v>106815.41613124573</v>
      </c>
      <c r="DF60" s="222">
        <f t="shared" si="56"/>
        <v>12.39358</v>
      </c>
      <c r="DG60" s="221">
        <f t="shared" si="57"/>
        <v>37883.084178600002</v>
      </c>
      <c r="DH60" s="172">
        <f t="shared" si="40"/>
        <v>0</v>
      </c>
      <c r="DI60" s="173">
        <f t="shared" si="95"/>
        <v>0</v>
      </c>
      <c r="DJ60" s="174" t="e">
        <f t="shared" si="96"/>
        <v>#VALUE!</v>
      </c>
      <c r="DK60" s="175">
        <f t="shared" si="97"/>
        <v>117.89039922936945</v>
      </c>
      <c r="DL60" s="176" t="e">
        <f t="shared" si="98"/>
        <v>#VALUE!</v>
      </c>
      <c r="DM60" s="175" t="e">
        <f t="shared" si="99"/>
        <v>#VALUE!</v>
      </c>
      <c r="DN60" s="177"/>
      <c r="DO60" s="178">
        <f t="shared" si="46"/>
        <v>0</v>
      </c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80"/>
      <c r="EC60" s="181">
        <f t="shared" si="47"/>
        <v>0</v>
      </c>
      <c r="EE60" s="181"/>
    </row>
    <row r="61" spans="1:138" s="182" customFormat="1" ht="30">
      <c r="A61" s="74">
        <v>91</v>
      </c>
      <c r="B61" s="74">
        <v>138</v>
      </c>
      <c r="C61" s="138">
        <v>45835</v>
      </c>
      <c r="D61" s="139">
        <v>161016440</v>
      </c>
      <c r="E61" s="138" t="s">
        <v>255</v>
      </c>
      <c r="F61" s="138"/>
      <c r="G61" s="138"/>
      <c r="H61" s="140">
        <v>3792.8</v>
      </c>
      <c r="I61" s="141">
        <v>3792.8</v>
      </c>
      <c r="J61" s="142"/>
      <c r="K61" s="568"/>
      <c r="L61" s="337">
        <v>58</v>
      </c>
      <c r="M61" s="144"/>
      <c r="N61" s="144">
        <v>3792.8</v>
      </c>
      <c r="O61" s="522" t="s">
        <v>180</v>
      </c>
      <c r="P61" s="145" t="s">
        <v>71</v>
      </c>
      <c r="Q61" s="146" t="s">
        <v>222</v>
      </c>
      <c r="R61" s="145"/>
      <c r="S61" s="145" t="s">
        <v>181</v>
      </c>
      <c r="T61" s="145"/>
      <c r="U61" s="147" t="s">
        <v>190</v>
      </c>
      <c r="V61" s="147" t="s">
        <v>194</v>
      </c>
      <c r="W61" s="147">
        <v>3550</v>
      </c>
      <c r="X61" s="519">
        <v>3964.06</v>
      </c>
      <c r="Y61" s="148">
        <v>3964.06</v>
      </c>
      <c r="Z61" s="150"/>
      <c r="AA61" s="149"/>
      <c r="AB61" s="150"/>
      <c r="AC61" s="151"/>
      <c r="AD61" s="151"/>
      <c r="AE61" s="152">
        <f t="shared" si="0"/>
        <v>0</v>
      </c>
      <c r="AF61" s="151"/>
      <c r="AG61" s="152">
        <f t="shared" si="102"/>
        <v>0</v>
      </c>
      <c r="AH61" s="151"/>
      <c r="AI61" s="152">
        <f t="shared" si="103"/>
        <v>0</v>
      </c>
      <c r="AJ61" s="149"/>
      <c r="AK61" s="152">
        <f t="shared" si="104"/>
        <v>0</v>
      </c>
      <c r="AL61" s="149"/>
      <c r="AM61" s="151"/>
      <c r="AN61" s="152">
        <f t="shared" si="3"/>
        <v>0</v>
      </c>
      <c r="AO61" s="151"/>
      <c r="AP61" s="152">
        <f t="shared" si="4"/>
        <v>0</v>
      </c>
      <c r="AQ61" s="174">
        <f t="shared" si="106"/>
        <v>3550</v>
      </c>
      <c r="AR61" s="152">
        <f t="shared" si="48"/>
        <v>13464440</v>
      </c>
      <c r="AS61" s="149"/>
      <c r="AT61" s="149">
        <f t="shared" si="5"/>
        <v>3550</v>
      </c>
      <c r="AU61" s="152">
        <f t="shared" si="71"/>
        <v>0</v>
      </c>
      <c r="AV61" s="149">
        <f t="shared" si="7"/>
        <v>0</v>
      </c>
      <c r="AW61" s="152">
        <f t="shared" si="73"/>
        <v>0</v>
      </c>
      <c r="AX61" s="151">
        <f t="shared" si="9"/>
        <v>0</v>
      </c>
      <c r="AY61" s="152">
        <f t="shared" si="74"/>
        <v>0</v>
      </c>
      <c r="AZ61" s="153"/>
      <c r="BA61" s="153"/>
      <c r="BB61" s="153"/>
      <c r="BC61" s="154">
        <f t="shared" si="11"/>
        <v>0</v>
      </c>
      <c r="BD61" s="155">
        <f t="shared" si="68"/>
        <v>0</v>
      </c>
      <c r="BE61" s="156"/>
      <c r="BF61" s="157"/>
      <c r="BG61" s="157"/>
      <c r="BH61" s="156"/>
      <c r="BI61" s="158">
        <f t="shared" si="14"/>
        <v>0</v>
      </c>
      <c r="BJ61" s="156"/>
      <c r="BK61" s="158">
        <f t="shared" si="15"/>
        <v>0</v>
      </c>
      <c r="BL61" s="156"/>
      <c r="BM61" s="159">
        <f t="shared" si="16"/>
        <v>0</v>
      </c>
      <c r="BN61" s="157"/>
      <c r="BO61" s="159">
        <f t="shared" si="17"/>
        <v>0</v>
      </c>
      <c r="BP61" s="160"/>
      <c r="BQ61" s="156"/>
      <c r="BR61" s="158">
        <f t="shared" si="18"/>
        <v>0</v>
      </c>
      <c r="BS61" s="156"/>
      <c r="BT61" s="159">
        <f t="shared" si="19"/>
        <v>0</v>
      </c>
      <c r="BU61" s="472">
        <f t="shared" si="108"/>
        <v>3986.0267714862425</v>
      </c>
      <c r="BV61" s="161">
        <f t="shared" si="49"/>
        <v>15118202.338893021</v>
      </c>
      <c r="BW61" s="157"/>
      <c r="BX61" s="472">
        <f t="shared" si="109"/>
        <v>3525.9192499734413</v>
      </c>
      <c r="BY61" s="161">
        <f t="shared" si="50"/>
        <v>13373106.531299269</v>
      </c>
      <c r="BZ61" s="157">
        <f t="shared" si="21"/>
        <v>0</v>
      </c>
      <c r="CA61" s="161">
        <f t="shared" si="75"/>
        <v>0</v>
      </c>
      <c r="CB61" s="156">
        <f t="shared" si="23"/>
        <v>0</v>
      </c>
      <c r="CC61" s="161">
        <f t="shared" si="94"/>
        <v>0</v>
      </c>
      <c r="CD61" s="162">
        <f t="shared" si="62"/>
        <v>3792.8</v>
      </c>
      <c r="CE61" s="163">
        <v>4.5</v>
      </c>
      <c r="CF61" s="164">
        <v>12.46</v>
      </c>
      <c r="CG61" s="165">
        <f t="shared" si="51"/>
        <v>16.3993</v>
      </c>
      <c r="CH61" s="166">
        <f t="shared" si="107"/>
        <v>62199.265040000006</v>
      </c>
      <c r="CI61" s="167">
        <v>48.76</v>
      </c>
      <c r="CJ61" s="166">
        <f t="shared" si="110"/>
        <v>184936.92800000001</v>
      </c>
      <c r="CK61" s="168">
        <v>5.87</v>
      </c>
      <c r="CL61" s="166">
        <f t="shared" si="26"/>
        <v>22263.736000000001</v>
      </c>
      <c r="CM61" s="167">
        <v>19.940000000000001</v>
      </c>
      <c r="CN61" s="166">
        <f t="shared" si="27"/>
        <v>75628.432000000015</v>
      </c>
      <c r="CO61" s="169">
        <f t="shared" si="28"/>
        <v>3112.319199999999</v>
      </c>
      <c r="CP61" s="166">
        <f t="shared" si="29"/>
        <v>11804404.261759996</v>
      </c>
      <c r="CQ61" s="167">
        <v>3970</v>
      </c>
      <c r="CR61" s="166">
        <f t="shared" si="111"/>
        <v>15057416</v>
      </c>
      <c r="CS61" s="170">
        <f t="shared" si="30"/>
        <v>48.956842664400298</v>
      </c>
      <c r="CT61" s="166">
        <f t="shared" si="31"/>
        <v>185683.51285753745</v>
      </c>
      <c r="CU61" s="168">
        <v>5.49</v>
      </c>
      <c r="CV61" s="166">
        <f t="shared" si="77"/>
        <v>20822.472000000002</v>
      </c>
      <c r="CW61" s="170">
        <f t="shared" si="78"/>
        <v>20.020497184744503</v>
      </c>
      <c r="CX61" s="166">
        <f t="shared" si="79"/>
        <v>75933.741722298961</v>
      </c>
      <c r="CY61" s="171">
        <f t="shared" si="80"/>
        <v>3986.0267714862425</v>
      </c>
      <c r="CZ61" s="166">
        <f t="shared" si="81"/>
        <v>15118202.338893021</v>
      </c>
      <c r="DA61" s="170" t="str">
        <f t="shared" si="83"/>
        <v>G12</v>
      </c>
      <c r="DB61" s="171">
        <f t="shared" si="38"/>
        <v>3525.9192499734413</v>
      </c>
      <c r="DC61" s="166">
        <f t="shared" si="69"/>
        <v>13373106.531299269</v>
      </c>
      <c r="DD61" s="170">
        <f t="shared" si="54"/>
        <v>43.305748772973544</v>
      </c>
      <c r="DE61" s="221">
        <f t="shared" si="55"/>
        <v>164250.04394613407</v>
      </c>
      <c r="DF61" s="222">
        <f t="shared" si="56"/>
        <v>10.9093</v>
      </c>
      <c r="DG61" s="221">
        <f t="shared" si="57"/>
        <v>41376.793040000004</v>
      </c>
      <c r="DH61" s="172">
        <f t="shared" si="40"/>
        <v>1</v>
      </c>
      <c r="DI61" s="173">
        <f t="shared" si="95"/>
        <v>0</v>
      </c>
      <c r="DJ61" s="174" t="e">
        <f t="shared" si="96"/>
        <v>#VALUE!</v>
      </c>
      <c r="DK61" s="175">
        <f t="shared" si="97"/>
        <v>-436.02677148624252</v>
      </c>
      <c r="DL61" s="176" t="e">
        <f t="shared" si="98"/>
        <v>#VALUE!</v>
      </c>
      <c r="DM61" s="175" t="e">
        <f t="shared" si="99"/>
        <v>#VALUE!</v>
      </c>
      <c r="DN61" s="177"/>
      <c r="DO61" s="178">
        <f t="shared" si="46"/>
        <v>0</v>
      </c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80"/>
      <c r="EC61" s="181">
        <f t="shared" si="47"/>
        <v>0</v>
      </c>
      <c r="EE61" s="181"/>
    </row>
    <row r="62" spans="1:138" s="223" customFormat="1" ht="30.6" customHeight="1">
      <c r="A62" s="74">
        <v>93</v>
      </c>
      <c r="B62" s="74">
        <v>141</v>
      </c>
      <c r="C62" s="138">
        <v>45836</v>
      </c>
      <c r="D62" s="139">
        <v>151000188</v>
      </c>
      <c r="E62" s="138" t="s">
        <v>255</v>
      </c>
      <c r="F62" s="138"/>
      <c r="G62" s="138"/>
      <c r="H62" s="140">
        <v>4027.55</v>
      </c>
      <c r="I62" s="141">
        <v>4027.55</v>
      </c>
      <c r="J62" s="142"/>
      <c r="K62" s="568"/>
      <c r="L62" s="337">
        <v>59</v>
      </c>
      <c r="M62" s="144"/>
      <c r="N62" s="144">
        <v>4027.55</v>
      </c>
      <c r="O62" s="522" t="s">
        <v>180</v>
      </c>
      <c r="P62" s="145" t="s">
        <v>70</v>
      </c>
      <c r="Q62" s="146" t="s">
        <v>64</v>
      </c>
      <c r="R62" s="145"/>
      <c r="S62" s="145" t="s">
        <v>181</v>
      </c>
      <c r="T62" s="145"/>
      <c r="U62" s="147" t="s">
        <v>188</v>
      </c>
      <c r="V62" s="147" t="s">
        <v>189</v>
      </c>
      <c r="W62" s="147">
        <v>4450</v>
      </c>
      <c r="X62" s="519">
        <v>4178</v>
      </c>
      <c r="Y62" s="148">
        <v>4178</v>
      </c>
      <c r="Z62" s="150"/>
      <c r="AA62" s="149"/>
      <c r="AB62" s="150"/>
      <c r="AC62" s="151"/>
      <c r="AD62" s="151"/>
      <c r="AE62" s="152">
        <f t="shared" si="0"/>
        <v>0</v>
      </c>
      <c r="AF62" s="151"/>
      <c r="AG62" s="152">
        <f t="shared" si="102"/>
        <v>0</v>
      </c>
      <c r="AH62" s="151"/>
      <c r="AI62" s="152">
        <f t="shared" si="103"/>
        <v>0</v>
      </c>
      <c r="AJ62" s="149"/>
      <c r="AK62" s="152">
        <f t="shared" si="104"/>
        <v>0</v>
      </c>
      <c r="AL62" s="149"/>
      <c r="AM62" s="151"/>
      <c r="AN62" s="152">
        <f t="shared" si="3"/>
        <v>0</v>
      </c>
      <c r="AO62" s="151"/>
      <c r="AP62" s="152">
        <f t="shared" si="4"/>
        <v>0</v>
      </c>
      <c r="AQ62" s="174">
        <f t="shared" si="106"/>
        <v>4450</v>
      </c>
      <c r="AR62" s="152">
        <f t="shared" si="48"/>
        <v>17922597.5</v>
      </c>
      <c r="AS62" s="149"/>
      <c r="AT62" s="149">
        <f t="shared" si="5"/>
        <v>4450</v>
      </c>
      <c r="AU62" s="152">
        <f t="shared" si="71"/>
        <v>0</v>
      </c>
      <c r="AV62" s="149">
        <f t="shared" si="7"/>
        <v>0</v>
      </c>
      <c r="AW62" s="152">
        <f t="shared" si="73"/>
        <v>0</v>
      </c>
      <c r="AX62" s="151">
        <f t="shared" si="9"/>
        <v>0</v>
      </c>
      <c r="AY62" s="152">
        <f t="shared" si="74"/>
        <v>0</v>
      </c>
      <c r="AZ62" s="153"/>
      <c r="BA62" s="153"/>
      <c r="BB62" s="153"/>
      <c r="BC62" s="154">
        <f t="shared" si="11"/>
        <v>0</v>
      </c>
      <c r="BD62" s="155">
        <f t="shared" si="68"/>
        <v>0</v>
      </c>
      <c r="BE62" s="156"/>
      <c r="BF62" s="157"/>
      <c r="BG62" s="157"/>
      <c r="BH62" s="156"/>
      <c r="BI62" s="158">
        <f t="shared" si="14"/>
        <v>0</v>
      </c>
      <c r="BJ62" s="156"/>
      <c r="BK62" s="158">
        <f t="shared" si="15"/>
        <v>0</v>
      </c>
      <c r="BL62" s="156"/>
      <c r="BM62" s="159">
        <f t="shared" si="16"/>
        <v>0</v>
      </c>
      <c r="BN62" s="157"/>
      <c r="BO62" s="159">
        <f t="shared" si="17"/>
        <v>0</v>
      </c>
      <c r="BP62" s="160"/>
      <c r="BQ62" s="156"/>
      <c r="BR62" s="158">
        <f t="shared" si="18"/>
        <v>0</v>
      </c>
      <c r="BS62" s="156"/>
      <c r="BT62" s="159">
        <f t="shared" si="19"/>
        <v>0</v>
      </c>
      <c r="BU62" s="472">
        <f t="shared" si="108"/>
        <v>4285.5638622722963</v>
      </c>
      <c r="BV62" s="161">
        <f t="shared" si="49"/>
        <v>17260322.733494788</v>
      </c>
      <c r="BW62" s="157"/>
      <c r="BX62" s="472">
        <f t="shared" si="109"/>
        <v>3584.9701674212911</v>
      </c>
      <c r="BY62" s="161">
        <f t="shared" si="50"/>
        <v>14438646.597797621</v>
      </c>
      <c r="BZ62" s="157">
        <f t="shared" si="21"/>
        <v>0</v>
      </c>
      <c r="CA62" s="161">
        <f t="shared" si="75"/>
        <v>0</v>
      </c>
      <c r="CB62" s="156">
        <f t="shared" si="23"/>
        <v>0</v>
      </c>
      <c r="CC62" s="161">
        <f t="shared" si="94"/>
        <v>0</v>
      </c>
      <c r="CD62" s="162">
        <f t="shared" si="62"/>
        <v>4027.55</v>
      </c>
      <c r="CE62" s="163">
        <v>4.8</v>
      </c>
      <c r="CF62" s="164">
        <v>12.13</v>
      </c>
      <c r="CG62" s="165">
        <f t="shared" si="51"/>
        <v>16.347760000000001</v>
      </c>
      <c r="CH62" s="166">
        <f t="shared" si="107"/>
        <v>65841.420788000003</v>
      </c>
      <c r="CI62" s="174">
        <v>40.83</v>
      </c>
      <c r="CJ62" s="166">
        <f t="shared" si="110"/>
        <v>164444.8665</v>
      </c>
      <c r="CK62" s="168">
        <v>5.03</v>
      </c>
      <c r="CL62" s="166">
        <f t="shared" si="26"/>
        <v>20258.576500000003</v>
      </c>
      <c r="CM62" s="167">
        <v>27.88</v>
      </c>
      <c r="CN62" s="166">
        <f t="shared" si="27"/>
        <v>112288.094</v>
      </c>
      <c r="CO62" s="169">
        <f t="shared" si="28"/>
        <v>3980.8818999999994</v>
      </c>
      <c r="CP62" s="166">
        <f t="shared" si="29"/>
        <v>16033200.896344999</v>
      </c>
      <c r="CQ62" s="167">
        <v>4070</v>
      </c>
      <c r="CR62" s="166">
        <f t="shared" si="111"/>
        <v>16392128.5</v>
      </c>
      <c r="CS62" s="170">
        <f t="shared" si="30"/>
        <v>42.992523954933134</v>
      </c>
      <c r="CT62" s="166">
        <f t="shared" si="31"/>
        <v>173154.53985469096</v>
      </c>
      <c r="CU62" s="168"/>
      <c r="CV62" s="166">
        <f t="shared" si="77"/>
        <v>0</v>
      </c>
      <c r="CW62" s="170">
        <f t="shared" si="78"/>
        <v>29.356638938612193</v>
      </c>
      <c r="CX62" s="166">
        <f t="shared" si="79"/>
        <v>118235.33115720755</v>
      </c>
      <c r="CY62" s="171">
        <f t="shared" si="80"/>
        <v>4285.5638622722963</v>
      </c>
      <c r="CZ62" s="166">
        <f t="shared" si="81"/>
        <v>17260322.733494788</v>
      </c>
      <c r="DA62" s="170" t="str">
        <f t="shared" si="83"/>
        <v>G11</v>
      </c>
      <c r="DB62" s="171">
        <f t="shared" si="38"/>
        <v>3584.9701674212911</v>
      </c>
      <c r="DC62" s="166">
        <f t="shared" si="69"/>
        <v>14438646.597797621</v>
      </c>
      <c r="DD62" s="170">
        <f t="shared" si="54"/>
        <v>35.964209320838158</v>
      </c>
      <c r="DE62" s="221">
        <f t="shared" si="55"/>
        <v>144847.65125014173</v>
      </c>
      <c r="DF62" s="222">
        <f t="shared" si="56"/>
        <v>16.347760000000001</v>
      </c>
      <c r="DG62" s="221">
        <f t="shared" si="57"/>
        <v>65841.420788000003</v>
      </c>
      <c r="DH62" s="172"/>
      <c r="DI62" s="173"/>
      <c r="DJ62" s="174"/>
      <c r="DK62" s="175"/>
      <c r="DL62" s="176"/>
      <c r="DM62" s="175"/>
      <c r="DN62" s="177"/>
      <c r="DO62" s="178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80"/>
      <c r="EC62" s="181">
        <f t="shared" si="47"/>
        <v>0</v>
      </c>
      <c r="ED62" s="182"/>
      <c r="EE62" s="181"/>
      <c r="EF62" s="182"/>
      <c r="EG62" s="182"/>
      <c r="EH62" s="619" t="e">
        <f>#REF!</f>
        <v>#REF!</v>
      </c>
    </row>
    <row r="63" spans="1:138" s="182" customFormat="1" ht="30">
      <c r="A63" s="74">
        <v>4</v>
      </c>
      <c r="B63" s="74">
        <v>24</v>
      </c>
      <c r="C63" s="138">
        <v>45814</v>
      </c>
      <c r="D63" s="139">
        <v>162001308</v>
      </c>
      <c r="E63" s="138">
        <v>45783</v>
      </c>
      <c r="F63" s="138"/>
      <c r="G63" s="138"/>
      <c r="H63" s="140">
        <v>3790.7</v>
      </c>
      <c r="I63" s="141">
        <v>3790.7</v>
      </c>
      <c r="J63" s="142"/>
      <c r="K63" s="143"/>
      <c r="L63" s="522">
        <v>56</v>
      </c>
      <c r="M63" s="522"/>
      <c r="N63" s="140">
        <v>3790.7</v>
      </c>
      <c r="O63" s="522" t="s">
        <v>197</v>
      </c>
      <c r="P63" s="145" t="s">
        <v>200</v>
      </c>
      <c r="Q63" s="146" t="s">
        <v>65</v>
      </c>
      <c r="R63" s="145"/>
      <c r="S63" s="145" t="s">
        <v>181</v>
      </c>
      <c r="T63" s="145"/>
      <c r="U63" s="572" t="s">
        <v>198</v>
      </c>
      <c r="V63" s="147" t="s">
        <v>199</v>
      </c>
      <c r="W63" s="147">
        <v>3250</v>
      </c>
      <c r="X63" s="542">
        <v>3911.98</v>
      </c>
      <c r="Y63" s="148"/>
      <c r="Z63" s="150"/>
      <c r="AA63" s="149"/>
      <c r="AB63" s="150"/>
      <c r="AC63" s="151"/>
      <c r="AD63" s="151"/>
      <c r="AE63" s="152">
        <f t="shared" ref="AE63" si="112">AD63*$AC63</f>
        <v>0</v>
      </c>
      <c r="AF63" s="151"/>
      <c r="AG63" s="152">
        <f t="shared" ref="AG63" si="113">AF63*$AC63</f>
        <v>0</v>
      </c>
      <c r="AH63" s="151"/>
      <c r="AI63" s="152">
        <f t="shared" ref="AI63" si="114">AH63*$AC63</f>
        <v>0</v>
      </c>
      <c r="AJ63" s="149"/>
      <c r="AK63" s="152">
        <f t="shared" ref="AK63" si="115">AJ63*$AC63</f>
        <v>0</v>
      </c>
      <c r="AL63" s="149"/>
      <c r="AM63" s="151"/>
      <c r="AN63" s="152">
        <f t="shared" ref="AN63" si="116">AM63*$AC63</f>
        <v>0</v>
      </c>
      <c r="AO63" s="151"/>
      <c r="AP63" s="152">
        <f t="shared" ref="AP63" si="117">AO63*$AC63</f>
        <v>0</v>
      </c>
      <c r="AQ63" s="174">
        <f t="shared" ref="AQ63:AQ67" si="118">W63</f>
        <v>3250</v>
      </c>
      <c r="AR63" s="152">
        <f t="shared" ref="AR63:AR67" si="119">AQ63*$I63</f>
        <v>12319775</v>
      </c>
      <c r="AS63" s="149"/>
      <c r="AT63" s="149">
        <f t="shared" ref="AT63" si="120">ROUND(((100-AD63)/(100-AM63)*AQ63),0)</f>
        <v>3250</v>
      </c>
      <c r="AU63" s="152">
        <f t="shared" ref="AU63" si="121">AT63*$AC63</f>
        <v>0</v>
      </c>
      <c r="AV63" s="149">
        <f t="shared" ref="AV63:AV64" si="122">ROUND(((100-AD63)/(100-AM63)*AO63),2)</f>
        <v>0</v>
      </c>
      <c r="AW63" s="152">
        <f t="shared" ref="AW63" si="123">AV63*$AC63</f>
        <v>0</v>
      </c>
      <c r="AX63" s="151">
        <f t="shared" ref="AX63" si="124">$AD63-$AM63</f>
        <v>0</v>
      </c>
      <c r="AY63" s="152">
        <f t="shared" ref="AY63" si="125">AX63*$AC63</f>
        <v>0</v>
      </c>
      <c r="AZ63" s="153">
        <v>3.6</v>
      </c>
      <c r="BA63" s="153">
        <v>8.39</v>
      </c>
      <c r="BB63" s="153"/>
      <c r="BC63" s="154">
        <f t="shared" ref="BC63" si="126">AZ63+BA63*(1-(AZ63/100))+BB63*(1-(AZ63+BA63)/100)</f>
        <v>11.68796</v>
      </c>
      <c r="BD63" s="155">
        <f t="shared" ref="BD63:BD67" si="127">BC63*$CD63</f>
        <v>44305.549972000001</v>
      </c>
      <c r="BE63" s="156">
        <f t="shared" ref="BE63:BE66" si="128">CD63</f>
        <v>3790.7</v>
      </c>
      <c r="BF63" s="157">
        <v>503</v>
      </c>
      <c r="BG63" s="157" t="s">
        <v>244</v>
      </c>
      <c r="BH63" s="156">
        <v>11.69</v>
      </c>
      <c r="BI63" s="158">
        <f t="shared" ref="BI63" si="129">BH63*$BE63</f>
        <v>44313.282999999996</v>
      </c>
      <c r="BJ63" s="156">
        <v>7.27</v>
      </c>
      <c r="BK63" s="158">
        <f t="shared" ref="BK63" si="130">BJ63*$BE63</f>
        <v>27558.388999999996</v>
      </c>
      <c r="BL63" s="156">
        <v>37.67</v>
      </c>
      <c r="BM63" s="159">
        <f t="shared" ref="BM63" si="131">BL63*$BE63</f>
        <v>142795.66899999999</v>
      </c>
      <c r="BN63" s="157">
        <v>3724</v>
      </c>
      <c r="BO63" s="159">
        <f t="shared" ref="BO63" si="132">BN63*$BE63</f>
        <v>14116566.799999999</v>
      </c>
      <c r="BP63" s="160"/>
      <c r="BQ63" s="156">
        <v>6.9</v>
      </c>
      <c r="BR63" s="158">
        <f t="shared" ref="BR63" si="133">BQ63*$BE63</f>
        <v>26155.83</v>
      </c>
      <c r="BS63" s="156">
        <v>37.82</v>
      </c>
      <c r="BT63" s="159">
        <f t="shared" ref="BT63" si="134">BS63*$BE63</f>
        <v>143364.274</v>
      </c>
      <c r="BU63" s="157">
        <v>3739</v>
      </c>
      <c r="BV63" s="161">
        <f t="shared" ref="BV63:BV67" si="135">BU63*$I63</f>
        <v>14173427.299999999</v>
      </c>
      <c r="BW63" s="157" t="s">
        <v>184</v>
      </c>
      <c r="BX63" s="157">
        <f t="shared" ref="BX63" si="136">ROUND(((100-BH63)/(100-BQ63)*BU63),0)</f>
        <v>3547</v>
      </c>
      <c r="BY63" s="161">
        <f t="shared" ref="BY63:BY67" si="137">BX63*$I63</f>
        <v>13445612.899999999</v>
      </c>
      <c r="BZ63" s="157">
        <f t="shared" ref="BZ63" si="138">ROUND(((100-BH63)/(100-BQ63)*BS63),2)</f>
        <v>35.869999999999997</v>
      </c>
      <c r="CA63" s="161">
        <f t="shared" ref="CA63" si="139">BZ63*$BE63</f>
        <v>135972.40899999999</v>
      </c>
      <c r="CB63" s="156">
        <f t="shared" ref="CB63" si="140">BH63-BQ63</f>
        <v>4.7899999999999991</v>
      </c>
      <c r="CC63" s="161">
        <f t="shared" ref="CC63" si="141">CB63*$BE63</f>
        <v>18157.452999999998</v>
      </c>
      <c r="CD63" s="162">
        <f t="shared" ref="CD63:CD67" si="142">N63</f>
        <v>3790.7</v>
      </c>
      <c r="CE63" s="163">
        <v>5.8</v>
      </c>
      <c r="CF63" s="164">
        <v>6.34</v>
      </c>
      <c r="CG63" s="165">
        <f t="shared" ref="CG63:CG64" si="143">CE63+CF63*(1-CE63/100)</f>
        <v>11.772279999999999</v>
      </c>
      <c r="CH63" s="166">
        <f t="shared" ref="CH63" si="144">CG63*$CD63</f>
        <v>44625.18179599999</v>
      </c>
      <c r="CI63" s="167">
        <v>43.37</v>
      </c>
      <c r="CJ63" s="166">
        <f t="shared" ref="CJ63" si="145">CI63*$CD63</f>
        <v>164402.65899999999</v>
      </c>
      <c r="CK63" s="168">
        <v>2.4500000000000002</v>
      </c>
      <c r="CL63" s="166">
        <f t="shared" ref="CL63" si="146">CK63*$CD63</f>
        <v>9287.2150000000001</v>
      </c>
      <c r="CM63" s="167">
        <v>27.79</v>
      </c>
      <c r="CN63" s="166">
        <f t="shared" ref="CN63" si="147">CM63*$CD63</f>
        <v>105343.55299999999</v>
      </c>
      <c r="CO63" s="169">
        <f t="shared" ref="CO63" si="148">8555.56-(145.56*CK63+94.11*CI63)</f>
        <v>4117.3872999999994</v>
      </c>
      <c r="CP63" s="166">
        <f t="shared" ref="CP63" si="149">CO63*$CD63</f>
        <v>15607780.038109997</v>
      </c>
      <c r="CQ63" s="167">
        <v>3816</v>
      </c>
      <c r="CR63" s="166">
        <f t="shared" ref="CR63" si="150">CQ63*$CD63</f>
        <v>14465311.199999999</v>
      </c>
      <c r="CS63" s="170">
        <f t="shared" ref="CS63" si="151">((100-CU63)/(100-CK63))*CI63</f>
        <v>43.236622245002557</v>
      </c>
      <c r="CT63" s="166">
        <f t="shared" ref="CT63" si="152">CS63*$CD63</f>
        <v>163897.06394413119</v>
      </c>
      <c r="CU63" s="168">
        <v>2.75</v>
      </c>
      <c r="CV63" s="166">
        <f t="shared" ref="CV63" si="153">CU63*$CD63</f>
        <v>10424.424999999999</v>
      </c>
      <c r="CW63" s="170">
        <f t="shared" ref="CW63:CW64" si="154">((100-CU63)/(100-CK63))*CM63</f>
        <v>27.704536135315223</v>
      </c>
      <c r="CX63" s="166">
        <f t="shared" ref="CX63" si="155">CW63*$CD63</f>
        <v>105019.58512813941</v>
      </c>
      <c r="CY63" s="171">
        <f t="shared" ref="CY63:CY64" si="156">((100-CU63)/(100-CK63))*CQ63</f>
        <v>3804.2644797539724</v>
      </c>
      <c r="CZ63" s="166">
        <f t="shared" ref="CZ63" si="157">CY63*$CD63</f>
        <v>14420825.363403382</v>
      </c>
      <c r="DA63" s="170" t="str">
        <f t="shared" si="37"/>
        <v>G12</v>
      </c>
      <c r="DB63" s="171">
        <f t="shared" ref="DB63" si="158">((100-CG63)/(100-CK63))*CQ63</f>
        <v>3451.3273144028708</v>
      </c>
      <c r="DC63" s="166">
        <f t="shared" ref="DC63" si="159">DB63*$CD63</f>
        <v>13082946.450706962</v>
      </c>
      <c r="DD63" s="170">
        <f t="shared" ref="DD63" si="160">((100-CG63)/(100-CK63))*CI63</f>
        <v>39.225384073808307</v>
      </c>
      <c r="DE63" s="221">
        <f t="shared" si="55"/>
        <v>148691.66340858515</v>
      </c>
      <c r="DF63" s="222">
        <f t="shared" ref="DF63" si="161">CG63-CU63</f>
        <v>9.0222799999999985</v>
      </c>
      <c r="DG63" s="221">
        <f t="shared" si="57"/>
        <v>34200.756795999994</v>
      </c>
      <c r="DH63" s="172">
        <f t="shared" ref="DH63:DH67" si="162">MID(U63,2,LEN(U63))-MID(DA63,2,LEN(DA63))</f>
        <v>2</v>
      </c>
      <c r="DI63" s="173">
        <f>$CY63-$BU63</f>
        <v>65.26447975397241</v>
      </c>
      <c r="DJ63" s="174">
        <f t="shared" ref="DJ63:DJ64" si="163">MID(U63,2,LEN(U63))-MID(BW63,2,LEN(BW63))</f>
        <v>2</v>
      </c>
      <c r="DK63" s="175">
        <f t="shared" ref="DK63:DK64" si="164">$AQ63-$BU63</f>
        <v>-489</v>
      </c>
      <c r="DL63" s="176">
        <f t="shared" ref="DL63:DL64" si="165">MID(U63,2,LEN(U63))-MID(BW63,2,LEN(BW63))</f>
        <v>2</v>
      </c>
      <c r="DM63" s="175" t="e">
        <f t="shared" ref="DM63" si="166">MID(U63,2,LEN(U63))-MID(AS63,2,LEN(AS63))</f>
        <v>#VALUE!</v>
      </c>
      <c r="DN63" s="177"/>
      <c r="DO63" s="178">
        <f t="shared" ref="DO63:DO81" si="167">BX63-DB63</f>
        <v>95.672685597129203</v>
      </c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80"/>
      <c r="EC63" s="181">
        <f t="shared" si="47"/>
        <v>-65.26447975397241</v>
      </c>
      <c r="EE63" s="181"/>
    </row>
    <row r="64" spans="1:138" s="182" customFormat="1" ht="30">
      <c r="A64" s="74">
        <v>5</v>
      </c>
      <c r="B64" s="74">
        <v>50</v>
      </c>
      <c r="C64" s="138">
        <v>45819</v>
      </c>
      <c r="D64" s="139">
        <v>162001315</v>
      </c>
      <c r="E64" s="138">
        <v>45818</v>
      </c>
      <c r="F64" s="138"/>
      <c r="G64" s="138"/>
      <c r="H64" s="140">
        <v>3633.9</v>
      </c>
      <c r="I64" s="141">
        <v>3633.9</v>
      </c>
      <c r="J64" s="142"/>
      <c r="K64" s="568"/>
      <c r="L64" s="337">
        <v>59</v>
      </c>
      <c r="M64" s="571"/>
      <c r="N64" s="144">
        <v>3633.9</v>
      </c>
      <c r="O64" s="522" t="s">
        <v>197</v>
      </c>
      <c r="P64" s="145" t="s">
        <v>273</v>
      </c>
      <c r="Q64" s="146" t="s">
        <v>278</v>
      </c>
      <c r="R64" s="145"/>
      <c r="S64" s="145" t="s">
        <v>181</v>
      </c>
      <c r="T64" s="145"/>
      <c r="U64" s="147" t="s">
        <v>198</v>
      </c>
      <c r="V64" s="147" t="s">
        <v>199</v>
      </c>
      <c r="W64" s="147">
        <v>3250</v>
      </c>
      <c r="X64" s="519">
        <v>3805.17</v>
      </c>
      <c r="Y64" s="148"/>
      <c r="Z64" s="150"/>
      <c r="AA64" s="149"/>
      <c r="AB64" s="150"/>
      <c r="AC64" s="151"/>
      <c r="AD64" s="151"/>
      <c r="AE64" s="152">
        <f>AD64*$AC64</f>
        <v>0</v>
      </c>
      <c r="AF64" s="151"/>
      <c r="AG64" s="152">
        <f>AF64*$AC64</f>
        <v>0</v>
      </c>
      <c r="AH64" s="151"/>
      <c r="AI64" s="152">
        <f>AH64*$AC64</f>
        <v>0</v>
      </c>
      <c r="AJ64" s="149"/>
      <c r="AK64" s="152">
        <f>AJ64*$AC64</f>
        <v>0</v>
      </c>
      <c r="AL64" s="149"/>
      <c r="AM64" s="151"/>
      <c r="AN64" s="152">
        <f>AM64*$AC64</f>
        <v>0</v>
      </c>
      <c r="AO64" s="151"/>
      <c r="AP64" s="152">
        <f>AO64*$AC64</f>
        <v>0</v>
      </c>
      <c r="AQ64" s="174">
        <f t="shared" si="118"/>
        <v>3250</v>
      </c>
      <c r="AR64" s="152">
        <f t="shared" si="119"/>
        <v>11810175</v>
      </c>
      <c r="AS64" s="149"/>
      <c r="AT64" s="149">
        <f>ROUND(((100-AD64)/(100-AM64)*AQ64),0)</f>
        <v>3250</v>
      </c>
      <c r="AU64" s="152">
        <f>AT64*$AC64</f>
        <v>0</v>
      </c>
      <c r="AV64" s="149">
        <f t="shared" si="122"/>
        <v>0</v>
      </c>
      <c r="AW64" s="152">
        <f>AV64*$AC64</f>
        <v>0</v>
      </c>
      <c r="AX64" s="151">
        <f>$AD64-$AM64</f>
        <v>0</v>
      </c>
      <c r="AY64" s="152">
        <f>AX64*$AC64</f>
        <v>0</v>
      </c>
      <c r="AZ64" s="153">
        <v>4.8</v>
      </c>
      <c r="BA64" s="153">
        <v>6.4359999999999999</v>
      </c>
      <c r="BB64" s="153"/>
      <c r="BC64" s="154">
        <f>AZ64+BA64*(1-(AZ64/100))+BB64*(1-(AZ64+BA64)/100)</f>
        <v>10.927071999999999</v>
      </c>
      <c r="BD64" s="155">
        <f t="shared" si="127"/>
        <v>39707.886940799996</v>
      </c>
      <c r="BE64" s="156">
        <f t="shared" si="128"/>
        <v>3633.9</v>
      </c>
      <c r="BF64" s="157">
        <v>508</v>
      </c>
      <c r="BG64" s="157" t="s">
        <v>243</v>
      </c>
      <c r="BH64" s="156">
        <v>10.93</v>
      </c>
      <c r="BI64" s="158">
        <f>BH64*$BE64</f>
        <v>39718.527000000002</v>
      </c>
      <c r="BJ64" s="156">
        <v>8.1</v>
      </c>
      <c r="BK64" s="158">
        <f>BJ64*$BE64</f>
        <v>29434.59</v>
      </c>
      <c r="BL64" s="156">
        <v>47.8</v>
      </c>
      <c r="BM64" s="159">
        <f>BL64*$BE64</f>
        <v>173700.41999999998</v>
      </c>
      <c r="BN64" s="157">
        <v>2875</v>
      </c>
      <c r="BO64" s="159">
        <f>BN64*$BE64</f>
        <v>10447462.5</v>
      </c>
      <c r="BP64" s="160"/>
      <c r="BQ64" s="156">
        <v>7.68</v>
      </c>
      <c r="BR64" s="158">
        <f>BQ64*$BE64</f>
        <v>27908.351999999999</v>
      </c>
      <c r="BS64" s="156">
        <v>48.02</v>
      </c>
      <c r="BT64" s="159">
        <f>BS64*$BE64</f>
        <v>174499.87800000003</v>
      </c>
      <c r="BU64" s="157">
        <v>2888</v>
      </c>
      <c r="BV64" s="161">
        <f t="shared" si="135"/>
        <v>10494703.200000001</v>
      </c>
      <c r="BW64" s="157" t="s">
        <v>187</v>
      </c>
      <c r="BX64" s="157">
        <f>ROUND(((100-BH64)/(100-BQ64)*BU64),0)</f>
        <v>2786</v>
      </c>
      <c r="BY64" s="161">
        <f t="shared" si="137"/>
        <v>10124045.4</v>
      </c>
      <c r="BZ64" s="157">
        <f>ROUND(((100-BH64)/(100-BQ64)*BS64),2)</f>
        <v>46.33</v>
      </c>
      <c r="CA64" s="161">
        <f>BZ64*$BE64</f>
        <v>168358.587</v>
      </c>
      <c r="CB64" s="156">
        <f>BH64-BQ64</f>
        <v>3.25</v>
      </c>
      <c r="CC64" s="161">
        <f>CB64*$BE64</f>
        <v>11810.175000000001</v>
      </c>
      <c r="CD64" s="162">
        <f t="shared" si="142"/>
        <v>3633.9</v>
      </c>
      <c r="CE64" s="163">
        <v>4.8</v>
      </c>
      <c r="CF64" s="164">
        <v>6.44</v>
      </c>
      <c r="CG64" s="165">
        <f t="shared" si="143"/>
        <v>10.93088</v>
      </c>
      <c r="CH64" s="166">
        <f>CG64*$CD64</f>
        <v>39721.724832</v>
      </c>
      <c r="CI64" s="167">
        <v>47.74</v>
      </c>
      <c r="CJ64" s="166">
        <f>CI64*$CD64</f>
        <v>173482.386</v>
      </c>
      <c r="CK64" s="168">
        <v>5.56</v>
      </c>
      <c r="CL64" s="166">
        <f>CK64*$CD64</f>
        <v>20204.484</v>
      </c>
      <c r="CM64" s="167">
        <v>23.83</v>
      </c>
      <c r="CN64" s="166">
        <f>CM64*$CD64</f>
        <v>86595.837</v>
      </c>
      <c r="CO64" s="169">
        <f>8555.56-(145.56*CK64+94.11*CI64)</f>
        <v>3253.4349999999995</v>
      </c>
      <c r="CP64" s="166">
        <f>CO64*$CD64</f>
        <v>11822657.446499998</v>
      </c>
      <c r="CQ64" s="167">
        <v>2959</v>
      </c>
      <c r="CR64" s="166">
        <f>CQ64*$CD64</f>
        <v>10752710.1</v>
      </c>
      <c r="CS64" s="170">
        <f>((100-CU64)/(100-CK64))*CI64</f>
        <v>47.022181279119017</v>
      </c>
      <c r="CT64" s="166">
        <f>CS64*$CD64</f>
        <v>170873.90455019061</v>
      </c>
      <c r="CU64" s="168">
        <v>6.98</v>
      </c>
      <c r="CV64" s="166">
        <f>CU64*$CD64</f>
        <v>25364.622000000003</v>
      </c>
      <c r="CW64" s="170">
        <f t="shared" si="154"/>
        <v>23.471692079627275</v>
      </c>
      <c r="CX64" s="166">
        <f>CW64*$CD64</f>
        <v>85293.781848157552</v>
      </c>
      <c r="CY64" s="171">
        <f t="shared" si="156"/>
        <v>2914.5084709868697</v>
      </c>
      <c r="CZ64" s="166">
        <f>CY64*$CD64</f>
        <v>10591032.332719186</v>
      </c>
      <c r="DA64" s="170" t="str">
        <f t="shared" si="37"/>
        <v>G15</v>
      </c>
      <c r="DB64" s="171">
        <f>((100-CG64)/(100-CK64))*CQ64</f>
        <v>2790.7192511647609</v>
      </c>
      <c r="DC64" s="166">
        <f>DB64*$CD64</f>
        <v>10141194.686807625</v>
      </c>
      <c r="DD64" s="170">
        <f>((100-CG64)/(100-CK64))*CI64</f>
        <v>45.024987174925883</v>
      </c>
      <c r="DE64" s="221">
        <f>DD64*$CD64</f>
        <v>163616.30089496318</v>
      </c>
      <c r="DF64" s="222">
        <f>CG64-CU64</f>
        <v>3.9508799999999997</v>
      </c>
      <c r="DG64" s="221">
        <f>DF64*$CD64</f>
        <v>14357.102831999999</v>
      </c>
      <c r="DH64" s="172">
        <f t="shared" si="162"/>
        <v>-1</v>
      </c>
      <c r="DI64" s="173">
        <f>$CY64-$BU64</f>
        <v>26.508470986869725</v>
      </c>
      <c r="DJ64" s="174">
        <f t="shared" si="163"/>
        <v>-1</v>
      </c>
      <c r="DK64" s="175">
        <f t="shared" si="164"/>
        <v>362</v>
      </c>
      <c r="DL64" s="176">
        <f t="shared" si="165"/>
        <v>-1</v>
      </c>
      <c r="DM64" s="175" t="e">
        <f>MID(U64,2,LEN(U64))-MID(AS64,2,LEN(AS64))</f>
        <v>#VALUE!</v>
      </c>
      <c r="DN64" s="177"/>
      <c r="DO64" s="178">
        <f t="shared" si="167"/>
        <v>-4.7192511647608626</v>
      </c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80"/>
      <c r="EC64" s="181">
        <f t="shared" si="47"/>
        <v>-26.508470986869725</v>
      </c>
      <c r="EE64" s="181">
        <f>BX64-DB64</f>
        <v>-4.7192511647608626</v>
      </c>
    </row>
    <row r="65" spans="1:138" s="182" customFormat="1" ht="30">
      <c r="A65" s="74">
        <v>6</v>
      </c>
      <c r="B65" s="74">
        <v>52</v>
      </c>
      <c r="C65" s="138">
        <v>45819</v>
      </c>
      <c r="D65" s="139">
        <v>162001314</v>
      </c>
      <c r="E65" s="138">
        <v>45817</v>
      </c>
      <c r="F65" s="138"/>
      <c r="G65" s="138"/>
      <c r="H65" s="140">
        <v>4101.2</v>
      </c>
      <c r="I65" s="141">
        <v>4101.2</v>
      </c>
      <c r="J65" s="142"/>
      <c r="K65" s="568"/>
      <c r="L65" s="337">
        <v>59</v>
      </c>
      <c r="M65" s="571"/>
      <c r="N65" s="144">
        <v>4101.2</v>
      </c>
      <c r="O65" s="522" t="s">
        <v>197</v>
      </c>
      <c r="P65" s="145" t="s">
        <v>200</v>
      </c>
      <c r="Q65" s="146" t="s">
        <v>65</v>
      </c>
      <c r="R65" s="145"/>
      <c r="S65" s="145" t="s">
        <v>181</v>
      </c>
      <c r="T65" s="145"/>
      <c r="U65" s="572" t="s">
        <v>198</v>
      </c>
      <c r="V65" s="147" t="s">
        <v>199</v>
      </c>
      <c r="W65" s="147">
        <v>3250</v>
      </c>
      <c r="X65" s="519">
        <v>4189.3</v>
      </c>
      <c r="Y65" s="148"/>
      <c r="Z65" s="150"/>
      <c r="AA65" s="149"/>
      <c r="AB65" s="150"/>
      <c r="AC65" s="151"/>
      <c r="AD65" s="151"/>
      <c r="AE65" s="152">
        <f>AD65*$AC65</f>
        <v>0</v>
      </c>
      <c r="AF65" s="151"/>
      <c r="AG65" s="152">
        <f>AF65*$AC65</f>
        <v>0</v>
      </c>
      <c r="AH65" s="151"/>
      <c r="AI65" s="152">
        <f>AH65*$AC65</f>
        <v>0</v>
      </c>
      <c r="AJ65" s="149"/>
      <c r="AK65" s="152">
        <f>AJ65*$AC65</f>
        <v>0</v>
      </c>
      <c r="AL65" s="149"/>
      <c r="AM65" s="151"/>
      <c r="AN65" s="152">
        <f>AM65*$AC65</f>
        <v>0</v>
      </c>
      <c r="AO65" s="151"/>
      <c r="AP65" s="152">
        <f>AO65*$AC65</f>
        <v>0</v>
      </c>
      <c r="AQ65" s="174">
        <f t="shared" si="118"/>
        <v>3250</v>
      </c>
      <c r="AR65" s="152">
        <f t="shared" si="119"/>
        <v>13328900</v>
      </c>
      <c r="AS65" s="149"/>
      <c r="AT65" s="149">
        <f>ROUND(((100-AD65)/(100-AM65)*AQ65),0)</f>
        <v>3250</v>
      </c>
      <c r="AU65" s="152">
        <f>AT65*$AC65</f>
        <v>0</v>
      </c>
      <c r="AV65" s="149">
        <f>ROUND(((100-AD65)/(100-AM65)*AO65),2)</f>
        <v>0</v>
      </c>
      <c r="AW65" s="152">
        <f>AV65*$AC65</f>
        <v>0</v>
      </c>
      <c r="AX65" s="151">
        <f>$AD65-$AM65</f>
        <v>0</v>
      </c>
      <c r="AY65" s="152">
        <f>AX65*$AC65</f>
        <v>0</v>
      </c>
      <c r="AZ65" s="153">
        <v>3.7</v>
      </c>
      <c r="BA65" s="153">
        <v>4.0579999999999998</v>
      </c>
      <c r="BB65" s="153"/>
      <c r="BC65" s="154">
        <f>AZ65+BA65*(1-(AZ65/100))+BB65*(1-(AZ65+BA65)/100)</f>
        <v>7.6078539999999997</v>
      </c>
      <c r="BD65" s="155">
        <f t="shared" si="127"/>
        <v>31201.330824799996</v>
      </c>
      <c r="BE65" s="156">
        <f t="shared" si="128"/>
        <v>4101.2</v>
      </c>
      <c r="BF65" s="157">
        <v>508</v>
      </c>
      <c r="BG65" s="157" t="s">
        <v>243</v>
      </c>
      <c r="BH65" s="156">
        <v>11.46</v>
      </c>
      <c r="BI65" s="158">
        <f>BH65*$BE65</f>
        <v>46999.752</v>
      </c>
      <c r="BJ65" s="156">
        <v>7.18</v>
      </c>
      <c r="BK65" s="158">
        <f>BJ65*$BE65</f>
        <v>29446.615999999998</v>
      </c>
      <c r="BL65" s="156">
        <v>42.73</v>
      </c>
      <c r="BM65" s="159">
        <f>BL65*$BE65</f>
        <v>175244.27599999998</v>
      </c>
      <c r="BN65" s="157">
        <v>3248</v>
      </c>
      <c r="BO65" s="159">
        <f>BN65*$BE65</f>
        <v>13320697.6</v>
      </c>
      <c r="BP65" s="160"/>
      <c r="BQ65" s="156">
        <v>6.67</v>
      </c>
      <c r="BR65" s="158">
        <f>BQ65*$BE65</f>
        <v>27355.003999999997</v>
      </c>
      <c r="BS65" s="156">
        <v>42.96</v>
      </c>
      <c r="BT65" s="159">
        <f>BS65*$BE65</f>
        <v>176187.552</v>
      </c>
      <c r="BU65" s="157">
        <v>3266</v>
      </c>
      <c r="BV65" s="161">
        <f t="shared" si="135"/>
        <v>13394519.199999999</v>
      </c>
      <c r="BW65" s="157" t="s">
        <v>193</v>
      </c>
      <c r="BX65" s="157">
        <f>ROUND(((100-BH65)/(100-BQ65)*BU65),0)</f>
        <v>3098</v>
      </c>
      <c r="BY65" s="161">
        <f t="shared" si="137"/>
        <v>12705517.6</v>
      </c>
      <c r="BZ65" s="157">
        <f>ROUND(((100-BH65)/(100-BQ65)*BS65),2)</f>
        <v>40.76</v>
      </c>
      <c r="CA65" s="161">
        <f>BZ65*$BE65</f>
        <v>167164.91199999998</v>
      </c>
      <c r="CB65" s="156">
        <f>BH65-BQ65</f>
        <v>4.7900000000000009</v>
      </c>
      <c r="CC65" s="161">
        <f>CB65*$BE65</f>
        <v>19644.748000000003</v>
      </c>
      <c r="CD65" s="162">
        <f t="shared" si="142"/>
        <v>4101.2</v>
      </c>
      <c r="CE65" s="163">
        <v>3.7</v>
      </c>
      <c r="CF65" s="164">
        <v>8.06</v>
      </c>
      <c r="CG65" s="165">
        <f>CE65+CF65*(1-CE65/100)</f>
        <v>11.461780000000001</v>
      </c>
      <c r="CH65" s="166">
        <f>CG65*$CD65</f>
        <v>47007.052135999998</v>
      </c>
      <c r="CI65" s="167">
        <v>47.05</v>
      </c>
      <c r="CJ65" s="166">
        <f>CI65*$CD65</f>
        <v>192961.46</v>
      </c>
      <c r="CK65" s="168">
        <v>4.07</v>
      </c>
      <c r="CL65" s="166">
        <f>CK65*$CD65</f>
        <v>16691.884000000002</v>
      </c>
      <c r="CM65" s="167">
        <v>25.45</v>
      </c>
      <c r="CN65" s="166">
        <f>CM65*$CD65</f>
        <v>104375.54</v>
      </c>
      <c r="CO65" s="169">
        <f>8555.56-(145.56*CK65+94.11*CI65)</f>
        <v>3535.2552999999989</v>
      </c>
      <c r="CP65" s="166">
        <f>CO65*$CD65</f>
        <v>14498789.036359996</v>
      </c>
      <c r="CQ65" s="167">
        <v>3329</v>
      </c>
      <c r="CR65" s="166">
        <f>CQ65*$CD65</f>
        <v>13652894.799999999</v>
      </c>
      <c r="CS65" s="170">
        <f>((100-CU65)/(100-CK65))*CI65</f>
        <v>45.534473053268002</v>
      </c>
      <c r="CT65" s="166">
        <f>CS65*$CD65</f>
        <v>186745.98088606272</v>
      </c>
      <c r="CU65" s="168">
        <v>7.16</v>
      </c>
      <c r="CV65" s="166">
        <f>CU65*$CD65</f>
        <v>29364.592000000001</v>
      </c>
      <c r="CW65" s="170">
        <f>((100-CU65)/(100-CK65))*CM65</f>
        <v>24.630230376316064</v>
      </c>
      <c r="CX65" s="166">
        <f>CW65*$CD65</f>
        <v>101013.50081934744</v>
      </c>
      <c r="CY65" s="171">
        <f>((100-CU65)/(100-CK65))*CQ65</f>
        <v>3221.7696236839361</v>
      </c>
      <c r="CZ65" s="166">
        <f>CY65*$CD65</f>
        <v>13213121.580652557</v>
      </c>
      <c r="DA65" s="170" t="str">
        <f>IF(CY65&gt;=7000,"G1",IF(CY65&gt;=6700,"G2",IF(CY65&gt;=6400,"G3",IF(CY65&gt;=6100,"G4",IF(CY65&gt;=5800,"G5",IF(CY65&gt;=5500,"G6",IF(CY65&gt;=5200,"G7",IF(CY65&gt;=4900,"G8",IF(CY65&gt;=4600,"G9",IF(CY65&gt;=4300,"G10",IF(CY65&gt;=4000,"G11",IF(CY65&gt;=3700,"G12",IF(CY65&gt;=3400,"G13",IF(CY65&gt;=3100,"G14",IF(CY65&gt;=2800,"G15",IF(CY65&gt;=2500,"G16",IF(CY65&gt;=2200,"G17")))))))))))))))))</f>
        <v>G14</v>
      </c>
      <c r="DB65" s="171">
        <f>((100-CG65)/(100-CK65))*CQ65</f>
        <v>3072.4875886583964</v>
      </c>
      <c r="DC65" s="166">
        <f>DB65*$CD65</f>
        <v>12600886.098605815</v>
      </c>
      <c r="DD65" s="170">
        <f>((100-CG65)/(100-CK65))*CI65</f>
        <v>43.424614312519537</v>
      </c>
      <c r="DE65" s="221">
        <f>DD65*$CD65</f>
        <v>178093.02821850512</v>
      </c>
      <c r="DF65" s="222">
        <f>CG65-CU65</f>
        <v>4.3017800000000008</v>
      </c>
      <c r="DG65" s="221">
        <f>DF65*$CD65</f>
        <v>17642.460136000002</v>
      </c>
      <c r="DH65" s="172">
        <f t="shared" si="162"/>
        <v>0</v>
      </c>
      <c r="DI65" s="173"/>
      <c r="DJ65" s="174"/>
      <c r="DK65" s="175"/>
      <c r="DL65" s="176"/>
      <c r="DM65" s="175"/>
      <c r="DN65" s="177"/>
      <c r="DO65" s="178">
        <f t="shared" si="167"/>
        <v>25.512411341603638</v>
      </c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80"/>
      <c r="EC65" s="181">
        <f t="shared" si="47"/>
        <v>44.230376316063939</v>
      </c>
      <c r="EE65" s="181">
        <f>BX65-DB65</f>
        <v>25.512411341603638</v>
      </c>
    </row>
    <row r="66" spans="1:138" s="182" customFormat="1" ht="30.75" thickBot="1">
      <c r="A66" s="74">
        <v>7</v>
      </c>
      <c r="B66" s="74">
        <v>79</v>
      </c>
      <c r="C66" s="138">
        <v>45824</v>
      </c>
      <c r="D66" s="139">
        <v>162001319</v>
      </c>
      <c r="E66" s="138">
        <v>45822</v>
      </c>
      <c r="F66" s="138"/>
      <c r="G66" s="138"/>
      <c r="H66" s="140">
        <f>2054.2+1925.25</f>
        <v>3979.45</v>
      </c>
      <c r="I66" s="141">
        <f>2054.2+1925.25</f>
        <v>3979.45</v>
      </c>
      <c r="J66" s="142"/>
      <c r="K66" s="568"/>
      <c r="L66" s="337">
        <v>59</v>
      </c>
      <c r="M66" s="571"/>
      <c r="N66" s="144">
        <f>2054.2+1925.25</f>
        <v>3979.45</v>
      </c>
      <c r="O66" s="522" t="s">
        <v>197</v>
      </c>
      <c r="P66" s="145" t="s">
        <v>200</v>
      </c>
      <c r="Q66" s="146" t="s">
        <v>65</v>
      </c>
      <c r="R66" s="145"/>
      <c r="S66" s="145" t="s">
        <v>181</v>
      </c>
      <c r="T66" s="145"/>
      <c r="U66" s="572" t="s">
        <v>198</v>
      </c>
      <c r="V66" s="147" t="s">
        <v>199</v>
      </c>
      <c r="W66" s="147">
        <v>3250</v>
      </c>
      <c r="X66" s="519">
        <v>4060.25</v>
      </c>
      <c r="Y66" s="148"/>
      <c r="Z66" s="150"/>
      <c r="AA66" s="149"/>
      <c r="AB66" s="150"/>
      <c r="AC66" s="151"/>
      <c r="AD66" s="151"/>
      <c r="AE66" s="152">
        <f>AD66*$AC66</f>
        <v>0</v>
      </c>
      <c r="AF66" s="151"/>
      <c r="AG66" s="152">
        <f>AF66*$AC66</f>
        <v>0</v>
      </c>
      <c r="AH66" s="151"/>
      <c r="AI66" s="152">
        <f>AH66*$AC66</f>
        <v>0</v>
      </c>
      <c r="AJ66" s="149"/>
      <c r="AK66" s="152">
        <f>AJ66*$AC66</f>
        <v>0</v>
      </c>
      <c r="AL66" s="149"/>
      <c r="AM66" s="151"/>
      <c r="AN66" s="152">
        <f>AM66*$AC66</f>
        <v>0</v>
      </c>
      <c r="AO66" s="151"/>
      <c r="AP66" s="152">
        <f>AO66*$AC66</f>
        <v>0</v>
      </c>
      <c r="AQ66" s="174">
        <f t="shared" si="118"/>
        <v>3250</v>
      </c>
      <c r="AR66" s="152">
        <f t="shared" si="119"/>
        <v>12933212.5</v>
      </c>
      <c r="AS66" s="149"/>
      <c r="AT66" s="149">
        <f>ROUND(((100-AD66)/(100-AM66)*AQ66),0)</f>
        <v>3250</v>
      </c>
      <c r="AU66" s="152">
        <f>AT66*$AC66</f>
        <v>0</v>
      </c>
      <c r="AV66" s="149">
        <f t="shared" ref="AV66" si="168">ROUND(((100-AD66)/(100-AM66)*AO66),2)</f>
        <v>0</v>
      </c>
      <c r="AW66" s="152">
        <f>AV66*$AC66</f>
        <v>0</v>
      </c>
      <c r="AX66" s="151">
        <f>$AD66-$AM66</f>
        <v>0</v>
      </c>
      <c r="AY66" s="152">
        <f>AX66*$AC66</f>
        <v>0</v>
      </c>
      <c r="AZ66" s="153">
        <v>4.5</v>
      </c>
      <c r="BA66" s="153">
        <v>9.69</v>
      </c>
      <c r="BB66" s="153"/>
      <c r="BC66" s="154">
        <f>AZ66+BA66*(1-(AZ66/100))+BB66*(1-(AZ66+BA66)/100)</f>
        <v>13.75395</v>
      </c>
      <c r="BD66" s="155">
        <f t="shared" si="127"/>
        <v>54733.156327499993</v>
      </c>
      <c r="BE66" s="156">
        <f t="shared" si="128"/>
        <v>3979.45</v>
      </c>
      <c r="BF66" s="157">
        <v>513</v>
      </c>
      <c r="BG66" s="157" t="s">
        <v>249</v>
      </c>
      <c r="BH66" s="156">
        <v>13.75</v>
      </c>
      <c r="BI66" s="158">
        <f>BH66*$BE66</f>
        <v>54717.4375</v>
      </c>
      <c r="BJ66" s="156">
        <v>7.85</v>
      </c>
      <c r="BK66" s="158">
        <f>BJ66*$BE66</f>
        <v>31238.682499999995</v>
      </c>
      <c r="BL66" s="156">
        <v>42.64</v>
      </c>
      <c r="BM66" s="159">
        <f>BL66*$BE66</f>
        <v>169683.74799999999</v>
      </c>
      <c r="BN66" s="157">
        <v>3205</v>
      </c>
      <c r="BO66" s="159">
        <f>BN66*$BE66</f>
        <v>12754137.25</v>
      </c>
      <c r="BP66" s="160"/>
      <c r="BQ66" s="156">
        <v>6.28</v>
      </c>
      <c r="BR66" s="158">
        <f>BQ66*$BE66</f>
        <v>24990.946</v>
      </c>
      <c r="BS66" s="156">
        <v>43.37</v>
      </c>
      <c r="BT66" s="159">
        <f>BS66*$BE66</f>
        <v>172588.74649999998</v>
      </c>
      <c r="BU66" s="157">
        <v>3260</v>
      </c>
      <c r="BV66" s="161">
        <f t="shared" si="135"/>
        <v>12973007</v>
      </c>
      <c r="BW66" s="157" t="s">
        <v>193</v>
      </c>
      <c r="BX66" s="157">
        <f>ROUND(((100-BH66)/(100-BQ66)*BU66),0)</f>
        <v>3000</v>
      </c>
      <c r="BY66" s="161">
        <f t="shared" si="137"/>
        <v>11938350</v>
      </c>
      <c r="BZ66" s="157">
        <f>ROUND(((100-BH66)/(100-BQ66)*BS66),2)</f>
        <v>39.909999999999997</v>
      </c>
      <c r="CA66" s="161">
        <f>BZ66*$BE66</f>
        <v>158819.84949999998</v>
      </c>
      <c r="CB66" s="156">
        <f>BH66-BQ66</f>
        <v>7.47</v>
      </c>
      <c r="CC66" s="161">
        <f>CB66*$BE66</f>
        <v>29726.491499999996</v>
      </c>
      <c r="CD66" s="162">
        <f t="shared" si="142"/>
        <v>3979.45</v>
      </c>
      <c r="CE66" s="163">
        <v>4.5</v>
      </c>
      <c r="CF66" s="412">
        <v>9.6999999999999993</v>
      </c>
      <c r="CG66" s="165">
        <f t="shared" ref="CG66" si="169">CE66+CF66*(1-CE66/100)</f>
        <v>13.763499999999999</v>
      </c>
      <c r="CH66" s="166">
        <f>CG66*$CD66</f>
        <v>54771.160074999993</v>
      </c>
      <c r="CI66" s="167">
        <v>44.31</v>
      </c>
      <c r="CJ66" s="166">
        <f>CI66*$CD66</f>
        <v>176329.4295</v>
      </c>
      <c r="CK66" s="168">
        <v>6.31</v>
      </c>
      <c r="CL66" s="166">
        <f>CK66*$CD66</f>
        <v>25110.329499999996</v>
      </c>
      <c r="CM66" s="167">
        <v>26.04</v>
      </c>
      <c r="CN66" s="166">
        <f>CM66*$CD66</f>
        <v>103624.878</v>
      </c>
      <c r="CO66" s="169">
        <f>8555.56-(145.56*CK66+94.11*CI66)</f>
        <v>3467.0622999999996</v>
      </c>
      <c r="CP66" s="166">
        <f>CO66*$CD66</f>
        <v>13797001.069734998</v>
      </c>
      <c r="CQ66" s="167">
        <v>3233</v>
      </c>
      <c r="CR66" s="166">
        <f>CQ66*$CD66</f>
        <v>12865561.85</v>
      </c>
      <c r="CS66" s="170">
        <f>((100-CU66)/(100-CK66))*CI66</f>
        <v>43.974210694844707</v>
      </c>
      <c r="CT66" s="166">
        <f>CS66*$CD66</f>
        <v>174993.17274959976</v>
      </c>
      <c r="CU66" s="168">
        <v>7.02</v>
      </c>
      <c r="CV66" s="166">
        <f>CU66*$CD66</f>
        <v>27935.738999999998</v>
      </c>
      <c r="CW66" s="170">
        <f t="shared" ref="CW66" si="170">((100-CU66)/(100-CK66))*CM66</f>
        <v>25.842664105027218</v>
      </c>
      <c r="CX66" s="166">
        <f>CW66*$CD66</f>
        <v>102839.58967275056</v>
      </c>
      <c r="CY66" s="171">
        <f t="shared" ref="CY66" si="171">((100-CU66)/(100-CK66))*CQ66</f>
        <v>3208.4997331625577</v>
      </c>
      <c r="CZ66" s="166">
        <f>CY66*$CD66</f>
        <v>12768064.26313374</v>
      </c>
      <c r="DA66" s="170" t="str">
        <f t="shared" ref="DA66" si="172">IF(CY66&gt;=7000,"G1",IF(CY66&gt;=6700,"G2",IF(CY66&gt;=6400,"G3",IF(CY66&gt;=6100,"G4",IF(CY66&gt;=5800,"G5",IF(CY66&gt;=5500,"G6",IF(CY66&gt;=5200,"G7",IF(CY66&gt;=4900,"G8",IF(CY66&gt;=4600,"G9",IF(CY66&gt;=4300,"G10",IF(CY66&gt;=4000,"G11",IF(CY66&gt;=3700,"G12",IF(CY66&gt;=3400,"G13",IF(CY66&gt;=3100,"G14",IF(CY66&gt;=2800,"G15",IF(CY66&gt;=2500,"G16",IF(CY66&gt;=2200,"G17")))))))))))))))))</f>
        <v>G14</v>
      </c>
      <c r="DB66" s="171">
        <f>((100-CG66)/(100-CK66))*CQ66</f>
        <v>2975.7989593339739</v>
      </c>
      <c r="DC66" s="166">
        <f>DB66*$CD66</f>
        <v>11842043.168721583</v>
      </c>
      <c r="DD66" s="170">
        <f>((100-CG66)/(100-CK66))*CI66</f>
        <v>40.784921709894341</v>
      </c>
      <c r="DE66" s="221">
        <f>DD66*$CD66</f>
        <v>162301.55669843903</v>
      </c>
      <c r="DF66" s="222">
        <f>CG66-CU66</f>
        <v>6.7434999999999992</v>
      </c>
      <c r="DG66" s="221">
        <f>DF66*$CD66</f>
        <v>26835.421074999995</v>
      </c>
      <c r="DH66" s="172">
        <f t="shared" si="162"/>
        <v>0</v>
      </c>
      <c r="DI66" s="173">
        <f>$CY66-$BU66</f>
        <v>-51.500266837442268</v>
      </c>
      <c r="DJ66" s="174">
        <f t="shared" ref="DJ66" si="173">MID(U66,2,LEN(U66))-MID(BW66,2,LEN(BW66))</f>
        <v>0</v>
      </c>
      <c r="DK66" s="175">
        <f t="shared" ref="DK66" si="174">$AQ66-$BU66</f>
        <v>-10</v>
      </c>
      <c r="DL66" s="176">
        <f t="shared" ref="DL66" si="175">MID(U66,2,LEN(U66))-MID(BW66,2,LEN(BW66))</f>
        <v>0</v>
      </c>
      <c r="DM66" s="175" t="e">
        <f>MID(U66,2,LEN(U66))-MID(AS66,2,LEN(AS66))</f>
        <v>#VALUE!</v>
      </c>
      <c r="DN66" s="177"/>
      <c r="DO66" s="178">
        <f t="shared" si="167"/>
        <v>24.201040666026074</v>
      </c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80"/>
      <c r="EC66" s="181">
        <f t="shared" si="47"/>
        <v>51.500266837442268</v>
      </c>
      <c r="EE66" s="181"/>
    </row>
    <row r="67" spans="1:138" s="182" customFormat="1" ht="30">
      <c r="A67" s="74">
        <v>8</v>
      </c>
      <c r="B67" s="74">
        <v>101</v>
      </c>
      <c r="C67" s="138">
        <v>45828</v>
      </c>
      <c r="D67" s="139">
        <v>142000034</v>
      </c>
      <c r="E67" s="138">
        <v>45827</v>
      </c>
      <c r="F67" s="138"/>
      <c r="G67" s="138"/>
      <c r="H67" s="140">
        <v>3450.2</v>
      </c>
      <c r="I67" s="616">
        <v>3300.2</v>
      </c>
      <c r="J67" s="142"/>
      <c r="K67" s="568"/>
      <c r="L67" s="337">
        <v>55</v>
      </c>
      <c r="M67" s="571"/>
      <c r="N67" s="144">
        <v>3450.2</v>
      </c>
      <c r="O67" s="522" t="s">
        <v>197</v>
      </c>
      <c r="P67" s="145" t="s">
        <v>251</v>
      </c>
      <c r="Q67" s="145" t="s">
        <v>252</v>
      </c>
      <c r="R67" s="145"/>
      <c r="S67" s="145" t="s">
        <v>181</v>
      </c>
      <c r="T67" s="145"/>
      <c r="U67" s="147" t="s">
        <v>198</v>
      </c>
      <c r="V67" s="147" t="s">
        <v>199</v>
      </c>
      <c r="W67" s="147">
        <v>3250</v>
      </c>
      <c r="X67" s="519">
        <v>3610.89</v>
      </c>
      <c r="Y67" s="148"/>
      <c r="Z67" s="150"/>
      <c r="AA67" s="149"/>
      <c r="AB67" s="150"/>
      <c r="AC67" s="151"/>
      <c r="AD67" s="151"/>
      <c r="AE67" s="152">
        <f>AD67*$AC67</f>
        <v>0</v>
      </c>
      <c r="AF67" s="151"/>
      <c r="AG67" s="152">
        <f>AF67*$AC67</f>
        <v>0</v>
      </c>
      <c r="AH67" s="151"/>
      <c r="AI67" s="152">
        <f>AH67*$AC67</f>
        <v>0</v>
      </c>
      <c r="AJ67" s="149"/>
      <c r="AK67" s="152">
        <f>AJ67*$AC67</f>
        <v>0</v>
      </c>
      <c r="AL67" s="149"/>
      <c r="AM67" s="151"/>
      <c r="AN67" s="152">
        <f>AM67*$AC67</f>
        <v>0</v>
      </c>
      <c r="AO67" s="151"/>
      <c r="AP67" s="152">
        <f>AO67*$AC67</f>
        <v>0</v>
      </c>
      <c r="AQ67" s="174">
        <f t="shared" si="118"/>
        <v>3250</v>
      </c>
      <c r="AR67" s="152">
        <f t="shared" si="119"/>
        <v>10725650</v>
      </c>
      <c r="AS67" s="149"/>
      <c r="AT67" s="149">
        <f>ROUND(((100-AD67)/(100-AM67)*AQ67),0)</f>
        <v>3250</v>
      </c>
      <c r="AU67" s="152">
        <f>AT67*$AC67</f>
        <v>0</v>
      </c>
      <c r="AV67" s="149">
        <f t="shared" ref="AV67:AV72" si="176">ROUND(((100-AD67)/(100-AM67)*AO67),2)</f>
        <v>0</v>
      </c>
      <c r="AW67" s="152">
        <f>AV67*$AC67</f>
        <v>0</v>
      </c>
      <c r="AX67" s="151">
        <f>$AD67-$AM67</f>
        <v>0</v>
      </c>
      <c r="AY67" s="152">
        <f>AX67*$AC67</f>
        <v>0</v>
      </c>
      <c r="AZ67" s="153">
        <v>4.4000000000000004</v>
      </c>
      <c r="BA67" s="153">
        <v>10.35</v>
      </c>
      <c r="BB67" s="153"/>
      <c r="BC67" s="154">
        <f>AZ67+BA67*(1-(AZ67/100))+BB67*(1-(AZ67+BA67)/100)</f>
        <v>14.294599999999999</v>
      </c>
      <c r="BD67" s="155">
        <f t="shared" si="127"/>
        <v>49319.228919999994</v>
      </c>
      <c r="BE67" s="156"/>
      <c r="BF67" s="157"/>
      <c r="BG67" s="157"/>
      <c r="BH67" s="156"/>
      <c r="BI67" s="158">
        <f>BH67*$BE67</f>
        <v>0</v>
      </c>
      <c r="BJ67" s="156"/>
      <c r="BK67" s="158">
        <f>BJ67*$BE67</f>
        <v>0</v>
      </c>
      <c r="BL67" s="156"/>
      <c r="BM67" s="159">
        <f>BL67*$BE67</f>
        <v>0</v>
      </c>
      <c r="BN67" s="157"/>
      <c r="BO67" s="159">
        <f>BN67*$BE67</f>
        <v>0</v>
      </c>
      <c r="BP67" s="160"/>
      <c r="BQ67" s="156"/>
      <c r="BR67" s="158">
        <f>BQ67*$BE67</f>
        <v>0</v>
      </c>
      <c r="BS67" s="156"/>
      <c r="BT67" s="159">
        <f>BS67*$BE67</f>
        <v>0</v>
      </c>
      <c r="BU67" s="472">
        <f t="shared" ref="BU67" si="177">CY67</f>
        <v>3306.008138787749</v>
      </c>
      <c r="BV67" s="161">
        <f t="shared" si="135"/>
        <v>10910488.059627328</v>
      </c>
      <c r="BW67" s="157"/>
      <c r="BX67" s="472">
        <f t="shared" ref="BX67" si="178">DB67</f>
        <v>3020.0078105590064</v>
      </c>
      <c r="BY67" s="161">
        <f t="shared" si="137"/>
        <v>9966629.776406832</v>
      </c>
      <c r="BZ67" s="157">
        <f>ROUND(((100-BH67)/(100-BQ67)*BS67),2)</f>
        <v>0</v>
      </c>
      <c r="CA67" s="161">
        <f>BZ67*$BE67</f>
        <v>0</v>
      </c>
      <c r="CB67" s="156">
        <f>BH67-BQ67</f>
        <v>0</v>
      </c>
      <c r="CC67" s="161">
        <f>CB67*$BE67</f>
        <v>0</v>
      </c>
      <c r="CD67" s="162">
        <f t="shared" si="142"/>
        <v>3450.2</v>
      </c>
      <c r="CE67" s="163">
        <v>4.3</v>
      </c>
      <c r="CF67" s="164">
        <v>10.35</v>
      </c>
      <c r="CG67" s="165">
        <f>CE67+CF67*(1-CE67/100)</f>
        <v>14.20495</v>
      </c>
      <c r="CH67" s="166">
        <f>CG67*$CD67</f>
        <v>49009.918489999996</v>
      </c>
      <c r="CI67" s="167">
        <v>39.53</v>
      </c>
      <c r="CJ67" s="166">
        <f>CI67*$CD67</f>
        <v>136386.40599999999</v>
      </c>
      <c r="CK67" s="168">
        <v>6.62</v>
      </c>
      <c r="CL67" s="166">
        <f>CK67*$CD67</f>
        <v>22840.324000000001</v>
      </c>
      <c r="CM67" s="167">
        <v>25.48</v>
      </c>
      <c r="CN67" s="166">
        <f>CM67*$CD67</f>
        <v>87911.09599999999</v>
      </c>
      <c r="CO67" s="169">
        <f>8555.56-(145.56*CK67+94.11*CI67)</f>
        <v>3871.7844999999988</v>
      </c>
      <c r="CP67" s="166">
        <f>CO67*$CD67</f>
        <v>13358430.881899996</v>
      </c>
      <c r="CQ67" s="167">
        <v>3287</v>
      </c>
      <c r="CR67" s="166">
        <f>CQ67*$CD67</f>
        <v>11340807.399999999</v>
      </c>
      <c r="CS67" s="170">
        <f>((100-CU67)/(100-CK67))*CI67</f>
        <v>39.758594988220175</v>
      </c>
      <c r="CT67" s="166">
        <f>CS67*$CD67</f>
        <v>137175.10442835724</v>
      </c>
      <c r="CU67" s="168">
        <v>6.08</v>
      </c>
      <c r="CV67" s="166">
        <f>CU67*$CD67</f>
        <v>20977.216</v>
      </c>
      <c r="CW67" s="170">
        <f>((100-CU67)/(100-CK67))*CM67</f>
        <v>25.62734632683658</v>
      </c>
      <c r="CX67" s="166">
        <f>CW67*$CD67</f>
        <v>88419.470296851563</v>
      </c>
      <c r="CY67" s="171">
        <f>((100-CU67)/(100-CK67))*CQ67</f>
        <v>3306.008138787749</v>
      </c>
      <c r="CZ67" s="166">
        <f>CY67*$CD67</f>
        <v>11406389.28044549</v>
      </c>
      <c r="DA67" s="170" t="str">
        <f>IF(CY67&gt;=7000,"G1",IF(CY67&gt;=6700,"G2",IF(CY67&gt;=6400,"G3",IF(CY67&gt;=6100,"G4",IF(CY67&gt;=5800,"G5",IF(CY67&gt;=5500,"G6",IF(CY67&gt;=5200,"G7",IF(CY67&gt;=4900,"G8",IF(CY67&gt;=4600,"G9",IF(CY67&gt;=4300,"G10",IF(CY67&gt;=4000,"G11",IF(CY67&gt;=3700,"G12",IF(CY67&gt;=3400,"G13",IF(CY67&gt;=3100,"G14",IF(CY67&gt;=2800,"G15",IF(CY67&gt;=2500,"G16",IF(CY67&gt;=2200,"G17")))))))))))))))))</f>
        <v>G14</v>
      </c>
      <c r="DB67" s="171">
        <f>((100-CG67)/(100-CK67))*CQ67</f>
        <v>3020.0078105590064</v>
      </c>
      <c r="DC67" s="166">
        <f>DB67*$CD67</f>
        <v>10419630.947990684</v>
      </c>
      <c r="DD67" s="170">
        <f>((100-CG67)/(100-CK67))*CI67</f>
        <v>36.319108229813672</v>
      </c>
      <c r="DE67" s="221">
        <f>DD67*$CD67</f>
        <v>125308.18721450312</v>
      </c>
      <c r="DF67" s="222">
        <f>CG67-CU67</f>
        <v>8.1249500000000001</v>
      </c>
      <c r="DG67" s="221">
        <f>DF67*$CD67</f>
        <v>28032.70249</v>
      </c>
      <c r="DH67" s="172">
        <f t="shared" si="162"/>
        <v>0</v>
      </c>
      <c r="DI67" s="173">
        <f>$CY67-$BU67</f>
        <v>0</v>
      </c>
      <c r="DJ67" s="174" t="e">
        <f>MID(U67,2,LEN(U67))-MID(BW67,2,LEN(BW67))</f>
        <v>#VALUE!</v>
      </c>
      <c r="DK67" s="175">
        <f>$AQ67-$BU67</f>
        <v>-56.008138787748976</v>
      </c>
      <c r="DL67" s="176" t="e">
        <f>MID(U67,2,LEN(U67))-MID(BW67,2,LEN(BW67))</f>
        <v>#VALUE!</v>
      </c>
      <c r="DM67" s="175" t="e">
        <f>MID(U67,2,LEN(U67))-MID(AS67,2,LEN(AS67))</f>
        <v>#VALUE!</v>
      </c>
      <c r="DN67" s="177"/>
      <c r="DO67" s="178">
        <f t="shared" si="167"/>
        <v>0</v>
      </c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80"/>
      <c r="EC67" s="181">
        <f t="shared" si="47"/>
        <v>0</v>
      </c>
      <c r="EE67" s="181"/>
      <c r="EH67" s="617"/>
    </row>
    <row r="68" spans="1:138" s="182" customFormat="1" ht="30">
      <c r="A68" s="74">
        <v>2</v>
      </c>
      <c r="B68" s="74">
        <v>41</v>
      </c>
      <c r="C68" s="138">
        <v>45817</v>
      </c>
      <c r="D68" s="139">
        <v>162001311</v>
      </c>
      <c r="E68" s="138">
        <v>45816</v>
      </c>
      <c r="F68" s="138"/>
      <c r="G68" s="138"/>
      <c r="H68" s="140">
        <v>4102.75</v>
      </c>
      <c r="I68" s="141">
        <v>4102.75</v>
      </c>
      <c r="J68" s="142"/>
      <c r="K68" s="568"/>
      <c r="L68" s="337">
        <v>59</v>
      </c>
      <c r="M68" s="571"/>
      <c r="N68" s="144">
        <v>4102.75</v>
      </c>
      <c r="O68" s="522" t="s">
        <v>202</v>
      </c>
      <c r="P68" s="145" t="s">
        <v>73</v>
      </c>
      <c r="Q68" s="146" t="s">
        <v>66</v>
      </c>
      <c r="R68" s="145"/>
      <c r="S68" s="145" t="s">
        <v>181</v>
      </c>
      <c r="T68" s="145"/>
      <c r="U68" s="147" t="s">
        <v>198</v>
      </c>
      <c r="V68" s="147" t="s">
        <v>199</v>
      </c>
      <c r="W68" s="147">
        <v>3250</v>
      </c>
      <c r="X68" s="519">
        <v>4176.3</v>
      </c>
      <c r="Y68" s="148"/>
      <c r="Z68" s="150"/>
      <c r="AA68" s="149"/>
      <c r="AB68" s="150"/>
      <c r="AC68" s="151"/>
      <c r="AD68" s="151"/>
      <c r="AE68" s="152">
        <f t="shared" ref="AE68:AE73" si="179">AD68*$AC68</f>
        <v>0</v>
      </c>
      <c r="AF68" s="151"/>
      <c r="AG68" s="152">
        <f t="shared" ref="AG68:AG73" si="180">AF68*$AC68</f>
        <v>0</v>
      </c>
      <c r="AH68" s="151"/>
      <c r="AI68" s="152">
        <f t="shared" ref="AI68:AI73" si="181">AH68*$AC68</f>
        <v>0</v>
      </c>
      <c r="AJ68" s="149"/>
      <c r="AK68" s="152">
        <f t="shared" ref="AK68:AK73" si="182">AJ68*$AC68</f>
        <v>0</v>
      </c>
      <c r="AL68" s="149"/>
      <c r="AM68" s="151"/>
      <c r="AN68" s="152">
        <f t="shared" ref="AN68:AN73" si="183">AM68*$AC68</f>
        <v>0</v>
      </c>
      <c r="AO68" s="151"/>
      <c r="AP68" s="152">
        <f t="shared" ref="AP68:AP73" si="184">AO68*$AC68</f>
        <v>0</v>
      </c>
      <c r="AQ68" s="174">
        <f t="shared" ref="AQ68:AQ73" si="185">W68</f>
        <v>3250</v>
      </c>
      <c r="AR68" s="152">
        <f t="shared" ref="AR68:AR73" si="186">AQ68*$I68</f>
        <v>13333937.5</v>
      </c>
      <c r="AS68" s="149"/>
      <c r="AT68" s="149">
        <f t="shared" ref="AT68:AT73" si="187">ROUND(((100-AD68)/(100-AM68)*AQ68),0)</f>
        <v>3250</v>
      </c>
      <c r="AU68" s="152">
        <f t="shared" ref="AU68:AU73" si="188">AT68*$AC68</f>
        <v>0</v>
      </c>
      <c r="AV68" s="149">
        <f t="shared" si="176"/>
        <v>0</v>
      </c>
      <c r="AW68" s="152">
        <f t="shared" ref="AW68:AW73" si="189">AV68*$AC68</f>
        <v>0</v>
      </c>
      <c r="AX68" s="151">
        <f t="shared" ref="AX68:AX73" si="190">$AD68-$AM68</f>
        <v>0</v>
      </c>
      <c r="AY68" s="152">
        <f t="shared" ref="AY68:AY73" si="191">AX68*$AC68</f>
        <v>0</v>
      </c>
      <c r="AZ68" s="153">
        <v>4.9000000000000004</v>
      </c>
      <c r="BA68" s="153">
        <v>5.4450000000000003</v>
      </c>
      <c r="BB68" s="153"/>
      <c r="BC68" s="154">
        <f t="shared" ref="BC68:BC73" si="192">AZ68+BA68*(1-(AZ68/100))+BB68*(1-(AZ68+BA68)/100)</f>
        <v>10.078195000000001</v>
      </c>
      <c r="BD68" s="155">
        <f t="shared" ref="BD68:BD73" si="193">BC68*$CD68</f>
        <v>41348.314536250007</v>
      </c>
      <c r="BE68" s="156">
        <f>CD68</f>
        <v>4102.75</v>
      </c>
      <c r="BF68" s="157">
        <v>506</v>
      </c>
      <c r="BG68" s="157" t="s">
        <v>246</v>
      </c>
      <c r="BH68" s="156">
        <v>10.08</v>
      </c>
      <c r="BI68" s="158">
        <f t="shared" ref="BI68:BI73" si="194">BH68*$BE68</f>
        <v>41355.72</v>
      </c>
      <c r="BJ68" s="156">
        <v>7.19</v>
      </c>
      <c r="BK68" s="158">
        <f t="shared" ref="BK68:BK73" si="195">BJ68*$BE68</f>
        <v>29498.772500000003</v>
      </c>
      <c r="BL68" s="156">
        <v>39.61</v>
      </c>
      <c r="BM68" s="159">
        <f t="shared" ref="BM68:BM73" si="196">BL68*$BE68</f>
        <v>162509.92749999999</v>
      </c>
      <c r="BN68" s="157">
        <v>3696</v>
      </c>
      <c r="BO68" s="159">
        <f t="shared" ref="BO68:BO73" si="197">BN68*$BE68</f>
        <v>15163764</v>
      </c>
      <c r="BP68" s="160"/>
      <c r="BQ68" s="156">
        <v>6.79</v>
      </c>
      <c r="BR68" s="158">
        <f t="shared" ref="BR68:BR73" si="198">BQ68*$BE68</f>
        <v>27857.672500000001</v>
      </c>
      <c r="BS68" s="156">
        <v>39.78</v>
      </c>
      <c r="BT68" s="159">
        <f t="shared" ref="BT68:BT73" si="199">BS68*$BE68</f>
        <v>163207.39500000002</v>
      </c>
      <c r="BU68" s="157">
        <v>3712</v>
      </c>
      <c r="BV68" s="161">
        <f t="shared" ref="BV68:BV73" si="200">BU68*$BE68</f>
        <v>15229408</v>
      </c>
      <c r="BW68" s="157" t="s">
        <v>184</v>
      </c>
      <c r="BX68" s="157">
        <f t="shared" ref="BX68:BX73" si="201">ROUND(((100-BH68)/(100-BQ68)*BU68),0)</f>
        <v>3581</v>
      </c>
      <c r="BY68" s="161">
        <f t="shared" ref="BY68:BY73" si="202">BX68*$BE68</f>
        <v>14691947.75</v>
      </c>
      <c r="BZ68" s="157">
        <f t="shared" ref="BZ68:BZ73" si="203">ROUND(((100-BH68)/(100-BQ68)*BS68),2)</f>
        <v>38.380000000000003</v>
      </c>
      <c r="CA68" s="161">
        <f t="shared" ref="CA68:CA73" si="204">BZ68*$BE68</f>
        <v>157463.54500000001</v>
      </c>
      <c r="CB68" s="156">
        <f t="shared" ref="CB68:CB73" si="205">BH68-BQ68</f>
        <v>3.29</v>
      </c>
      <c r="CC68" s="161">
        <f t="shared" ref="CC68:CC73" si="206">CB68*$BE68</f>
        <v>13498.047500000001</v>
      </c>
      <c r="CD68" s="162">
        <f t="shared" ref="CD68:CD73" si="207">N68</f>
        <v>4102.75</v>
      </c>
      <c r="CE68" s="163">
        <v>4.4000000000000004</v>
      </c>
      <c r="CF68" s="164">
        <v>6.59</v>
      </c>
      <c r="CG68" s="165">
        <f t="shared" ref="CG68" si="208">CE68+CF68*(1-CE68/100)</f>
        <v>10.70004</v>
      </c>
      <c r="CH68" s="166">
        <f t="shared" ref="CH68:CH73" si="209">CG68*$CD68</f>
        <v>43899.589110000001</v>
      </c>
      <c r="CI68" s="167">
        <v>41.13</v>
      </c>
      <c r="CJ68" s="166">
        <f t="shared" ref="CJ68:CJ73" si="210">CI68*$CD68</f>
        <v>168746.10750000001</v>
      </c>
      <c r="CK68" s="168">
        <v>3.97</v>
      </c>
      <c r="CL68" s="166">
        <f t="shared" ref="CL68:CL73" si="211">CK68*$CD68</f>
        <v>16287.917500000001</v>
      </c>
      <c r="CM68" s="167">
        <v>30.45</v>
      </c>
      <c r="CN68" s="166">
        <f t="shared" ref="CN68:CN73" si="212">CM68*$CD68</f>
        <v>124928.7375</v>
      </c>
      <c r="CO68" s="169">
        <f t="shared" ref="CO68:CO73" si="213">8555.56-(145.56*CK68+94.11*CI68)</f>
        <v>4106.9424999999992</v>
      </c>
      <c r="CP68" s="166">
        <f t="shared" ref="CP68:CP73" si="214">CO68*$CD68</f>
        <v>16849758.341874998</v>
      </c>
      <c r="CQ68" s="174">
        <v>3800</v>
      </c>
      <c r="CR68" s="166">
        <f t="shared" ref="CR68:CR73" si="215">CQ68*$CD68</f>
        <v>15590450</v>
      </c>
      <c r="CS68" s="170">
        <f t="shared" ref="CS68:CS73" si="216">((100-CU68)/(100-CK68))*CI68</f>
        <v>40.757375820056232</v>
      </c>
      <c r="CT68" s="166">
        <f t="shared" ref="CT68:CT73" si="217">CS68*$CD68</f>
        <v>167217.32364573571</v>
      </c>
      <c r="CU68" s="168">
        <v>4.84</v>
      </c>
      <c r="CV68" s="166">
        <f t="shared" ref="CV68:CV73" si="218">CU68*$CD68</f>
        <v>19857.309999999998</v>
      </c>
      <c r="CW68" s="170">
        <f>((100-CU68)/(100-CK68))*CM68</f>
        <v>30.174133083411434</v>
      </c>
      <c r="CX68" s="166">
        <f t="shared" ref="CX68:CX73" si="219">CW68*$CD68</f>
        <v>123796.92450796627</v>
      </c>
      <c r="CY68" s="171">
        <f>((100-CU68)/(100-CK68))*CQ68</f>
        <v>3765.5732583567633</v>
      </c>
      <c r="CZ68" s="166">
        <f t="shared" ref="CZ68:CZ73" si="220">CY68*$CD68</f>
        <v>15449205.68572321</v>
      </c>
      <c r="DA68" s="170" t="str">
        <f>IF(CY68&gt;=7000,"G1",IF(CY68&gt;=6700,"G2",IF(CY68&gt;=6400,"G3",IF(CY68&gt;=6100,"G4",IF(CY68&gt;=5800,"G5",IF(CY68&gt;=5500,"G6",IF(CY68&gt;=5200,"G7",IF(CY68&gt;=4900,"G8",IF(CY68&gt;=4600,"G9",IF(CY68&gt;=4300,"G10",IF(CY68&gt;=4000,"G11",IF(CY68&gt;=3700,"G12",IF(CY68&gt;=3400,"G13",IF(CY68&gt;=3100,"G14",IF(CY68&gt;=2800,"G15",IF(CY68&gt;=2500,"G16",IF(CY68&gt;=2200,"G17")))))))))))))))))</f>
        <v>G12</v>
      </c>
      <c r="DB68" s="171">
        <f t="shared" ref="DB68:DB73" si="221">((100-CG68)/(100-CK68))*CQ68</f>
        <v>3533.6858065187962</v>
      </c>
      <c r="DC68" s="166">
        <f t="shared" ref="DC68:DC73" si="222">DB68*$CD68</f>
        <v>14497829.442694992</v>
      </c>
      <c r="DD68" s="170">
        <f t="shared" ref="DD68:DD73" si="223">((100-CG68)/(100-CK68))*CI68</f>
        <v>38.247499268978444</v>
      </c>
      <c r="DE68" s="221">
        <f t="shared" ref="DE68:DE73" si="224">DD68*$CD68</f>
        <v>156919.92762580133</v>
      </c>
      <c r="DF68" s="222">
        <f t="shared" ref="DF68:DF73" si="225">CG68-CU68</f>
        <v>5.8600399999999997</v>
      </c>
      <c r="DG68" s="221">
        <f t="shared" ref="DG68:DG73" si="226">DF68*$CD68</f>
        <v>24042.279109999999</v>
      </c>
      <c r="DH68" s="172">
        <f t="shared" ref="DH68:DH73" si="227">MID(U68,2,LEN(U68))-MID(DA68,2,LEN(DA68))</f>
        <v>2</v>
      </c>
      <c r="DI68" s="173">
        <f t="shared" ref="DI68:DI73" si="228">$CY68-$BU68</f>
        <v>53.57325835676329</v>
      </c>
      <c r="DJ68" s="174">
        <f t="shared" ref="DJ68:DJ73" si="229">MID(U68,2,LEN(U68))-MID(BW68,2,LEN(BW68))</f>
        <v>2</v>
      </c>
      <c r="DK68" s="175">
        <f t="shared" ref="DK68:DK73" si="230">$AQ68-$BU68</f>
        <v>-462</v>
      </c>
      <c r="DL68" s="176">
        <f t="shared" ref="DL68:DL73" si="231">MID(U68,2,LEN(U68))-MID(BW68,2,LEN(BW68))</f>
        <v>2</v>
      </c>
      <c r="DM68" s="175" t="e">
        <f t="shared" ref="DM68:DM73" si="232">MID(U68,2,LEN(U68))-MID(AS68,2,LEN(AS68))</f>
        <v>#VALUE!</v>
      </c>
      <c r="DN68" s="177"/>
      <c r="DO68" s="178">
        <f t="shared" si="167"/>
        <v>47.314193481203802</v>
      </c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80"/>
      <c r="EC68" s="181">
        <f t="shared" ref="EC68:EC81" si="233">BU68-CY68</f>
        <v>-53.57325835676329</v>
      </c>
      <c r="EE68" s="181">
        <f>BX68-DB68</f>
        <v>47.314193481203802</v>
      </c>
    </row>
    <row r="69" spans="1:138" s="182" customFormat="1" ht="30">
      <c r="A69" s="74">
        <v>3</v>
      </c>
      <c r="B69" s="74">
        <v>46</v>
      </c>
      <c r="C69" s="138">
        <v>45818</v>
      </c>
      <c r="D69" s="139">
        <v>162001312</v>
      </c>
      <c r="E69" s="138">
        <v>45817</v>
      </c>
      <c r="F69" s="138"/>
      <c r="G69" s="138"/>
      <c r="H69" s="140">
        <v>4024.25</v>
      </c>
      <c r="I69" s="141">
        <v>4024.25</v>
      </c>
      <c r="J69" s="142"/>
      <c r="K69" s="568"/>
      <c r="L69" s="337">
        <v>59</v>
      </c>
      <c r="M69" s="571"/>
      <c r="N69" s="144">
        <v>4024.25</v>
      </c>
      <c r="O69" s="522" t="s">
        <v>202</v>
      </c>
      <c r="P69" s="145" t="s">
        <v>203</v>
      </c>
      <c r="Q69" s="146" t="s">
        <v>67</v>
      </c>
      <c r="R69" s="145"/>
      <c r="S69" s="145" t="s">
        <v>181</v>
      </c>
      <c r="T69" s="145"/>
      <c r="U69" s="147" t="s">
        <v>198</v>
      </c>
      <c r="V69" s="147" t="s">
        <v>199</v>
      </c>
      <c r="W69" s="147">
        <v>3250</v>
      </c>
      <c r="X69" s="519">
        <v>4102.2</v>
      </c>
      <c r="Y69" s="148"/>
      <c r="Z69" s="150"/>
      <c r="AA69" s="149"/>
      <c r="AB69" s="150"/>
      <c r="AC69" s="151"/>
      <c r="AD69" s="151"/>
      <c r="AE69" s="152">
        <f t="shared" si="179"/>
        <v>0</v>
      </c>
      <c r="AF69" s="151"/>
      <c r="AG69" s="152">
        <f t="shared" si="180"/>
        <v>0</v>
      </c>
      <c r="AH69" s="151"/>
      <c r="AI69" s="152">
        <f t="shared" si="181"/>
        <v>0</v>
      </c>
      <c r="AJ69" s="149"/>
      <c r="AK69" s="152">
        <f t="shared" si="182"/>
        <v>0</v>
      </c>
      <c r="AL69" s="149"/>
      <c r="AM69" s="151"/>
      <c r="AN69" s="152">
        <f t="shared" si="183"/>
        <v>0</v>
      </c>
      <c r="AO69" s="151"/>
      <c r="AP69" s="152">
        <f t="shared" si="184"/>
        <v>0</v>
      </c>
      <c r="AQ69" s="174">
        <f t="shared" si="185"/>
        <v>3250</v>
      </c>
      <c r="AR69" s="152">
        <f t="shared" si="186"/>
        <v>13078812.5</v>
      </c>
      <c r="AS69" s="149"/>
      <c r="AT69" s="149">
        <f t="shared" si="187"/>
        <v>3250</v>
      </c>
      <c r="AU69" s="152">
        <f t="shared" si="188"/>
        <v>0</v>
      </c>
      <c r="AV69" s="149">
        <f t="shared" si="176"/>
        <v>0</v>
      </c>
      <c r="AW69" s="152">
        <f t="shared" si="189"/>
        <v>0</v>
      </c>
      <c r="AX69" s="151">
        <f t="shared" si="190"/>
        <v>0</v>
      </c>
      <c r="AY69" s="152">
        <f t="shared" si="191"/>
        <v>0</v>
      </c>
      <c r="AZ69" s="153">
        <v>3.3</v>
      </c>
      <c r="BA69" s="153">
        <v>11.571</v>
      </c>
      <c r="BB69" s="153"/>
      <c r="BC69" s="154">
        <f t="shared" si="192"/>
        <v>14.489156999999999</v>
      </c>
      <c r="BD69" s="155">
        <f t="shared" si="193"/>
        <v>58307.990057249997</v>
      </c>
      <c r="BE69" s="156">
        <f>CD69</f>
        <v>4024.25</v>
      </c>
      <c r="BF69" s="157">
        <v>507</v>
      </c>
      <c r="BG69" s="157" t="s">
        <v>246</v>
      </c>
      <c r="BH69" s="156">
        <v>14.49</v>
      </c>
      <c r="BI69" s="158">
        <f t="shared" si="194"/>
        <v>58311.3825</v>
      </c>
      <c r="BJ69" s="156">
        <v>7.4</v>
      </c>
      <c r="BK69" s="158">
        <f t="shared" si="195"/>
        <v>29779.45</v>
      </c>
      <c r="BL69" s="156">
        <v>46.33</v>
      </c>
      <c r="BM69" s="159">
        <f t="shared" si="196"/>
        <v>186443.5025</v>
      </c>
      <c r="BN69" s="157">
        <v>2985</v>
      </c>
      <c r="BO69" s="159">
        <f t="shared" si="197"/>
        <v>12012386.25</v>
      </c>
      <c r="BP69" s="160"/>
      <c r="BQ69" s="156">
        <v>7.13</v>
      </c>
      <c r="BR69" s="158">
        <f t="shared" si="198"/>
        <v>28692.9025</v>
      </c>
      <c r="BS69" s="156">
        <v>46.47</v>
      </c>
      <c r="BT69" s="159">
        <f t="shared" si="199"/>
        <v>187006.89749999999</v>
      </c>
      <c r="BU69" s="157">
        <v>2994</v>
      </c>
      <c r="BV69" s="161">
        <f t="shared" si="200"/>
        <v>12048604.5</v>
      </c>
      <c r="BW69" s="157" t="s">
        <v>187</v>
      </c>
      <c r="BX69" s="157">
        <f t="shared" si="201"/>
        <v>2757</v>
      </c>
      <c r="BY69" s="161">
        <f t="shared" si="202"/>
        <v>11094857.25</v>
      </c>
      <c r="BZ69" s="157">
        <f t="shared" si="203"/>
        <v>42.79</v>
      </c>
      <c r="CA69" s="161">
        <f t="shared" si="204"/>
        <v>172197.6575</v>
      </c>
      <c r="CB69" s="156">
        <f t="shared" si="205"/>
        <v>7.36</v>
      </c>
      <c r="CC69" s="161">
        <f t="shared" si="206"/>
        <v>29618.48</v>
      </c>
      <c r="CD69" s="162">
        <f t="shared" si="207"/>
        <v>4024.25</v>
      </c>
      <c r="CE69" s="163">
        <v>2.9</v>
      </c>
      <c r="CF69" s="164">
        <v>8.0299999999999994</v>
      </c>
      <c r="CG69" s="165">
        <f>CE69+CF69*(1-CE69/100)</f>
        <v>10.69713</v>
      </c>
      <c r="CH69" s="166">
        <f t="shared" si="209"/>
        <v>43047.925402499997</v>
      </c>
      <c r="CI69" s="174">
        <v>48.22</v>
      </c>
      <c r="CJ69" s="166">
        <f t="shared" si="210"/>
        <v>194049.33499999999</v>
      </c>
      <c r="CK69" s="168">
        <v>5.33</v>
      </c>
      <c r="CL69" s="166">
        <f t="shared" si="211"/>
        <v>21449.252499999999</v>
      </c>
      <c r="CM69" s="167">
        <v>23.23</v>
      </c>
      <c r="CN69" s="166">
        <f t="shared" si="212"/>
        <v>93483.327499999999</v>
      </c>
      <c r="CO69" s="169">
        <f t="shared" si="213"/>
        <v>3241.741</v>
      </c>
      <c r="CP69" s="166">
        <f t="shared" si="214"/>
        <v>13045576.219249999</v>
      </c>
      <c r="CQ69" s="167">
        <v>2988</v>
      </c>
      <c r="CR69" s="166">
        <f t="shared" si="215"/>
        <v>12024459</v>
      </c>
      <c r="CS69" s="170">
        <f t="shared" si="216"/>
        <v>49.25907045526565</v>
      </c>
      <c r="CT69" s="166">
        <f t="shared" si="217"/>
        <v>198230.81427960278</v>
      </c>
      <c r="CU69" s="168">
        <v>3.29</v>
      </c>
      <c r="CV69" s="166">
        <f t="shared" si="218"/>
        <v>13239.782499999999</v>
      </c>
      <c r="CW69" s="170">
        <f>((100-CU69)/(100-CK69))*CM69</f>
        <v>23.730572515052284</v>
      </c>
      <c r="CX69" s="166">
        <f t="shared" si="219"/>
        <v>95497.756443699152</v>
      </c>
      <c r="CY69" s="171">
        <f>((100-CU69)/(100-CK69))*CQ69</f>
        <v>3052.3870286257525</v>
      </c>
      <c r="CZ69" s="166">
        <f t="shared" si="220"/>
        <v>12283568.499947185</v>
      </c>
      <c r="DA69" s="170" t="str">
        <f>IF(CY69&gt;=7000,"G1",IF(CY69&gt;=6700,"G2",IF(CY69&gt;=6400,"G3",IF(CY69&gt;=6100,"G4",IF(CY69&gt;=5800,"G5",IF(CY69&gt;=5500,"G6",IF(CY69&gt;=5200,"G7",IF(CY69&gt;=4900,"G8",IF(CY69&gt;=4600,"G9",IF(CY69&gt;=4300,"G10",IF(CY69&gt;=4000,"G11",IF(CY69&gt;=3700,"G12",IF(CY69&gt;=3400,"G13",IF(CY69&gt;=3100,"G14",IF(CY69&gt;=2800,"G15",IF(CY69&gt;=2500,"G16",IF(CY69&gt;=2200,"G17")))))))))))))))))</f>
        <v>G15</v>
      </c>
      <c r="DB69" s="171">
        <f t="shared" si="221"/>
        <v>2818.6011995352278</v>
      </c>
      <c r="DC69" s="166">
        <f t="shared" si="222"/>
        <v>11342755.87722964</v>
      </c>
      <c r="DD69" s="170">
        <f t="shared" si="223"/>
        <v>45.486261660504908</v>
      </c>
      <c r="DE69" s="221">
        <f t="shared" si="224"/>
        <v>183048.08848728688</v>
      </c>
      <c r="DF69" s="222">
        <f t="shared" si="225"/>
        <v>7.4071299999999995</v>
      </c>
      <c r="DG69" s="221">
        <f t="shared" si="226"/>
        <v>29808.1429025</v>
      </c>
      <c r="DH69" s="172">
        <f t="shared" si="227"/>
        <v>-1</v>
      </c>
      <c r="DI69" s="173">
        <f t="shared" si="228"/>
        <v>58.387028625752464</v>
      </c>
      <c r="DJ69" s="174">
        <f t="shared" si="229"/>
        <v>-1</v>
      </c>
      <c r="DK69" s="175">
        <f t="shared" si="230"/>
        <v>256</v>
      </c>
      <c r="DL69" s="176">
        <f t="shared" si="231"/>
        <v>-1</v>
      </c>
      <c r="DM69" s="175" t="e">
        <f t="shared" si="232"/>
        <v>#VALUE!</v>
      </c>
      <c r="DN69" s="177"/>
      <c r="DO69" s="178">
        <f t="shared" si="167"/>
        <v>-61.601199535227806</v>
      </c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80"/>
      <c r="EC69" s="181">
        <f t="shared" si="233"/>
        <v>-58.387028625752464</v>
      </c>
      <c r="EE69" s="181">
        <f>BX69-DB69</f>
        <v>-61.601199535227806</v>
      </c>
    </row>
    <row r="70" spans="1:138" s="182" customFormat="1" ht="30">
      <c r="A70" s="74">
        <v>4</v>
      </c>
      <c r="B70" s="74">
        <v>48</v>
      </c>
      <c r="C70" s="138">
        <v>45818</v>
      </c>
      <c r="D70" s="139">
        <v>162001313</v>
      </c>
      <c r="E70" s="138">
        <v>45817</v>
      </c>
      <c r="F70" s="138"/>
      <c r="G70" s="138"/>
      <c r="H70" s="140">
        <v>4076.95</v>
      </c>
      <c r="I70" s="141">
        <v>4076.95</v>
      </c>
      <c r="J70" s="142"/>
      <c r="K70" s="568"/>
      <c r="L70" s="337">
        <v>59</v>
      </c>
      <c r="M70" s="571"/>
      <c r="N70" s="144">
        <v>4076.95</v>
      </c>
      <c r="O70" s="522" t="s">
        <v>202</v>
      </c>
      <c r="P70" s="145" t="s">
        <v>203</v>
      </c>
      <c r="Q70" s="146" t="s">
        <v>67</v>
      </c>
      <c r="R70" s="145"/>
      <c r="S70" s="145" t="s">
        <v>181</v>
      </c>
      <c r="T70" s="145"/>
      <c r="U70" s="147" t="s">
        <v>198</v>
      </c>
      <c r="V70" s="147" t="s">
        <v>199</v>
      </c>
      <c r="W70" s="147">
        <v>3250</v>
      </c>
      <c r="X70" s="519">
        <v>4169.05</v>
      </c>
      <c r="Y70" s="148"/>
      <c r="Z70" s="150"/>
      <c r="AA70" s="149"/>
      <c r="AB70" s="150"/>
      <c r="AC70" s="151"/>
      <c r="AD70" s="151"/>
      <c r="AE70" s="152">
        <f t="shared" si="179"/>
        <v>0</v>
      </c>
      <c r="AF70" s="151"/>
      <c r="AG70" s="152">
        <f t="shared" si="180"/>
        <v>0</v>
      </c>
      <c r="AH70" s="151"/>
      <c r="AI70" s="152">
        <f t="shared" si="181"/>
        <v>0</v>
      </c>
      <c r="AJ70" s="149"/>
      <c r="AK70" s="152">
        <f t="shared" si="182"/>
        <v>0</v>
      </c>
      <c r="AL70" s="149"/>
      <c r="AM70" s="151"/>
      <c r="AN70" s="152">
        <f t="shared" si="183"/>
        <v>0</v>
      </c>
      <c r="AO70" s="151"/>
      <c r="AP70" s="152">
        <f t="shared" si="184"/>
        <v>0</v>
      </c>
      <c r="AQ70" s="174">
        <f t="shared" si="185"/>
        <v>3250</v>
      </c>
      <c r="AR70" s="152">
        <f t="shared" si="186"/>
        <v>13250087.5</v>
      </c>
      <c r="AS70" s="149"/>
      <c r="AT70" s="149">
        <f t="shared" si="187"/>
        <v>3250</v>
      </c>
      <c r="AU70" s="152">
        <f t="shared" si="188"/>
        <v>0</v>
      </c>
      <c r="AV70" s="149">
        <f t="shared" si="176"/>
        <v>0</v>
      </c>
      <c r="AW70" s="152">
        <f t="shared" si="189"/>
        <v>0</v>
      </c>
      <c r="AX70" s="151">
        <f t="shared" si="190"/>
        <v>0</v>
      </c>
      <c r="AY70" s="152">
        <f t="shared" si="191"/>
        <v>0</v>
      </c>
      <c r="AZ70" s="153">
        <v>3.1</v>
      </c>
      <c r="BA70" s="153">
        <v>12.569000000000001</v>
      </c>
      <c r="BB70" s="153"/>
      <c r="BC70" s="154">
        <f t="shared" si="192"/>
        <v>15.279361</v>
      </c>
      <c r="BD70" s="155">
        <f t="shared" si="193"/>
        <v>62293.190828949999</v>
      </c>
      <c r="BE70" s="156">
        <f>CD70</f>
        <v>4076.95</v>
      </c>
      <c r="BF70" s="157">
        <v>507</v>
      </c>
      <c r="BG70" s="157" t="s">
        <v>246</v>
      </c>
      <c r="BH70" s="156">
        <v>15.28</v>
      </c>
      <c r="BI70" s="158">
        <f t="shared" si="194"/>
        <v>62295.795999999995</v>
      </c>
      <c r="BJ70" s="156">
        <v>7.41</v>
      </c>
      <c r="BK70" s="158">
        <f t="shared" si="195"/>
        <v>30210.199499999999</v>
      </c>
      <c r="BL70" s="156">
        <v>45.77</v>
      </c>
      <c r="BM70" s="159">
        <f t="shared" si="196"/>
        <v>186602.00150000001</v>
      </c>
      <c r="BN70" s="157">
        <v>3062</v>
      </c>
      <c r="BO70" s="159">
        <f t="shared" si="197"/>
        <v>12483620.9</v>
      </c>
      <c r="BP70" s="160"/>
      <c r="BQ70" s="156">
        <v>7.17</v>
      </c>
      <c r="BR70" s="158">
        <f t="shared" si="198"/>
        <v>29231.731499999998</v>
      </c>
      <c r="BS70" s="156">
        <v>45.89</v>
      </c>
      <c r="BT70" s="159">
        <f t="shared" si="199"/>
        <v>187091.23549999998</v>
      </c>
      <c r="BU70" s="157">
        <v>3070</v>
      </c>
      <c r="BV70" s="161">
        <f t="shared" si="200"/>
        <v>12516236.5</v>
      </c>
      <c r="BW70" s="157" t="s">
        <v>187</v>
      </c>
      <c r="BX70" s="157">
        <f t="shared" si="201"/>
        <v>2802</v>
      </c>
      <c r="BY70" s="161">
        <f t="shared" si="202"/>
        <v>11423613.9</v>
      </c>
      <c r="BZ70" s="157">
        <f t="shared" si="203"/>
        <v>41.88</v>
      </c>
      <c r="CA70" s="161">
        <f t="shared" si="204"/>
        <v>170742.666</v>
      </c>
      <c r="CB70" s="156">
        <f t="shared" si="205"/>
        <v>8.11</v>
      </c>
      <c r="CC70" s="161">
        <f t="shared" si="206"/>
        <v>33064.064499999993</v>
      </c>
      <c r="CD70" s="162">
        <f t="shared" si="207"/>
        <v>4076.95</v>
      </c>
      <c r="CE70" s="163">
        <v>3.4</v>
      </c>
      <c r="CF70" s="164">
        <v>7.38</v>
      </c>
      <c r="CG70" s="165">
        <f>CE70+CF70*(1-CE70/100)</f>
        <v>10.52908</v>
      </c>
      <c r="CH70" s="166">
        <f t="shared" si="209"/>
        <v>42926.532705999998</v>
      </c>
      <c r="CI70" s="167">
        <v>48.23</v>
      </c>
      <c r="CJ70" s="166">
        <f t="shared" si="210"/>
        <v>196631.29849999998</v>
      </c>
      <c r="CK70" s="168">
        <v>4.49</v>
      </c>
      <c r="CL70" s="166">
        <f t="shared" si="211"/>
        <v>18305.505499999999</v>
      </c>
      <c r="CM70" s="167">
        <v>24.86</v>
      </c>
      <c r="CN70" s="166">
        <f t="shared" si="212"/>
        <v>101352.977</v>
      </c>
      <c r="CO70" s="169">
        <f t="shared" si="213"/>
        <v>3363.0702999999994</v>
      </c>
      <c r="CP70" s="166">
        <f t="shared" si="214"/>
        <v>13711069.459584996</v>
      </c>
      <c r="CQ70" s="167">
        <v>3088</v>
      </c>
      <c r="CR70" s="166">
        <f t="shared" si="215"/>
        <v>12589621.6</v>
      </c>
      <c r="CS70" s="170">
        <f t="shared" si="216"/>
        <v>48.871316092555752</v>
      </c>
      <c r="CT70" s="166">
        <f t="shared" si="217"/>
        <v>199245.91214354517</v>
      </c>
      <c r="CU70" s="168">
        <v>3.22</v>
      </c>
      <c r="CV70" s="166">
        <f t="shared" si="218"/>
        <v>13127.779</v>
      </c>
      <c r="CW70" s="170">
        <f t="shared" ref="CW70" si="234">((100-CU70)/(100-CK70))*CM70</f>
        <v>25.190564338812688</v>
      </c>
      <c r="CX70" s="166">
        <f t="shared" si="219"/>
        <v>102700.67128112238</v>
      </c>
      <c r="CY70" s="171">
        <f t="shared" ref="CY70" si="235">((100-CU70)/(100-CK70))*CQ70</f>
        <v>3129.0612501308765</v>
      </c>
      <c r="CZ70" s="166">
        <f t="shared" si="220"/>
        <v>12757026.263721077</v>
      </c>
      <c r="DA70" s="170" t="str">
        <f t="shared" ref="DA70" si="236">IF(CY70&gt;=7000,"G1",IF(CY70&gt;=6700,"G2",IF(CY70&gt;=6400,"G3",IF(CY70&gt;=6100,"G4",IF(CY70&gt;=5800,"G5",IF(CY70&gt;=5500,"G6",IF(CY70&gt;=5200,"G7",IF(CY70&gt;=4900,"G8",IF(CY70&gt;=4600,"G9",IF(CY70&gt;=4300,"G10",IF(CY70&gt;=4000,"G11",IF(CY70&gt;=3700,"G12",IF(CY70&gt;=3400,"G13",IF(CY70&gt;=3100,"G14",IF(CY70&gt;=2800,"G15",IF(CY70&gt;=2500,"G16",IF(CY70&gt;=2200,"G17")))))))))))))))))</f>
        <v>G14</v>
      </c>
      <c r="DB70" s="171">
        <f t="shared" si="221"/>
        <v>2892.7463193382891</v>
      </c>
      <c r="DC70" s="166">
        <f t="shared" si="222"/>
        <v>11793582.106626237</v>
      </c>
      <c r="DD70" s="170">
        <f t="shared" si="223"/>
        <v>45.180425836038111</v>
      </c>
      <c r="DE70" s="221">
        <f t="shared" si="224"/>
        <v>184198.33711223557</v>
      </c>
      <c r="DF70" s="222">
        <f t="shared" si="225"/>
        <v>7.3090799999999998</v>
      </c>
      <c r="DG70" s="221">
        <f t="shared" si="226"/>
        <v>29798.753706</v>
      </c>
      <c r="DH70" s="172">
        <f t="shared" si="227"/>
        <v>0</v>
      </c>
      <c r="DI70" s="173">
        <f t="shared" si="228"/>
        <v>59.061250130876488</v>
      </c>
      <c r="DJ70" s="174">
        <f t="shared" si="229"/>
        <v>-1</v>
      </c>
      <c r="DK70" s="175">
        <f t="shared" si="230"/>
        <v>180</v>
      </c>
      <c r="DL70" s="176">
        <f t="shared" si="231"/>
        <v>-1</v>
      </c>
      <c r="DM70" s="175" t="e">
        <f t="shared" si="232"/>
        <v>#VALUE!</v>
      </c>
      <c r="DN70" s="177"/>
      <c r="DO70" s="178">
        <f t="shared" si="167"/>
        <v>-90.74631933828914</v>
      </c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80"/>
      <c r="EC70" s="181">
        <f t="shared" si="233"/>
        <v>-59.061250130876488</v>
      </c>
      <c r="EE70" s="181">
        <f>BX70-DB70</f>
        <v>-90.74631933828914</v>
      </c>
    </row>
    <row r="71" spans="1:138" s="182" customFormat="1" ht="30">
      <c r="A71" s="74">
        <v>5</v>
      </c>
      <c r="B71" s="74">
        <v>56</v>
      </c>
      <c r="C71" s="138">
        <v>45820</v>
      </c>
      <c r="D71" s="139">
        <v>162001316</v>
      </c>
      <c r="E71" s="138">
        <v>45818</v>
      </c>
      <c r="F71" s="138"/>
      <c r="G71" s="138"/>
      <c r="H71" s="140">
        <v>3835.35</v>
      </c>
      <c r="I71" s="141">
        <v>3835.35</v>
      </c>
      <c r="J71" s="142"/>
      <c r="K71" s="568"/>
      <c r="L71" s="337">
        <v>57</v>
      </c>
      <c r="M71" s="571"/>
      <c r="N71" s="144">
        <v>3835.35</v>
      </c>
      <c r="O71" s="522" t="s">
        <v>202</v>
      </c>
      <c r="P71" s="145" t="s">
        <v>203</v>
      </c>
      <c r="Q71" s="146" t="s">
        <v>67</v>
      </c>
      <c r="R71" s="145"/>
      <c r="S71" s="145" t="s">
        <v>181</v>
      </c>
      <c r="T71" s="145"/>
      <c r="U71" s="147" t="s">
        <v>198</v>
      </c>
      <c r="V71" s="147" t="s">
        <v>199</v>
      </c>
      <c r="W71" s="147">
        <v>3250</v>
      </c>
      <c r="X71" s="519">
        <v>3970.8</v>
      </c>
      <c r="Y71" s="148"/>
      <c r="Z71" s="150"/>
      <c r="AA71" s="149"/>
      <c r="AB71" s="150"/>
      <c r="AC71" s="151"/>
      <c r="AD71" s="151"/>
      <c r="AE71" s="152">
        <f t="shared" si="179"/>
        <v>0</v>
      </c>
      <c r="AF71" s="151"/>
      <c r="AG71" s="152">
        <f t="shared" si="180"/>
        <v>0</v>
      </c>
      <c r="AH71" s="151"/>
      <c r="AI71" s="152">
        <f t="shared" si="181"/>
        <v>0</v>
      </c>
      <c r="AJ71" s="149"/>
      <c r="AK71" s="152">
        <f t="shared" si="182"/>
        <v>0</v>
      </c>
      <c r="AL71" s="149"/>
      <c r="AM71" s="151"/>
      <c r="AN71" s="152">
        <f t="shared" si="183"/>
        <v>0</v>
      </c>
      <c r="AO71" s="151"/>
      <c r="AP71" s="152">
        <f t="shared" si="184"/>
        <v>0</v>
      </c>
      <c r="AQ71" s="174">
        <f t="shared" si="185"/>
        <v>3250</v>
      </c>
      <c r="AR71" s="152">
        <f t="shared" si="186"/>
        <v>12464887.5</v>
      </c>
      <c r="AS71" s="149"/>
      <c r="AT71" s="149">
        <f t="shared" si="187"/>
        <v>3250</v>
      </c>
      <c r="AU71" s="152">
        <f t="shared" si="188"/>
        <v>0</v>
      </c>
      <c r="AV71" s="149">
        <f t="shared" si="176"/>
        <v>0</v>
      </c>
      <c r="AW71" s="152">
        <f t="shared" si="189"/>
        <v>0</v>
      </c>
      <c r="AX71" s="151">
        <f t="shared" si="190"/>
        <v>0</v>
      </c>
      <c r="AY71" s="152">
        <f t="shared" si="191"/>
        <v>0</v>
      </c>
      <c r="AZ71" s="153">
        <v>3.6</v>
      </c>
      <c r="BA71" s="153">
        <v>9.48</v>
      </c>
      <c r="BB71" s="153"/>
      <c r="BC71" s="154">
        <f t="shared" si="192"/>
        <v>12.738719999999999</v>
      </c>
      <c r="BD71" s="155">
        <f t="shared" si="193"/>
        <v>48857.449751999993</v>
      </c>
      <c r="BE71" s="156">
        <f>CD71</f>
        <v>3835.35</v>
      </c>
      <c r="BF71" s="157">
        <v>509</v>
      </c>
      <c r="BG71" s="157" t="s">
        <v>243</v>
      </c>
      <c r="BH71" s="156">
        <v>12.74</v>
      </c>
      <c r="BI71" s="158">
        <f t="shared" si="194"/>
        <v>48862.358999999997</v>
      </c>
      <c r="BJ71" s="156">
        <v>6.63</v>
      </c>
      <c r="BK71" s="158">
        <f t="shared" si="195"/>
        <v>25428.370499999997</v>
      </c>
      <c r="BL71" s="156">
        <v>58.37</v>
      </c>
      <c r="BM71" s="159">
        <f t="shared" si="196"/>
        <v>223869.37949999998</v>
      </c>
      <c r="BN71" s="157">
        <v>2196</v>
      </c>
      <c r="BO71" s="159">
        <f t="shared" si="197"/>
        <v>8422428.5999999996</v>
      </c>
      <c r="BP71" s="160"/>
      <c r="BQ71" s="156">
        <v>6.17</v>
      </c>
      <c r="BR71" s="158">
        <f t="shared" si="198"/>
        <v>23664.109499999999</v>
      </c>
      <c r="BS71" s="156">
        <v>58.66</v>
      </c>
      <c r="BT71" s="159">
        <f t="shared" si="199"/>
        <v>224981.63099999999</v>
      </c>
      <c r="BU71" s="157">
        <v>2207</v>
      </c>
      <c r="BV71" s="161">
        <f t="shared" si="200"/>
        <v>8464617.4499999993</v>
      </c>
      <c r="BW71" s="157" t="s">
        <v>223</v>
      </c>
      <c r="BX71" s="157">
        <f t="shared" si="201"/>
        <v>2052</v>
      </c>
      <c r="BY71" s="161">
        <f t="shared" si="202"/>
        <v>7870138.2000000002</v>
      </c>
      <c r="BZ71" s="157">
        <f t="shared" si="203"/>
        <v>54.55</v>
      </c>
      <c r="CA71" s="161">
        <f t="shared" si="204"/>
        <v>209218.34249999997</v>
      </c>
      <c r="CB71" s="156">
        <f t="shared" si="205"/>
        <v>6.57</v>
      </c>
      <c r="CC71" s="161">
        <f t="shared" si="206"/>
        <v>25198.249500000002</v>
      </c>
      <c r="CD71" s="162">
        <f t="shared" si="207"/>
        <v>3835.35</v>
      </c>
      <c r="CE71" s="163">
        <v>3.6</v>
      </c>
      <c r="CF71" s="164">
        <v>9.48</v>
      </c>
      <c r="CG71" s="165">
        <f>CE71+CF71*(1-CE71/100)</f>
        <v>12.738719999999999</v>
      </c>
      <c r="CH71" s="166">
        <f t="shared" si="209"/>
        <v>48857.449751999993</v>
      </c>
      <c r="CI71" s="167">
        <v>58.83</v>
      </c>
      <c r="CJ71" s="166">
        <f t="shared" si="210"/>
        <v>225633.64049999998</v>
      </c>
      <c r="CK71" s="168">
        <v>3.86</v>
      </c>
      <c r="CL71" s="166">
        <f t="shared" si="211"/>
        <v>14804.450999999999</v>
      </c>
      <c r="CM71" s="167">
        <v>21.81</v>
      </c>
      <c r="CN71" s="166">
        <f t="shared" si="212"/>
        <v>83648.983499999988</v>
      </c>
      <c r="CO71" s="169">
        <f t="shared" si="213"/>
        <v>2457.2070999999996</v>
      </c>
      <c r="CP71" s="166">
        <f t="shared" si="214"/>
        <v>9424249.2509849984</v>
      </c>
      <c r="CQ71" s="167">
        <v>2238</v>
      </c>
      <c r="CR71" s="166">
        <f t="shared" si="215"/>
        <v>8583513.2999999989</v>
      </c>
      <c r="CS71" s="170">
        <f t="shared" si="216"/>
        <v>59.319536093197421</v>
      </c>
      <c r="CT71" s="166">
        <f t="shared" si="217"/>
        <v>227511.18275504472</v>
      </c>
      <c r="CU71" s="168">
        <v>3.06</v>
      </c>
      <c r="CV71" s="166">
        <f t="shared" si="218"/>
        <v>11736.171</v>
      </c>
      <c r="CW71" s="170">
        <f>((100-CU71)/(100-CK71))*CM71</f>
        <v>21.991485333888079</v>
      </c>
      <c r="CX71" s="166">
        <f t="shared" si="219"/>
        <v>84345.04327532764</v>
      </c>
      <c r="CY71" s="171">
        <f>((100-CU71)/(100-CK71))*CQ71</f>
        <v>2256.6228416892031</v>
      </c>
      <c r="CZ71" s="166">
        <f t="shared" si="220"/>
        <v>8654938.4158726856</v>
      </c>
      <c r="DA71" s="170" t="str">
        <f>IF(CY71&gt;=7000,"G1",IF(CY71&gt;=6700,"G2",IF(CY71&gt;=6400,"G3",IF(CY71&gt;=6100,"G4",IF(CY71&gt;=5800,"G5",IF(CY71&gt;=5500,"G6",IF(CY71&gt;=5200,"G7",IF(CY71&gt;=4900,"G8",IF(CY71&gt;=4600,"G9",IF(CY71&gt;=4300,"G10",IF(CY71&gt;=4000,"G11",IF(CY71&gt;=3700,"G12",IF(CY71&gt;=3400,"G13",IF(CY71&gt;=3100,"G14",IF(CY71&gt;=2800,"G15",IF(CY71&gt;=2500,"G16",IF(CY71&gt;=2200,"G17")))))))))))))))))</f>
        <v>G17</v>
      </c>
      <c r="DB71" s="171">
        <f t="shared" si="221"/>
        <v>2031.3162537965468</v>
      </c>
      <c r="DC71" s="166">
        <f t="shared" si="222"/>
        <v>7790808.7939985851</v>
      </c>
      <c r="DD71" s="170">
        <f t="shared" si="223"/>
        <v>53.396932623257747</v>
      </c>
      <c r="DE71" s="221">
        <f t="shared" si="224"/>
        <v>204795.92553661158</v>
      </c>
      <c r="DF71" s="222">
        <f t="shared" si="225"/>
        <v>9.6787199999999984</v>
      </c>
      <c r="DG71" s="221">
        <f t="shared" si="226"/>
        <v>37121.278751999991</v>
      </c>
      <c r="DH71" s="172">
        <f t="shared" si="227"/>
        <v>-3</v>
      </c>
      <c r="DI71" s="173">
        <f t="shared" si="228"/>
        <v>49.622841689203142</v>
      </c>
      <c r="DJ71" s="174">
        <f t="shared" si="229"/>
        <v>-3</v>
      </c>
      <c r="DK71" s="175">
        <f t="shared" si="230"/>
        <v>1043</v>
      </c>
      <c r="DL71" s="176">
        <f t="shared" si="231"/>
        <v>-3</v>
      </c>
      <c r="DM71" s="175" t="e">
        <f t="shared" si="232"/>
        <v>#VALUE!</v>
      </c>
      <c r="DN71" s="177"/>
      <c r="DO71" s="178">
        <f t="shared" si="167"/>
        <v>20.683746203453211</v>
      </c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80"/>
      <c r="EC71" s="181">
        <f t="shared" si="233"/>
        <v>-49.622841689203142</v>
      </c>
      <c r="EE71" s="181">
        <f>BX71-DB71</f>
        <v>20.683746203453211</v>
      </c>
    </row>
    <row r="72" spans="1:138" s="182" customFormat="1" ht="30">
      <c r="A72" s="74">
        <v>6</v>
      </c>
      <c r="B72" s="74">
        <v>63</v>
      </c>
      <c r="C72" s="138">
        <v>45821</v>
      </c>
      <c r="D72" s="139">
        <v>162001317</v>
      </c>
      <c r="E72" s="138">
        <v>45819</v>
      </c>
      <c r="F72" s="138"/>
      <c r="G72" s="138"/>
      <c r="H72" s="140">
        <v>3928.75</v>
      </c>
      <c r="I72" s="141">
        <v>3928.75</v>
      </c>
      <c r="J72" s="142"/>
      <c r="K72" s="568"/>
      <c r="L72" s="337">
        <v>58</v>
      </c>
      <c r="M72" s="571"/>
      <c r="N72" s="144">
        <v>3928.75</v>
      </c>
      <c r="O72" s="522" t="s">
        <v>202</v>
      </c>
      <c r="P72" s="145" t="s">
        <v>203</v>
      </c>
      <c r="Q72" s="146" t="s">
        <v>67</v>
      </c>
      <c r="R72" s="145"/>
      <c r="S72" s="145" t="s">
        <v>181</v>
      </c>
      <c r="T72" s="145"/>
      <c r="U72" s="147" t="s">
        <v>198</v>
      </c>
      <c r="V72" s="147" t="s">
        <v>199</v>
      </c>
      <c r="W72" s="147">
        <v>3250</v>
      </c>
      <c r="X72" s="519">
        <v>4058.65</v>
      </c>
      <c r="Y72" s="148"/>
      <c r="Z72" s="150"/>
      <c r="AA72" s="149"/>
      <c r="AB72" s="150"/>
      <c r="AC72" s="151"/>
      <c r="AD72" s="151"/>
      <c r="AE72" s="152">
        <f t="shared" si="179"/>
        <v>0</v>
      </c>
      <c r="AF72" s="151"/>
      <c r="AG72" s="152">
        <f t="shared" si="180"/>
        <v>0</v>
      </c>
      <c r="AH72" s="151"/>
      <c r="AI72" s="152">
        <f t="shared" si="181"/>
        <v>0</v>
      </c>
      <c r="AJ72" s="149"/>
      <c r="AK72" s="152">
        <f t="shared" si="182"/>
        <v>0</v>
      </c>
      <c r="AL72" s="149"/>
      <c r="AM72" s="151"/>
      <c r="AN72" s="152">
        <f t="shared" si="183"/>
        <v>0</v>
      </c>
      <c r="AO72" s="151"/>
      <c r="AP72" s="152">
        <f t="shared" si="184"/>
        <v>0</v>
      </c>
      <c r="AQ72" s="174">
        <f t="shared" si="185"/>
        <v>3250</v>
      </c>
      <c r="AR72" s="152">
        <f t="shared" si="186"/>
        <v>12768437.5</v>
      </c>
      <c r="AS72" s="149"/>
      <c r="AT72" s="149">
        <f t="shared" si="187"/>
        <v>3250</v>
      </c>
      <c r="AU72" s="152">
        <f t="shared" si="188"/>
        <v>0</v>
      </c>
      <c r="AV72" s="149">
        <f t="shared" si="176"/>
        <v>0</v>
      </c>
      <c r="AW72" s="152">
        <f t="shared" si="189"/>
        <v>0</v>
      </c>
      <c r="AX72" s="151">
        <f t="shared" si="190"/>
        <v>0</v>
      </c>
      <c r="AY72" s="152">
        <f t="shared" si="191"/>
        <v>0</v>
      </c>
      <c r="AZ72" s="153">
        <v>3</v>
      </c>
      <c r="BA72" s="153">
        <v>9.5470000000000006</v>
      </c>
      <c r="BB72" s="153"/>
      <c r="BC72" s="154">
        <f t="shared" si="192"/>
        <v>12.260590000000001</v>
      </c>
      <c r="BD72" s="155">
        <f t="shared" si="193"/>
        <v>48168.792962500003</v>
      </c>
      <c r="BE72" s="156">
        <f t="shared" ref="BE72:BE73" si="237">CD72</f>
        <v>3928.75</v>
      </c>
      <c r="BF72" s="157">
        <v>510</v>
      </c>
      <c r="BG72" s="157" t="s">
        <v>247</v>
      </c>
      <c r="BH72" s="156">
        <v>12.26</v>
      </c>
      <c r="BI72" s="158">
        <f t="shared" si="194"/>
        <v>48166.474999999999</v>
      </c>
      <c r="BJ72" s="156">
        <v>7.86</v>
      </c>
      <c r="BK72" s="158">
        <f t="shared" si="195"/>
        <v>30879.975000000002</v>
      </c>
      <c r="BL72" s="156">
        <v>46.25</v>
      </c>
      <c r="BM72" s="159">
        <f t="shared" si="196"/>
        <v>181704.6875</v>
      </c>
      <c r="BN72" s="157">
        <v>3226</v>
      </c>
      <c r="BO72" s="159">
        <f t="shared" si="197"/>
        <v>12674147.5</v>
      </c>
      <c r="BP72" s="160"/>
      <c r="BQ72" s="156">
        <v>7.26</v>
      </c>
      <c r="BR72" s="158">
        <f t="shared" si="198"/>
        <v>28522.724999999999</v>
      </c>
      <c r="BS72" s="156">
        <v>46.55</v>
      </c>
      <c r="BT72" s="159">
        <f t="shared" si="199"/>
        <v>182883.3125</v>
      </c>
      <c r="BU72" s="157">
        <v>3247</v>
      </c>
      <c r="BV72" s="161">
        <f t="shared" si="200"/>
        <v>12756651.25</v>
      </c>
      <c r="BW72" s="157" t="s">
        <v>193</v>
      </c>
      <c r="BX72" s="157">
        <f t="shared" si="201"/>
        <v>3072</v>
      </c>
      <c r="BY72" s="161">
        <f t="shared" si="202"/>
        <v>12069120</v>
      </c>
      <c r="BZ72" s="157">
        <f t="shared" si="203"/>
        <v>44.04</v>
      </c>
      <c r="CA72" s="161">
        <f t="shared" si="204"/>
        <v>173022.15</v>
      </c>
      <c r="CB72" s="156">
        <f t="shared" si="205"/>
        <v>5</v>
      </c>
      <c r="CC72" s="161">
        <f t="shared" si="206"/>
        <v>19643.75</v>
      </c>
      <c r="CD72" s="162">
        <f t="shared" si="207"/>
        <v>3928.75</v>
      </c>
      <c r="CE72" s="163">
        <v>3</v>
      </c>
      <c r="CF72" s="164">
        <v>9.5399999999999991</v>
      </c>
      <c r="CG72" s="165">
        <f>CE72+CF72*(1-CE72/100)</f>
        <v>12.253799999999998</v>
      </c>
      <c r="CH72" s="166">
        <f t="shared" si="209"/>
        <v>48142.116749999994</v>
      </c>
      <c r="CI72" s="167">
        <v>47.66</v>
      </c>
      <c r="CJ72" s="166">
        <f t="shared" si="210"/>
        <v>187244.22499999998</v>
      </c>
      <c r="CK72" s="168">
        <v>5.52</v>
      </c>
      <c r="CL72" s="166">
        <f t="shared" si="211"/>
        <v>21686.699999999997</v>
      </c>
      <c r="CM72" s="167">
        <v>22.07</v>
      </c>
      <c r="CN72" s="166">
        <f t="shared" si="212"/>
        <v>86707.512499999997</v>
      </c>
      <c r="CO72" s="169">
        <f t="shared" si="213"/>
        <v>3266.7862000000005</v>
      </c>
      <c r="CP72" s="166">
        <f t="shared" si="214"/>
        <v>12834386.283250002</v>
      </c>
      <c r="CQ72" s="167">
        <v>3128</v>
      </c>
      <c r="CR72" s="166">
        <f t="shared" si="215"/>
        <v>12289130</v>
      </c>
      <c r="CS72" s="170">
        <f t="shared" si="216"/>
        <v>48.552868331922099</v>
      </c>
      <c r="CT72" s="166">
        <f t="shared" si="217"/>
        <v>190752.08145903895</v>
      </c>
      <c r="CU72" s="168">
        <v>3.75</v>
      </c>
      <c r="CV72" s="166">
        <f t="shared" si="218"/>
        <v>14732.8125</v>
      </c>
      <c r="CW72" s="170">
        <f>((100-CU72)/(100-CK72))*CM72</f>
        <v>22.483462108382728</v>
      </c>
      <c r="CX72" s="166">
        <f t="shared" si="219"/>
        <v>88331.901758308639</v>
      </c>
      <c r="CY72" s="171">
        <f>((100-CU72)/(100-CK72))*CQ72</f>
        <v>3186.6003386960206</v>
      </c>
      <c r="CZ72" s="166">
        <f t="shared" si="220"/>
        <v>12519356.080651991</v>
      </c>
      <c r="DA72" s="170" t="str">
        <f>IF(CY72&gt;=7000,"G1",IF(CY72&gt;=6700,"G2",IF(CY72&gt;=6400,"G3",IF(CY72&gt;=6100,"G4",IF(CY72&gt;=5800,"G5",IF(CY72&gt;=5500,"G6",IF(CY72&gt;=5200,"G7",IF(CY72&gt;=4900,"G8",IF(CY72&gt;=4600,"G9",IF(CY72&gt;=4300,"G10",IF(CY72&gt;=4000,"G11",IF(CY72&gt;=3700,"G12",IF(CY72&gt;=3400,"G13",IF(CY72&gt;=3100,"G14",IF(CY72&gt;=2800,"G15",IF(CY72&gt;=2500,"G16",IF(CY72&gt;=2200,"G17")))))))))))))))))</f>
        <v>G14</v>
      </c>
      <c r="DB72" s="171">
        <f t="shared" si="221"/>
        <v>2905.0604741744282</v>
      </c>
      <c r="DC72" s="166">
        <f t="shared" si="222"/>
        <v>11413256.337912785</v>
      </c>
      <c r="DD72" s="170">
        <f t="shared" si="223"/>
        <v>44.263165664690938</v>
      </c>
      <c r="DE72" s="221">
        <f t="shared" si="224"/>
        <v>173898.91210515451</v>
      </c>
      <c r="DF72" s="222">
        <f t="shared" si="225"/>
        <v>8.5037999999999982</v>
      </c>
      <c r="DG72" s="221">
        <f t="shared" si="226"/>
        <v>33409.304249999994</v>
      </c>
      <c r="DH72" s="172">
        <f t="shared" si="227"/>
        <v>0</v>
      </c>
      <c r="DI72" s="173">
        <f t="shared" si="228"/>
        <v>-60.399661303979428</v>
      </c>
      <c r="DJ72" s="174">
        <f t="shared" si="229"/>
        <v>0</v>
      </c>
      <c r="DK72" s="175">
        <f t="shared" si="230"/>
        <v>3</v>
      </c>
      <c r="DL72" s="176">
        <f t="shared" si="231"/>
        <v>0</v>
      </c>
      <c r="DM72" s="175" t="e">
        <f t="shared" si="232"/>
        <v>#VALUE!</v>
      </c>
      <c r="DN72" s="177"/>
      <c r="DO72" s="178">
        <f t="shared" si="167"/>
        <v>166.93952582557176</v>
      </c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80"/>
      <c r="EC72" s="181">
        <f t="shared" si="233"/>
        <v>60.399661303979428</v>
      </c>
      <c r="EE72" s="181"/>
    </row>
    <row r="73" spans="1:138" s="182" customFormat="1" ht="30">
      <c r="A73" s="74">
        <v>7</v>
      </c>
      <c r="B73" s="74">
        <v>64</v>
      </c>
      <c r="C73" s="138">
        <v>45821</v>
      </c>
      <c r="D73" s="139">
        <v>162001318</v>
      </c>
      <c r="E73" s="138">
        <v>45819</v>
      </c>
      <c r="F73" s="138"/>
      <c r="G73" s="138"/>
      <c r="H73" s="140">
        <v>3953.55</v>
      </c>
      <c r="I73" s="141">
        <v>3953.55</v>
      </c>
      <c r="J73" s="142"/>
      <c r="K73" s="568"/>
      <c r="L73" s="337">
        <v>57</v>
      </c>
      <c r="M73" s="571"/>
      <c r="N73" s="144">
        <v>3953.55</v>
      </c>
      <c r="O73" s="522" t="s">
        <v>202</v>
      </c>
      <c r="P73" s="145" t="s">
        <v>73</v>
      </c>
      <c r="Q73" s="146" t="s">
        <v>66</v>
      </c>
      <c r="R73" s="145"/>
      <c r="S73" s="145" t="s">
        <v>181</v>
      </c>
      <c r="T73" s="145"/>
      <c r="U73" s="147" t="s">
        <v>198</v>
      </c>
      <c r="V73" s="147" t="s">
        <v>199</v>
      </c>
      <c r="W73" s="147">
        <v>3450</v>
      </c>
      <c r="X73" s="519">
        <v>4007.25</v>
      </c>
      <c r="Y73" s="148"/>
      <c r="Z73" s="150"/>
      <c r="AA73" s="149"/>
      <c r="AB73" s="150"/>
      <c r="AC73" s="151"/>
      <c r="AD73" s="151"/>
      <c r="AE73" s="152">
        <f t="shared" si="179"/>
        <v>0</v>
      </c>
      <c r="AF73" s="151"/>
      <c r="AG73" s="152">
        <f t="shared" si="180"/>
        <v>0</v>
      </c>
      <c r="AH73" s="151"/>
      <c r="AI73" s="152">
        <f t="shared" si="181"/>
        <v>0</v>
      </c>
      <c r="AJ73" s="149"/>
      <c r="AK73" s="152">
        <f t="shared" si="182"/>
        <v>0</v>
      </c>
      <c r="AL73" s="149"/>
      <c r="AM73" s="151"/>
      <c r="AN73" s="152">
        <f t="shared" si="183"/>
        <v>0</v>
      </c>
      <c r="AO73" s="151"/>
      <c r="AP73" s="152">
        <f t="shared" si="184"/>
        <v>0</v>
      </c>
      <c r="AQ73" s="174">
        <f t="shared" si="185"/>
        <v>3450</v>
      </c>
      <c r="AR73" s="152">
        <f t="shared" si="186"/>
        <v>13639747.5</v>
      </c>
      <c r="AS73" s="149"/>
      <c r="AT73" s="149">
        <f t="shared" si="187"/>
        <v>3450</v>
      </c>
      <c r="AU73" s="152">
        <f t="shared" si="188"/>
        <v>0</v>
      </c>
      <c r="AV73" s="149">
        <f t="shared" ref="AV73" si="238">ROUND(((100-AD73)/(100-AM73)*AO73),2)</f>
        <v>0</v>
      </c>
      <c r="AW73" s="152">
        <f t="shared" si="189"/>
        <v>0</v>
      </c>
      <c r="AX73" s="151">
        <f t="shared" si="190"/>
        <v>0</v>
      </c>
      <c r="AY73" s="152">
        <f t="shared" si="191"/>
        <v>0</v>
      </c>
      <c r="AZ73" s="153">
        <v>2.4</v>
      </c>
      <c r="BA73" s="153">
        <v>8.09</v>
      </c>
      <c r="BB73" s="153"/>
      <c r="BC73" s="154">
        <f t="shared" si="192"/>
        <v>10.29584</v>
      </c>
      <c r="BD73" s="155">
        <f t="shared" si="193"/>
        <v>40705.118232000001</v>
      </c>
      <c r="BE73" s="156">
        <f t="shared" si="237"/>
        <v>3953.55</v>
      </c>
      <c r="BF73" s="157">
        <v>510</v>
      </c>
      <c r="BG73" s="157" t="s">
        <v>247</v>
      </c>
      <c r="BH73" s="156">
        <v>10.26</v>
      </c>
      <c r="BI73" s="158">
        <f t="shared" si="194"/>
        <v>40563.423000000003</v>
      </c>
      <c r="BJ73" s="156">
        <v>7.77</v>
      </c>
      <c r="BK73" s="158">
        <f t="shared" si="195"/>
        <v>30719.083500000001</v>
      </c>
      <c r="BL73" s="156">
        <v>41.29</v>
      </c>
      <c r="BM73" s="159">
        <f t="shared" si="196"/>
        <v>163242.07949999999</v>
      </c>
      <c r="BN73" s="157">
        <v>3276</v>
      </c>
      <c r="BO73" s="159">
        <f t="shared" si="197"/>
        <v>12951829.800000001</v>
      </c>
      <c r="BP73" s="160"/>
      <c r="BQ73" s="156">
        <v>7.38</v>
      </c>
      <c r="BR73" s="158">
        <f t="shared" si="198"/>
        <v>29177.199000000001</v>
      </c>
      <c r="BS73" s="156">
        <v>41.46</v>
      </c>
      <c r="BT73" s="159">
        <f t="shared" si="199"/>
        <v>163914.18300000002</v>
      </c>
      <c r="BU73" s="157">
        <v>3290</v>
      </c>
      <c r="BV73" s="161">
        <f t="shared" si="200"/>
        <v>13007179.5</v>
      </c>
      <c r="BW73" s="157" t="s">
        <v>193</v>
      </c>
      <c r="BX73" s="157">
        <f t="shared" si="201"/>
        <v>3188</v>
      </c>
      <c r="BY73" s="161">
        <f t="shared" si="202"/>
        <v>12603917.4</v>
      </c>
      <c r="BZ73" s="157">
        <f t="shared" si="203"/>
        <v>40.17</v>
      </c>
      <c r="CA73" s="161">
        <f t="shared" si="204"/>
        <v>158814.10350000003</v>
      </c>
      <c r="CB73" s="156">
        <f t="shared" si="205"/>
        <v>2.88</v>
      </c>
      <c r="CC73" s="161">
        <f t="shared" si="206"/>
        <v>11386.224</v>
      </c>
      <c r="CD73" s="162">
        <f t="shared" si="207"/>
        <v>3953.55</v>
      </c>
      <c r="CE73" s="163">
        <v>2.4</v>
      </c>
      <c r="CF73" s="164">
        <v>8.09</v>
      </c>
      <c r="CG73" s="165">
        <f t="shared" ref="CG73" si="239">CE73+CF73*(1-CE73/100)</f>
        <v>10.29584</v>
      </c>
      <c r="CH73" s="166">
        <f t="shared" si="209"/>
        <v>40705.118232000001</v>
      </c>
      <c r="CI73" s="167">
        <v>45.66</v>
      </c>
      <c r="CJ73" s="166">
        <f t="shared" si="210"/>
        <v>180519.09299999999</v>
      </c>
      <c r="CK73" s="168">
        <v>5.48</v>
      </c>
      <c r="CL73" s="166">
        <f t="shared" si="211"/>
        <v>21665.454000000002</v>
      </c>
      <c r="CM73" s="167">
        <v>23.34</v>
      </c>
      <c r="CN73" s="166">
        <f t="shared" si="212"/>
        <v>92275.857000000004</v>
      </c>
      <c r="CO73" s="169">
        <f t="shared" si="213"/>
        <v>3460.8285999999998</v>
      </c>
      <c r="CP73" s="166">
        <f t="shared" si="214"/>
        <v>13682558.911529999</v>
      </c>
      <c r="CQ73" s="174">
        <v>3700</v>
      </c>
      <c r="CR73" s="166">
        <f t="shared" si="215"/>
        <v>14628135</v>
      </c>
      <c r="CS73" s="170">
        <f t="shared" si="216"/>
        <v>46.123749471011429</v>
      </c>
      <c r="CT73" s="166">
        <f t="shared" si="217"/>
        <v>182352.54972111725</v>
      </c>
      <c r="CU73" s="168">
        <v>4.5199999999999996</v>
      </c>
      <c r="CV73" s="166">
        <f t="shared" si="218"/>
        <v>17870.045999999998</v>
      </c>
      <c r="CW73" s="170">
        <f t="shared" ref="CW73" si="240">((100-CU73)/(100-CK73))*CM73</f>
        <v>23.577054591620822</v>
      </c>
      <c r="CX73" s="166">
        <f t="shared" si="219"/>
        <v>93213.064180702509</v>
      </c>
      <c r="CY73" s="171">
        <f t="shared" ref="CY73" si="241">((100-CU73)/(100-CK73))*CQ73</f>
        <v>3737.5793482860772</v>
      </c>
      <c r="CZ73" s="166">
        <f t="shared" si="220"/>
        <v>14776706.832416421</v>
      </c>
      <c r="DA73" s="170" t="str">
        <f t="shared" ref="DA73" si="242">IF(CY73&gt;=7000,"G1",IF(CY73&gt;=6700,"G2",IF(CY73&gt;=6400,"G3",IF(CY73&gt;=6100,"G4",IF(CY73&gt;=5800,"G5",IF(CY73&gt;=5500,"G6",IF(CY73&gt;=5200,"G7",IF(CY73&gt;=4900,"G8",IF(CY73&gt;=4600,"G9",IF(CY73&gt;=4300,"G10",IF(CY73&gt;=4000,"G11",IF(CY73&gt;=3700,"G12",IF(CY73&gt;=3400,"G13",IF(CY73&gt;=3100,"G14",IF(CY73&gt;=2800,"G15",IF(CY73&gt;=2500,"G16",IF(CY73&gt;=2200,"G17")))))))))))))))))</f>
        <v>G12</v>
      </c>
      <c r="DB73" s="171">
        <f t="shared" si="221"/>
        <v>3511.483199322895</v>
      </c>
      <c r="DC73" s="166">
        <f t="shared" si="222"/>
        <v>13882824.402683033</v>
      </c>
      <c r="DD73" s="170">
        <f t="shared" si="223"/>
        <v>43.333600778671183</v>
      </c>
      <c r="DE73" s="221">
        <f t="shared" si="224"/>
        <v>171321.55735851548</v>
      </c>
      <c r="DF73" s="222">
        <f t="shared" si="225"/>
        <v>5.7758400000000005</v>
      </c>
      <c r="DG73" s="221">
        <f t="shared" si="226"/>
        <v>22835.072232000002</v>
      </c>
      <c r="DH73" s="172">
        <f t="shared" si="227"/>
        <v>2</v>
      </c>
      <c r="DI73" s="173">
        <f t="shared" si="228"/>
        <v>447.57934828607722</v>
      </c>
      <c r="DJ73" s="174">
        <f t="shared" si="229"/>
        <v>0</v>
      </c>
      <c r="DK73" s="175">
        <f t="shared" si="230"/>
        <v>160</v>
      </c>
      <c r="DL73" s="176">
        <f t="shared" si="231"/>
        <v>0</v>
      </c>
      <c r="DM73" s="175" t="e">
        <f t="shared" si="232"/>
        <v>#VALUE!</v>
      </c>
      <c r="DN73" s="177"/>
      <c r="DO73" s="178">
        <f t="shared" si="167"/>
        <v>-323.48319932289496</v>
      </c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80"/>
      <c r="EC73" s="181">
        <f t="shared" si="233"/>
        <v>-447.57934828607722</v>
      </c>
      <c r="EE73" s="181"/>
    </row>
    <row r="74" spans="1:138" s="182" customFormat="1" ht="30">
      <c r="A74" s="74">
        <v>1</v>
      </c>
      <c r="B74" s="74">
        <v>3</v>
      </c>
      <c r="C74" s="138">
        <v>45810</v>
      </c>
      <c r="D74" s="139">
        <v>461000394</v>
      </c>
      <c r="E74" s="138">
        <v>45808</v>
      </c>
      <c r="F74" s="138"/>
      <c r="G74" s="138"/>
      <c r="H74" s="140">
        <v>3917.9</v>
      </c>
      <c r="I74" s="141">
        <v>3917.9</v>
      </c>
      <c r="J74" s="142"/>
      <c r="K74" s="568"/>
      <c r="L74" s="337">
        <v>58</v>
      </c>
      <c r="M74" s="571"/>
      <c r="N74" s="144">
        <v>3917.9</v>
      </c>
      <c r="O74" s="522" t="s">
        <v>209</v>
      </c>
      <c r="P74" s="145" t="s">
        <v>210</v>
      </c>
      <c r="Q74" s="145" t="s">
        <v>53</v>
      </c>
      <c r="R74" s="145"/>
      <c r="S74" s="145" t="s">
        <v>74</v>
      </c>
      <c r="T74" s="145"/>
      <c r="U74" s="147" t="s">
        <v>184</v>
      </c>
      <c r="V74" s="147" t="s">
        <v>195</v>
      </c>
      <c r="W74" s="147">
        <v>3850</v>
      </c>
      <c r="X74" s="519">
        <v>3936.2</v>
      </c>
      <c r="Y74" s="148"/>
      <c r="Z74" s="150"/>
      <c r="AA74" s="149"/>
      <c r="AB74" s="150"/>
      <c r="AC74" s="151"/>
      <c r="AD74" s="151"/>
      <c r="AE74" s="152">
        <f>AD74*$AC74</f>
        <v>0</v>
      </c>
      <c r="AF74" s="151"/>
      <c r="AG74" s="152">
        <f>AF74*$AC74</f>
        <v>0</v>
      </c>
      <c r="AH74" s="151"/>
      <c r="AI74" s="152">
        <f>AH74*$AC74</f>
        <v>0</v>
      </c>
      <c r="AJ74" s="149"/>
      <c r="AK74" s="152">
        <f>AJ74*$AC74</f>
        <v>0</v>
      </c>
      <c r="AL74" s="149"/>
      <c r="AM74" s="151"/>
      <c r="AN74" s="152">
        <f>AM74*$AC74</f>
        <v>0</v>
      </c>
      <c r="AO74" s="151"/>
      <c r="AP74" s="152">
        <f>AO74*$AC74</f>
        <v>0</v>
      </c>
      <c r="AQ74" s="174">
        <v>3850</v>
      </c>
      <c r="AR74" s="152">
        <f t="shared" ref="AR74:AR79" si="243">AQ74*$I74</f>
        <v>15083915</v>
      </c>
      <c r="AS74" s="149"/>
      <c r="AT74" s="149">
        <f t="shared" ref="AT74:AT79" si="244">ROUND(((100-AD74)/(100-AM74)*AQ74),0)</f>
        <v>3850</v>
      </c>
      <c r="AU74" s="152">
        <f>AT74*$AC74</f>
        <v>0</v>
      </c>
      <c r="AV74" s="149">
        <f t="shared" ref="AV74:AV76" si="245">ROUND(((100-AD74)/(100-AM74)*AO74),2)</f>
        <v>0</v>
      </c>
      <c r="AW74" s="152">
        <f>AV74*$AC74</f>
        <v>0</v>
      </c>
      <c r="AX74" s="151">
        <f>$AD74-$AM74</f>
        <v>0</v>
      </c>
      <c r="AY74" s="152">
        <f>AX74*$AC74</f>
        <v>0</v>
      </c>
      <c r="AZ74" s="153">
        <v>5.4</v>
      </c>
      <c r="BA74" s="153">
        <v>6.8949999999999996</v>
      </c>
      <c r="BB74" s="153"/>
      <c r="BC74" s="154">
        <f>AZ74+BA74*(1-(AZ74/100))+BB74*(1-(AZ74+BA74)/100)</f>
        <v>11.92267</v>
      </c>
      <c r="BD74" s="155">
        <f t="shared" ref="BD74:BD79" si="246">BC74*$CD74</f>
        <v>46711.828793000001</v>
      </c>
      <c r="BE74" s="156">
        <f>CD74</f>
        <v>3917.9</v>
      </c>
      <c r="BF74" s="157">
        <v>498</v>
      </c>
      <c r="BG74" s="157" t="s">
        <v>253</v>
      </c>
      <c r="BH74" s="156">
        <v>11.92</v>
      </c>
      <c r="BI74" s="158">
        <f>BH74*$BE74</f>
        <v>46701.368000000002</v>
      </c>
      <c r="BJ74" s="156">
        <v>5.56</v>
      </c>
      <c r="BK74" s="158">
        <f>BJ74*$BE74</f>
        <v>21783.523999999998</v>
      </c>
      <c r="BL74" s="156">
        <v>40.32</v>
      </c>
      <c r="BM74" s="159">
        <f>BL74*$BE74</f>
        <v>157969.728</v>
      </c>
      <c r="BN74" s="157">
        <v>3954</v>
      </c>
      <c r="BO74" s="159">
        <f>BN74*$BE74</f>
        <v>15491376.6</v>
      </c>
      <c r="BP74" s="160"/>
      <c r="BQ74" s="156">
        <v>4.18</v>
      </c>
      <c r="BR74" s="158">
        <f>BQ74*$BE74</f>
        <v>16376.822</v>
      </c>
      <c r="BS74" s="156">
        <v>40.909999999999997</v>
      </c>
      <c r="BT74" s="159">
        <f>BS74*$BE74</f>
        <v>160281.28899999999</v>
      </c>
      <c r="BU74" s="157">
        <v>4012</v>
      </c>
      <c r="BV74" s="161">
        <f>BU74*$I74</f>
        <v>15718614.800000001</v>
      </c>
      <c r="BW74" s="157" t="s">
        <v>185</v>
      </c>
      <c r="BX74" s="157">
        <f t="shared" ref="BX74:BX79" si="247">ROUND(((100-BH74)/(100-BQ74)*BU74),0)</f>
        <v>3688</v>
      </c>
      <c r="BY74" s="161">
        <f>BX74*$I74</f>
        <v>14449215.200000001</v>
      </c>
      <c r="BZ74" s="157">
        <f t="shared" ref="BZ74:BZ79" si="248">ROUND(((100-BH74)/(100-BQ74)*BS74),2)</f>
        <v>37.61</v>
      </c>
      <c r="CA74" s="161">
        <f>BZ74*$BE74</f>
        <v>147352.21900000001</v>
      </c>
      <c r="CB74" s="156">
        <f t="shared" ref="CB74:CB79" si="249">BH74-BQ74</f>
        <v>7.74</v>
      </c>
      <c r="CC74" s="161">
        <f>CB74*$BE74</f>
        <v>30324.546000000002</v>
      </c>
      <c r="CD74" s="162">
        <f>N74</f>
        <v>3917.9</v>
      </c>
      <c r="CE74" s="163">
        <v>4</v>
      </c>
      <c r="CF74" s="164">
        <v>7.46</v>
      </c>
      <c r="CG74" s="165">
        <f t="shared" ref="CG74:CG76" si="250">CE74+CF74*(1-CE74/100)</f>
        <v>11.1616</v>
      </c>
      <c r="CH74" s="166">
        <f>CG74*$CD74</f>
        <v>43730.032639999998</v>
      </c>
      <c r="CI74" s="167">
        <v>41.72</v>
      </c>
      <c r="CJ74" s="166">
        <f>CI74*$CD74</f>
        <v>163454.788</v>
      </c>
      <c r="CK74" s="168">
        <v>4.07</v>
      </c>
      <c r="CL74" s="166">
        <f>CK74*$CD74</f>
        <v>15945.853000000001</v>
      </c>
      <c r="CM74" s="167">
        <v>27.72</v>
      </c>
      <c r="CN74" s="166">
        <f>CM74*$CD74</f>
        <v>108604.18799999999</v>
      </c>
      <c r="CO74" s="169">
        <f t="shared" ref="CO74:CO79" si="251">8555.56-(145.56*CK74+94.11*CI74)</f>
        <v>4036.8616000000002</v>
      </c>
      <c r="CP74" s="166">
        <f>CO74*$CD74</f>
        <v>15816020.062640002</v>
      </c>
      <c r="CQ74" s="167">
        <v>3723</v>
      </c>
      <c r="CR74" s="166">
        <f>CQ74*$CD74</f>
        <v>14586341.700000001</v>
      </c>
      <c r="CS74" s="170">
        <f t="shared" ref="CS74:CS79" si="252">((100-CU74)/(100-CK74))*CI74</f>
        <v>42.311464609611171</v>
      </c>
      <c r="CT74" s="166">
        <f>CS74*$CD74</f>
        <v>165772.0871939956</v>
      </c>
      <c r="CU74" s="168">
        <v>2.71</v>
      </c>
      <c r="CV74" s="166">
        <f>CU74*$CD74</f>
        <v>10617.509</v>
      </c>
      <c r="CW74" s="170">
        <f>((100-CU74)/(100-CK74))*CM74</f>
        <v>28.112986552694668</v>
      </c>
      <c r="CX74" s="166">
        <f>CW74*$CD74</f>
        <v>110143.87001480244</v>
      </c>
      <c r="CY74" s="171">
        <f>((100-CU74)/(100-CK74))*CQ74</f>
        <v>3775.7809861357237</v>
      </c>
      <c r="CZ74" s="166">
        <f>CY74*$CD74</f>
        <v>14793132.325581152</v>
      </c>
      <c r="DA74" s="170" t="str">
        <f>IF(CY74&gt;=7000,"G1",IF(CY74&gt;=6700,"G2",IF(CY74&gt;=6400,"G3",IF(CY74&gt;=6100,"G4",IF(CY74&gt;=5800,"G5",IF(CY74&gt;=5500,"G6",IF(CY74&gt;=5200,"G7",IF(CY74&gt;=4900,"G8",IF(CY74&gt;=4600,"G9",IF(CY74&gt;=4300,"G10",IF(CY74&gt;=4000,"G11",IF(CY74&gt;=3700,"G12",IF(CY74&gt;=3400,"G13",IF(CY74&gt;=3100,"G14",IF(CY74&gt;=2800,"G15",IF(CY74&gt;=2500,"G16",IF(CY74&gt;=2200,"G17")))))))))))))))))</f>
        <v>G12</v>
      </c>
      <c r="DB74" s="171">
        <f t="shared" ref="DB74:DB79" si="253">((100-CG74)/(100-CK74))*CQ74</f>
        <v>3447.778204941103</v>
      </c>
      <c r="DC74" s="166">
        <f t="shared" ref="DC74:DC79" si="254">DB74*$CD74</f>
        <v>13508050.229138749</v>
      </c>
      <c r="DD74" s="170">
        <f t="shared" ref="DD74:DD79" si="255">((100-CG74)/(100-CK74))*CI74</f>
        <v>38.635859981236322</v>
      </c>
      <c r="DE74" s="221">
        <f t="shared" ref="DE74:DE79" si="256">DD74*$CD74</f>
        <v>151371.43582048579</v>
      </c>
      <c r="DF74" s="222">
        <f t="shared" ref="DF74:DF79" si="257">CG74-CU74</f>
        <v>8.4515999999999991</v>
      </c>
      <c r="DG74" s="221">
        <f t="shared" ref="DG74:DG79" si="258">DF74*$CD74</f>
        <v>33112.523639999999</v>
      </c>
      <c r="DH74" s="172">
        <f t="shared" ref="DH74:DH79" si="259">MID(U74,2,LEN(U74))-MID(DA74,2,LEN(DA74))</f>
        <v>0</v>
      </c>
      <c r="DI74" s="173">
        <f t="shared" ref="DI74:DI79" si="260">$CY74-$BU74</f>
        <v>-236.21901386427635</v>
      </c>
      <c r="DJ74" s="174">
        <f t="shared" ref="DJ74:DJ79" si="261">MID(U74,2,LEN(U74))-MID(BW74,2,LEN(BW74))</f>
        <v>1</v>
      </c>
      <c r="DK74" s="175">
        <f t="shared" ref="DK74:DK79" si="262">$AQ74-$BU74</f>
        <v>-162</v>
      </c>
      <c r="DL74" s="176">
        <f t="shared" ref="DL74:DL79" si="263">MID(U74,2,LEN(U74))-MID(BW74,2,LEN(BW74))</f>
        <v>1</v>
      </c>
      <c r="DM74" s="175" t="e">
        <f t="shared" ref="DM74:DM79" si="264">MID(U74,2,LEN(U74))-MID(AS74,2,LEN(AS74))</f>
        <v>#VALUE!</v>
      </c>
      <c r="DN74" s="177"/>
      <c r="DO74" s="178">
        <f t="shared" si="167"/>
        <v>240.22179505889699</v>
      </c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80"/>
      <c r="EC74" s="181">
        <f t="shared" si="233"/>
        <v>236.21901386427635</v>
      </c>
      <c r="EE74" s="181">
        <f t="shared" ref="EE74:EE76" si="265">BX74-DB74</f>
        <v>240.22179505889699</v>
      </c>
    </row>
    <row r="75" spans="1:138" s="182" customFormat="1" ht="30">
      <c r="A75" s="74">
        <v>4</v>
      </c>
      <c r="B75" s="74">
        <v>13</v>
      </c>
      <c r="C75" s="138">
        <v>45811</v>
      </c>
      <c r="D75" s="139">
        <v>451000347</v>
      </c>
      <c r="E75" s="138">
        <v>45810</v>
      </c>
      <c r="F75" s="138"/>
      <c r="G75" s="138"/>
      <c r="H75" s="140">
        <v>3878.5</v>
      </c>
      <c r="I75" s="141">
        <v>3878.5</v>
      </c>
      <c r="J75" s="142"/>
      <c r="K75" s="568"/>
      <c r="L75" s="337">
        <v>56</v>
      </c>
      <c r="M75" s="571"/>
      <c r="N75" s="144">
        <v>3878.5</v>
      </c>
      <c r="O75" s="522" t="s">
        <v>209</v>
      </c>
      <c r="P75" s="145" t="s">
        <v>210</v>
      </c>
      <c r="Q75" s="145" t="s">
        <v>53</v>
      </c>
      <c r="R75" s="145"/>
      <c r="S75" s="145" t="s">
        <v>74</v>
      </c>
      <c r="T75" s="145"/>
      <c r="U75" s="147" t="s">
        <v>184</v>
      </c>
      <c r="V75" s="147" t="s">
        <v>195</v>
      </c>
      <c r="W75" s="147">
        <v>3850</v>
      </c>
      <c r="X75" s="519">
        <v>3893.4</v>
      </c>
      <c r="Y75" s="148"/>
      <c r="Z75" s="150"/>
      <c r="AA75" s="149"/>
      <c r="AB75" s="150"/>
      <c r="AC75" s="151"/>
      <c r="AD75" s="151"/>
      <c r="AE75" s="152">
        <f t="shared" ref="AE75:AE79" si="266">AD75*$AC75</f>
        <v>0</v>
      </c>
      <c r="AF75" s="151"/>
      <c r="AG75" s="152">
        <f t="shared" ref="AG75:AG79" si="267">AF75*$AC75</f>
        <v>0</v>
      </c>
      <c r="AH75" s="151"/>
      <c r="AI75" s="152">
        <f t="shared" ref="AI75:AI79" si="268">AH75*$AC75</f>
        <v>0</v>
      </c>
      <c r="AJ75" s="149"/>
      <c r="AK75" s="152">
        <f t="shared" ref="AK75:AK79" si="269">AJ75*$AC75</f>
        <v>0</v>
      </c>
      <c r="AL75" s="149"/>
      <c r="AM75" s="151"/>
      <c r="AN75" s="152">
        <f t="shared" ref="AN75:AN79" si="270">AM75*$AC75</f>
        <v>0</v>
      </c>
      <c r="AO75" s="151"/>
      <c r="AP75" s="152">
        <f t="shared" ref="AP75:AP79" si="271">AO75*$AC75</f>
        <v>0</v>
      </c>
      <c r="AQ75" s="174">
        <v>3850</v>
      </c>
      <c r="AR75" s="152">
        <f t="shared" si="243"/>
        <v>14932225</v>
      </c>
      <c r="AS75" s="149"/>
      <c r="AT75" s="149">
        <f t="shared" si="244"/>
        <v>3850</v>
      </c>
      <c r="AU75" s="152">
        <f t="shared" ref="AU75:AU79" si="272">AT75*$AC75</f>
        <v>0</v>
      </c>
      <c r="AV75" s="149">
        <f t="shared" si="245"/>
        <v>0</v>
      </c>
      <c r="AW75" s="152">
        <f t="shared" ref="AW75:AW79" si="273">AV75*$AC75</f>
        <v>0</v>
      </c>
      <c r="AX75" s="151">
        <f t="shared" ref="AX75:AX79" si="274">$AD75-$AM75</f>
        <v>0</v>
      </c>
      <c r="AY75" s="152">
        <f t="shared" ref="AY75:AY79" si="275">AX75*$AC75</f>
        <v>0</v>
      </c>
      <c r="AZ75" s="153">
        <v>4.5999999999999996</v>
      </c>
      <c r="BA75" s="153">
        <v>7.6909999999999998</v>
      </c>
      <c r="BB75" s="153"/>
      <c r="BC75" s="154">
        <f t="shared" ref="BC75:BC79" si="276">AZ75+BA75*(1-(AZ75/100))+BB75*(1-(AZ75+BA75)/100)</f>
        <v>11.937213999999999</v>
      </c>
      <c r="BD75" s="155">
        <f t="shared" si="246"/>
        <v>46298.484498999998</v>
      </c>
      <c r="BE75" s="156">
        <f t="shared" ref="BE75:BE79" si="277">CD75</f>
        <v>3878.5</v>
      </c>
      <c r="BF75" s="157">
        <v>501</v>
      </c>
      <c r="BG75" s="157" t="s">
        <v>238</v>
      </c>
      <c r="BH75" s="156">
        <v>11.94</v>
      </c>
      <c r="BI75" s="158">
        <f t="shared" ref="BI75:BI77" si="278">BH75*$BE75</f>
        <v>46309.29</v>
      </c>
      <c r="BJ75" s="156">
        <v>6.02</v>
      </c>
      <c r="BK75" s="158">
        <f t="shared" ref="BK75:BK77" si="279">BJ75*$BE75</f>
        <v>23348.57</v>
      </c>
      <c r="BL75" s="156">
        <v>39.17</v>
      </c>
      <c r="BM75" s="159">
        <f t="shared" ref="BM75:BM77" si="280">BL75*$BE75</f>
        <v>151920.845</v>
      </c>
      <c r="BN75" s="157">
        <v>3801</v>
      </c>
      <c r="BO75" s="159">
        <f t="shared" ref="BO75:BO79" si="281">BN75*$BE75</f>
        <v>14742178.5</v>
      </c>
      <c r="BP75" s="160"/>
      <c r="BQ75" s="156">
        <v>5.57</v>
      </c>
      <c r="BR75" s="158">
        <f t="shared" ref="BR75:BR79" si="282">BQ75*$BE75</f>
        <v>21603.245000000003</v>
      </c>
      <c r="BS75" s="156">
        <v>39.36</v>
      </c>
      <c r="BT75" s="159">
        <f t="shared" ref="BT75:BT79" si="283">BS75*$BE75</f>
        <v>152657.76</v>
      </c>
      <c r="BU75" s="157">
        <v>3819</v>
      </c>
      <c r="BV75" s="161">
        <f t="shared" ref="BV75:BV79" si="284">BU75*$I75</f>
        <v>14811991.5</v>
      </c>
      <c r="BW75" s="157" t="s">
        <v>184</v>
      </c>
      <c r="BX75" s="157">
        <f t="shared" si="247"/>
        <v>3561</v>
      </c>
      <c r="BY75" s="161">
        <f t="shared" ref="BY75:BY79" si="285">BX75*$I75</f>
        <v>13811338.5</v>
      </c>
      <c r="BZ75" s="157">
        <f t="shared" si="248"/>
        <v>36.700000000000003</v>
      </c>
      <c r="CA75" s="161">
        <f t="shared" ref="CA75:CA79" si="286">BZ75*$BE75</f>
        <v>142340.95000000001</v>
      </c>
      <c r="CB75" s="156">
        <f t="shared" si="249"/>
        <v>6.3699999999999992</v>
      </c>
      <c r="CC75" s="161">
        <f t="shared" ref="CC75:CC79" si="287">CB75*$BE75</f>
        <v>24706.044999999998</v>
      </c>
      <c r="CD75" s="162">
        <f t="shared" ref="CD75:CD79" si="288">N75</f>
        <v>3878.5</v>
      </c>
      <c r="CE75" s="163">
        <v>4.5999999999999996</v>
      </c>
      <c r="CF75" s="164">
        <v>7.45</v>
      </c>
      <c r="CG75" s="165">
        <f t="shared" si="250"/>
        <v>11.7073</v>
      </c>
      <c r="CH75" s="166">
        <f>CG75*$CD75</f>
        <v>45406.763050000001</v>
      </c>
      <c r="CI75" s="167">
        <v>39.29</v>
      </c>
      <c r="CJ75" s="166">
        <f t="shared" ref="CJ75:CJ79" si="289">CI75*$CD75</f>
        <v>152386.26499999998</v>
      </c>
      <c r="CK75" s="168">
        <v>4.28</v>
      </c>
      <c r="CL75" s="166">
        <f t="shared" ref="CL75:CL79" si="290">CK75*$CD75</f>
        <v>16599.98</v>
      </c>
      <c r="CM75" s="167">
        <v>26.78</v>
      </c>
      <c r="CN75" s="166">
        <f t="shared" ref="CN75:CN79" si="291">CM75*$CD75</f>
        <v>103866.23000000001</v>
      </c>
      <c r="CO75" s="169">
        <f t="shared" si="251"/>
        <v>4234.9812999999995</v>
      </c>
      <c r="CP75" s="166">
        <f t="shared" ref="CP75:CP79" si="292">CO75*$CD75</f>
        <v>16425374.972049998</v>
      </c>
      <c r="CQ75" s="167">
        <v>3834</v>
      </c>
      <c r="CR75" s="166">
        <f t="shared" ref="CR75:CR79" si="293">CQ75*$CD75</f>
        <v>14870169</v>
      </c>
      <c r="CS75" s="170">
        <f t="shared" si="252"/>
        <v>39.913911408274132</v>
      </c>
      <c r="CT75" s="166">
        <f t="shared" ref="CT75:CT79" si="294">CS75*$CD75</f>
        <v>154806.10539699122</v>
      </c>
      <c r="CU75" s="168">
        <v>2.76</v>
      </c>
      <c r="CV75" s="166">
        <f t="shared" ref="CV75:CV79" si="295">CU75*$CD75</f>
        <v>10704.66</v>
      </c>
      <c r="CW75" s="170">
        <f t="shared" ref="CW75:CW76" si="296">((100-CU75)/(100-CK75))*CM75</f>
        <v>27.205256999582115</v>
      </c>
      <c r="CX75" s="166">
        <f t="shared" ref="CX75:CX79" si="297">CW75*$CD75</f>
        <v>105515.58927287924</v>
      </c>
      <c r="CY75" s="171">
        <f t="shared" ref="CY75:CY76" si="298">((100-CU75)/(100-CK75))*CQ75</f>
        <v>3894.8825741746764</v>
      </c>
      <c r="CZ75" s="166">
        <f t="shared" ref="CZ75:CZ79" si="299">CY75*$CD75</f>
        <v>15106302.063936483</v>
      </c>
      <c r="DA75" s="170" t="str">
        <f t="shared" ref="DA75:DA76" si="300">IF(CY75&gt;=7000,"G1",IF(CY75&gt;=6700,"G2",IF(CY75&gt;=6400,"G3",IF(CY75&gt;=6100,"G4",IF(CY75&gt;=5800,"G5",IF(CY75&gt;=5500,"G6",IF(CY75&gt;=5200,"G7",IF(CY75&gt;=4900,"G8",IF(CY75&gt;=4600,"G9",IF(CY75&gt;=4300,"G10",IF(CY75&gt;=4000,"G11",IF(CY75&gt;=3700,"G12",IF(CY75&gt;=3400,"G13",IF(CY75&gt;=3100,"G14",IF(CY75&gt;=2800,"G15",IF(CY75&gt;=2500,"G16",IF(CY75&gt;=2200,"G17")))))))))))))))))</f>
        <v>G12</v>
      </c>
      <c r="DB75" s="171">
        <f t="shared" si="253"/>
        <v>3536.5045110739657</v>
      </c>
      <c r="DC75" s="166">
        <f t="shared" si="254"/>
        <v>13716332.746200375</v>
      </c>
      <c r="DD75" s="170">
        <f t="shared" si="255"/>
        <v>36.241330787714169</v>
      </c>
      <c r="DE75" s="221">
        <f t="shared" si="256"/>
        <v>140562.00146014942</v>
      </c>
      <c r="DF75" s="222">
        <f t="shared" si="257"/>
        <v>8.9473000000000003</v>
      </c>
      <c r="DG75" s="221">
        <f t="shared" si="258"/>
        <v>34702.103049999998</v>
      </c>
      <c r="DH75" s="172">
        <f t="shared" si="259"/>
        <v>0</v>
      </c>
      <c r="DI75" s="173">
        <f t="shared" si="260"/>
        <v>75.882574174676392</v>
      </c>
      <c r="DJ75" s="174">
        <f t="shared" si="261"/>
        <v>0</v>
      </c>
      <c r="DK75" s="175">
        <f t="shared" si="262"/>
        <v>31</v>
      </c>
      <c r="DL75" s="176">
        <f t="shared" si="263"/>
        <v>0</v>
      </c>
      <c r="DM75" s="175" t="e">
        <f t="shared" si="264"/>
        <v>#VALUE!</v>
      </c>
      <c r="DN75" s="177"/>
      <c r="DO75" s="178">
        <f t="shared" si="167"/>
        <v>24.495488926034341</v>
      </c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80"/>
      <c r="EC75" s="181">
        <f t="shared" si="233"/>
        <v>-75.882574174676392</v>
      </c>
      <c r="EE75" s="181">
        <f t="shared" si="265"/>
        <v>24.495488926034341</v>
      </c>
    </row>
    <row r="76" spans="1:138" s="182" customFormat="1" ht="30">
      <c r="A76" s="74">
        <v>8</v>
      </c>
      <c r="B76" s="74">
        <v>32</v>
      </c>
      <c r="C76" s="138">
        <v>45816</v>
      </c>
      <c r="D76" s="139">
        <v>461000398</v>
      </c>
      <c r="E76" s="138">
        <v>45814</v>
      </c>
      <c r="F76" s="138"/>
      <c r="G76" s="138"/>
      <c r="H76" s="140">
        <v>3683.6</v>
      </c>
      <c r="I76" s="141">
        <v>3683.6</v>
      </c>
      <c r="J76" s="142"/>
      <c r="K76" s="568"/>
      <c r="L76" s="337">
        <v>56</v>
      </c>
      <c r="M76" s="571"/>
      <c r="N76" s="144">
        <v>3683.6</v>
      </c>
      <c r="O76" s="522" t="s">
        <v>209</v>
      </c>
      <c r="P76" s="145" t="s">
        <v>210</v>
      </c>
      <c r="Q76" s="145" t="s">
        <v>53</v>
      </c>
      <c r="R76" s="145"/>
      <c r="S76" s="145" t="s">
        <v>74</v>
      </c>
      <c r="T76" s="145"/>
      <c r="U76" s="147" t="s">
        <v>184</v>
      </c>
      <c r="V76" s="147" t="s">
        <v>195</v>
      </c>
      <c r="W76" s="147">
        <v>3850</v>
      </c>
      <c r="X76" s="519">
        <v>3696.21</v>
      </c>
      <c r="Y76" s="148"/>
      <c r="Z76" s="150"/>
      <c r="AA76" s="149"/>
      <c r="AB76" s="150"/>
      <c r="AC76" s="151"/>
      <c r="AD76" s="151"/>
      <c r="AE76" s="152">
        <f t="shared" si="266"/>
        <v>0</v>
      </c>
      <c r="AF76" s="151"/>
      <c r="AG76" s="152">
        <f t="shared" si="267"/>
        <v>0</v>
      </c>
      <c r="AH76" s="151"/>
      <c r="AI76" s="152">
        <f t="shared" si="268"/>
        <v>0</v>
      </c>
      <c r="AJ76" s="149"/>
      <c r="AK76" s="152">
        <f t="shared" si="269"/>
        <v>0</v>
      </c>
      <c r="AL76" s="149"/>
      <c r="AM76" s="151"/>
      <c r="AN76" s="152">
        <f t="shared" si="270"/>
        <v>0</v>
      </c>
      <c r="AO76" s="151"/>
      <c r="AP76" s="152">
        <f t="shared" si="271"/>
        <v>0</v>
      </c>
      <c r="AQ76" s="174">
        <v>3850</v>
      </c>
      <c r="AR76" s="152">
        <f t="shared" si="243"/>
        <v>14181860</v>
      </c>
      <c r="AS76" s="149"/>
      <c r="AT76" s="149">
        <f t="shared" si="244"/>
        <v>3850</v>
      </c>
      <c r="AU76" s="152">
        <f t="shared" si="272"/>
        <v>0</v>
      </c>
      <c r="AV76" s="149">
        <f t="shared" si="245"/>
        <v>0</v>
      </c>
      <c r="AW76" s="152">
        <f t="shared" si="273"/>
        <v>0</v>
      </c>
      <c r="AX76" s="151">
        <f t="shared" si="274"/>
        <v>0</v>
      </c>
      <c r="AY76" s="152">
        <f t="shared" si="275"/>
        <v>0</v>
      </c>
      <c r="AZ76" s="153">
        <v>5.6</v>
      </c>
      <c r="BA76" s="153">
        <v>7.0279999999999996</v>
      </c>
      <c r="BB76" s="153"/>
      <c r="BC76" s="154">
        <f t="shared" si="276"/>
        <v>12.234431999999998</v>
      </c>
      <c r="BD76" s="155">
        <f t="shared" si="246"/>
        <v>45066.753715199993</v>
      </c>
      <c r="BE76" s="156">
        <f t="shared" si="277"/>
        <v>3683.6</v>
      </c>
      <c r="BF76" s="157">
        <v>504</v>
      </c>
      <c r="BG76" s="157" t="s">
        <v>244</v>
      </c>
      <c r="BH76" s="156">
        <v>12.23</v>
      </c>
      <c r="BI76" s="158">
        <f t="shared" si="278"/>
        <v>45050.428</v>
      </c>
      <c r="BJ76" s="156">
        <v>8.5299999999999994</v>
      </c>
      <c r="BK76" s="158">
        <f t="shared" si="279"/>
        <v>31421.107999999997</v>
      </c>
      <c r="BL76" s="156">
        <v>40.869999999999997</v>
      </c>
      <c r="BM76" s="159">
        <f t="shared" si="280"/>
        <v>150548.73199999999</v>
      </c>
      <c r="BN76" s="157">
        <v>3720</v>
      </c>
      <c r="BO76" s="159">
        <f t="shared" si="281"/>
        <v>13702992</v>
      </c>
      <c r="BP76" s="160"/>
      <c r="BQ76" s="156">
        <v>8.23</v>
      </c>
      <c r="BR76" s="158">
        <f t="shared" si="282"/>
        <v>30316.028000000002</v>
      </c>
      <c r="BS76" s="156">
        <v>41</v>
      </c>
      <c r="BT76" s="159">
        <f t="shared" si="283"/>
        <v>151027.6</v>
      </c>
      <c r="BU76" s="157">
        <v>3732</v>
      </c>
      <c r="BV76" s="161">
        <f t="shared" si="284"/>
        <v>13747195.199999999</v>
      </c>
      <c r="BW76" s="157" t="s">
        <v>184</v>
      </c>
      <c r="BX76" s="157">
        <f t="shared" si="247"/>
        <v>3569</v>
      </c>
      <c r="BY76" s="161">
        <f t="shared" si="285"/>
        <v>13146768.4</v>
      </c>
      <c r="BZ76" s="157">
        <f t="shared" si="248"/>
        <v>39.21</v>
      </c>
      <c r="CA76" s="161">
        <f t="shared" si="286"/>
        <v>144433.95600000001</v>
      </c>
      <c r="CB76" s="156">
        <f t="shared" si="249"/>
        <v>4</v>
      </c>
      <c r="CC76" s="161">
        <f t="shared" si="287"/>
        <v>14734.4</v>
      </c>
      <c r="CD76" s="162">
        <f t="shared" si="288"/>
        <v>3683.6</v>
      </c>
      <c r="CE76" s="163">
        <v>5.3</v>
      </c>
      <c r="CF76" s="164">
        <v>7.16</v>
      </c>
      <c r="CG76" s="165">
        <f t="shared" si="250"/>
        <v>12.08052</v>
      </c>
      <c r="CH76" s="166">
        <f t="shared" ref="CH76:CH79" si="301">CG76*$CD76</f>
        <v>44499.803472</v>
      </c>
      <c r="CI76" s="167">
        <v>42.09</v>
      </c>
      <c r="CJ76" s="166">
        <f t="shared" si="289"/>
        <v>155042.72400000002</v>
      </c>
      <c r="CK76" s="168">
        <v>3.44</v>
      </c>
      <c r="CL76" s="166">
        <f t="shared" si="290"/>
        <v>12671.583999999999</v>
      </c>
      <c r="CM76" s="167">
        <v>27.03</v>
      </c>
      <c r="CN76" s="166">
        <f t="shared" si="291"/>
        <v>99567.707999999999</v>
      </c>
      <c r="CO76" s="169">
        <f t="shared" si="251"/>
        <v>4093.7436999999991</v>
      </c>
      <c r="CP76" s="166">
        <f t="shared" si="292"/>
        <v>15079714.293319996</v>
      </c>
      <c r="CQ76" s="167">
        <v>3779</v>
      </c>
      <c r="CR76" s="166">
        <f t="shared" si="293"/>
        <v>13920324.4</v>
      </c>
      <c r="CS76" s="170">
        <f t="shared" si="252"/>
        <v>42.246922120961067</v>
      </c>
      <c r="CT76" s="166">
        <f t="shared" si="294"/>
        <v>155620.76232477219</v>
      </c>
      <c r="CU76" s="168">
        <v>3.08</v>
      </c>
      <c r="CV76" s="166">
        <f t="shared" si="295"/>
        <v>11345.487999999999</v>
      </c>
      <c r="CW76" s="170">
        <f t="shared" si="296"/>
        <v>27.130774647887325</v>
      </c>
      <c r="CX76" s="166">
        <f t="shared" si="297"/>
        <v>99938.921492957743</v>
      </c>
      <c r="CY76" s="171">
        <f t="shared" si="298"/>
        <v>3793.0890637945322</v>
      </c>
      <c r="CZ76" s="166">
        <f t="shared" si="299"/>
        <v>13972222.875393538</v>
      </c>
      <c r="DA76" s="170" t="str">
        <f t="shared" si="300"/>
        <v>G12</v>
      </c>
      <c r="DB76" s="171">
        <f t="shared" si="253"/>
        <v>3440.8421180613086</v>
      </c>
      <c r="DC76" s="166">
        <f t="shared" si="254"/>
        <v>12674686.026090637</v>
      </c>
      <c r="DD76" s="170">
        <f t="shared" si="255"/>
        <v>38.323642431648715</v>
      </c>
      <c r="DE76" s="221">
        <f t="shared" si="256"/>
        <v>141168.96926122121</v>
      </c>
      <c r="DF76" s="222">
        <f t="shared" si="257"/>
        <v>9.0005199999999999</v>
      </c>
      <c r="DG76" s="221">
        <f t="shared" si="258"/>
        <v>33154.315472000002</v>
      </c>
      <c r="DH76" s="172">
        <f t="shared" si="259"/>
        <v>0</v>
      </c>
      <c r="DI76" s="173">
        <f t="shared" si="260"/>
        <v>61.089063794532194</v>
      </c>
      <c r="DJ76" s="174">
        <f t="shared" si="261"/>
        <v>0</v>
      </c>
      <c r="DK76" s="175">
        <f t="shared" si="262"/>
        <v>118</v>
      </c>
      <c r="DL76" s="176">
        <f t="shared" si="263"/>
        <v>0</v>
      </c>
      <c r="DM76" s="175" t="e">
        <f t="shared" si="264"/>
        <v>#VALUE!</v>
      </c>
      <c r="DN76" s="177"/>
      <c r="DO76" s="178">
        <f t="shared" si="167"/>
        <v>128.15788193869139</v>
      </c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80"/>
      <c r="EC76" s="181">
        <f t="shared" si="233"/>
        <v>-61.089063794532194</v>
      </c>
      <c r="EE76" s="181">
        <f t="shared" si="265"/>
        <v>128.15788193869139</v>
      </c>
    </row>
    <row r="77" spans="1:138" s="182" customFormat="1" ht="30">
      <c r="A77" s="74">
        <v>14</v>
      </c>
      <c r="B77" s="74">
        <v>68</v>
      </c>
      <c r="C77" s="138">
        <v>45822</v>
      </c>
      <c r="D77" s="139">
        <v>461000403</v>
      </c>
      <c r="E77" s="138">
        <v>45820</v>
      </c>
      <c r="F77" s="138"/>
      <c r="G77" s="138"/>
      <c r="H77" s="140">
        <v>3624.25</v>
      </c>
      <c r="I77" s="141">
        <v>3624.25</v>
      </c>
      <c r="J77" s="142"/>
      <c r="K77" s="568"/>
      <c r="L77" s="337">
        <v>54</v>
      </c>
      <c r="M77" s="571"/>
      <c r="N77" s="144">
        <v>3624.25</v>
      </c>
      <c r="O77" s="522" t="s">
        <v>209</v>
      </c>
      <c r="P77" s="145" t="s">
        <v>210</v>
      </c>
      <c r="Q77" s="145" t="s">
        <v>53</v>
      </c>
      <c r="R77" s="145"/>
      <c r="S77" s="145" t="s">
        <v>74</v>
      </c>
      <c r="T77" s="145"/>
      <c r="U77" s="147" t="s">
        <v>184</v>
      </c>
      <c r="V77" s="147" t="s">
        <v>195</v>
      </c>
      <c r="W77" s="147">
        <v>3850</v>
      </c>
      <c r="X77" s="519">
        <v>3631.89</v>
      </c>
      <c r="Y77" s="148"/>
      <c r="Z77" s="150"/>
      <c r="AA77" s="149"/>
      <c r="AB77" s="150"/>
      <c r="AC77" s="151"/>
      <c r="AD77" s="151"/>
      <c r="AE77" s="152">
        <f t="shared" si="266"/>
        <v>0</v>
      </c>
      <c r="AF77" s="151"/>
      <c r="AG77" s="152">
        <f t="shared" si="267"/>
        <v>0</v>
      </c>
      <c r="AH77" s="151"/>
      <c r="AI77" s="152">
        <f t="shared" si="268"/>
        <v>0</v>
      </c>
      <c r="AJ77" s="149"/>
      <c r="AK77" s="152">
        <f t="shared" si="269"/>
        <v>0</v>
      </c>
      <c r="AL77" s="149"/>
      <c r="AM77" s="151"/>
      <c r="AN77" s="152">
        <f t="shared" si="270"/>
        <v>0</v>
      </c>
      <c r="AO77" s="151"/>
      <c r="AP77" s="152">
        <f t="shared" si="271"/>
        <v>0</v>
      </c>
      <c r="AQ77" s="174">
        <v>3850</v>
      </c>
      <c r="AR77" s="152">
        <f t="shared" si="243"/>
        <v>13953362.5</v>
      </c>
      <c r="AS77" s="149"/>
      <c r="AT77" s="149">
        <f t="shared" si="244"/>
        <v>3850</v>
      </c>
      <c r="AU77" s="152">
        <f t="shared" si="272"/>
        <v>0</v>
      </c>
      <c r="AV77" s="149">
        <f>ROUND(((100-AD77)/(100-AM77)*AO77),2)</f>
        <v>0</v>
      </c>
      <c r="AW77" s="152">
        <f t="shared" si="273"/>
        <v>0</v>
      </c>
      <c r="AX77" s="151">
        <f t="shared" si="274"/>
        <v>0</v>
      </c>
      <c r="AY77" s="152">
        <f t="shared" si="275"/>
        <v>0</v>
      </c>
      <c r="AZ77" s="153">
        <v>4.7</v>
      </c>
      <c r="BA77" s="153">
        <v>7.19</v>
      </c>
      <c r="BB77" s="153"/>
      <c r="BC77" s="154">
        <f t="shared" si="276"/>
        <v>11.552070000000001</v>
      </c>
      <c r="BD77" s="155">
        <f t="shared" si="246"/>
        <v>41867.5896975</v>
      </c>
      <c r="BE77" s="156">
        <f t="shared" si="277"/>
        <v>3624.25</v>
      </c>
      <c r="BF77" s="157">
        <v>510</v>
      </c>
      <c r="BG77" s="157" t="s">
        <v>247</v>
      </c>
      <c r="BH77" s="156">
        <v>11.55</v>
      </c>
      <c r="BI77" s="158">
        <f t="shared" si="278"/>
        <v>41860.087500000001</v>
      </c>
      <c r="BJ77" s="156">
        <v>8</v>
      </c>
      <c r="BK77" s="158">
        <f t="shared" si="279"/>
        <v>28994</v>
      </c>
      <c r="BL77" s="156">
        <v>37.29</v>
      </c>
      <c r="BM77" s="159">
        <f t="shared" si="280"/>
        <v>135148.2825</v>
      </c>
      <c r="BN77" s="157">
        <v>3975</v>
      </c>
      <c r="BO77" s="159">
        <f t="shared" si="281"/>
        <v>14406393.75</v>
      </c>
      <c r="BP77" s="160"/>
      <c r="BQ77" s="156">
        <v>7.51</v>
      </c>
      <c r="BR77" s="158">
        <f t="shared" si="282"/>
        <v>27218.1175</v>
      </c>
      <c r="BS77" s="156">
        <v>37.49</v>
      </c>
      <c r="BT77" s="159">
        <f t="shared" si="283"/>
        <v>135873.13250000001</v>
      </c>
      <c r="BU77" s="157">
        <v>3996</v>
      </c>
      <c r="BV77" s="161">
        <f t="shared" si="284"/>
        <v>14482503</v>
      </c>
      <c r="BW77" s="157" t="s">
        <v>184</v>
      </c>
      <c r="BX77" s="157">
        <f t="shared" si="247"/>
        <v>3821</v>
      </c>
      <c r="BY77" s="161">
        <f t="shared" si="285"/>
        <v>13848259.25</v>
      </c>
      <c r="BZ77" s="157">
        <f t="shared" si="248"/>
        <v>35.85</v>
      </c>
      <c r="CA77" s="161">
        <f t="shared" si="286"/>
        <v>129929.3625</v>
      </c>
      <c r="CB77" s="156">
        <f t="shared" si="249"/>
        <v>4.0400000000000009</v>
      </c>
      <c r="CC77" s="161">
        <f t="shared" si="287"/>
        <v>14641.970000000003</v>
      </c>
      <c r="CD77" s="162">
        <f t="shared" si="288"/>
        <v>3624.25</v>
      </c>
      <c r="CE77" s="163">
        <v>4.7</v>
      </c>
      <c r="CF77" s="164">
        <v>7.19</v>
      </c>
      <c r="CG77" s="165">
        <f>CE77+CF77*(1-CE77/100)</f>
        <v>11.552070000000001</v>
      </c>
      <c r="CH77" s="166">
        <f t="shared" si="301"/>
        <v>41867.5896975</v>
      </c>
      <c r="CI77" s="167">
        <v>39.67</v>
      </c>
      <c r="CJ77" s="166">
        <f t="shared" si="289"/>
        <v>143773.9975</v>
      </c>
      <c r="CK77" s="168">
        <v>5.51</v>
      </c>
      <c r="CL77" s="166">
        <f t="shared" si="290"/>
        <v>19969.6175</v>
      </c>
      <c r="CM77" s="167">
        <v>26.96</v>
      </c>
      <c r="CN77" s="166">
        <f t="shared" si="291"/>
        <v>97709.78</v>
      </c>
      <c r="CO77" s="169">
        <f t="shared" si="251"/>
        <v>4020.180699999999</v>
      </c>
      <c r="CP77" s="166">
        <f t="shared" si="292"/>
        <v>14570139.901974997</v>
      </c>
      <c r="CQ77" s="167">
        <v>3818</v>
      </c>
      <c r="CR77" s="166">
        <f t="shared" si="293"/>
        <v>13837386.5</v>
      </c>
      <c r="CS77" s="170">
        <f t="shared" si="252"/>
        <v>40.933696687480165</v>
      </c>
      <c r="CT77" s="166">
        <f t="shared" si="294"/>
        <v>148353.9502196</v>
      </c>
      <c r="CU77" s="168">
        <v>2.5</v>
      </c>
      <c r="CV77" s="166">
        <f t="shared" si="295"/>
        <v>9060.625</v>
      </c>
      <c r="CW77" s="170">
        <f>((100-CU77)/(100-CK77))*CM77</f>
        <v>27.818816806011224</v>
      </c>
      <c r="CX77" s="166">
        <f t="shared" si="297"/>
        <v>100822.34680918617</v>
      </c>
      <c r="CY77" s="171">
        <f>((100-CU77)/(100-CK77))*CQ77</f>
        <v>3939.6232405545566</v>
      </c>
      <c r="CZ77" s="166">
        <f t="shared" si="299"/>
        <v>14278179.529579852</v>
      </c>
      <c r="DA77" s="170" t="str">
        <f>IF(CY77&gt;=7000,"G1",IF(CY77&gt;=6700,"G2",IF(CY77&gt;=6400,"G3",IF(CY77&gt;=6100,"G4",IF(CY77&gt;=5800,"G5",IF(CY77&gt;=5500,"G6",IF(CY77&gt;=5200,"G7",IF(CY77&gt;=4900,"G8",IF(CY77&gt;=4600,"G9",IF(CY77&gt;=4300,"G10",IF(CY77&gt;=4000,"G11",IF(CY77&gt;=3700,"G12",IF(CY77&gt;=3400,"G13",IF(CY77&gt;=3100,"G14",IF(CY77&gt;=2800,"G15",IF(CY77&gt;=2500,"G16",IF(CY77&gt;=2200,"G17")))))))))))))))))</f>
        <v>G12</v>
      </c>
      <c r="DB77" s="171">
        <f t="shared" si="253"/>
        <v>3573.8617498147955</v>
      </c>
      <c r="DC77" s="166">
        <f t="shared" si="254"/>
        <v>12952568.446766272</v>
      </c>
      <c r="DD77" s="170">
        <f t="shared" si="255"/>
        <v>37.13334091544079</v>
      </c>
      <c r="DE77" s="221">
        <f t="shared" si="256"/>
        <v>134580.51081278629</v>
      </c>
      <c r="DF77" s="222">
        <f t="shared" si="257"/>
        <v>9.0520700000000005</v>
      </c>
      <c r="DG77" s="221">
        <f t="shared" si="258"/>
        <v>32806.9646975</v>
      </c>
      <c r="DH77" s="172">
        <f t="shared" si="259"/>
        <v>0</v>
      </c>
      <c r="DI77" s="173">
        <f t="shared" si="260"/>
        <v>-56.37675944544344</v>
      </c>
      <c r="DJ77" s="174">
        <f t="shared" si="261"/>
        <v>0</v>
      </c>
      <c r="DK77" s="175">
        <f t="shared" si="262"/>
        <v>-146</v>
      </c>
      <c r="DL77" s="176">
        <f t="shared" si="263"/>
        <v>0</v>
      </c>
      <c r="DM77" s="175" t="e">
        <f t="shared" si="264"/>
        <v>#VALUE!</v>
      </c>
      <c r="DN77" s="177"/>
      <c r="DO77" s="178">
        <f t="shared" si="167"/>
        <v>247.13825018520447</v>
      </c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80"/>
      <c r="EC77" s="181">
        <f t="shared" si="233"/>
        <v>56.37675944544344</v>
      </c>
      <c r="EE77" s="181"/>
    </row>
    <row r="78" spans="1:138" s="182" customFormat="1" ht="30">
      <c r="A78" s="74">
        <v>17</v>
      </c>
      <c r="B78" s="74">
        <v>81</v>
      </c>
      <c r="C78" s="138">
        <v>45824</v>
      </c>
      <c r="D78" s="139">
        <v>451000351</v>
      </c>
      <c r="E78" s="138">
        <v>45822</v>
      </c>
      <c r="F78" s="138"/>
      <c r="G78" s="138"/>
      <c r="H78" s="140">
        <v>3907.8</v>
      </c>
      <c r="I78" s="141">
        <v>3907.8</v>
      </c>
      <c r="J78" s="142"/>
      <c r="K78" s="568"/>
      <c r="L78" s="337">
        <v>57</v>
      </c>
      <c r="M78" s="571"/>
      <c r="N78" s="144">
        <v>3907.8</v>
      </c>
      <c r="O78" s="522" t="s">
        <v>209</v>
      </c>
      <c r="P78" s="145" t="s">
        <v>210</v>
      </c>
      <c r="Q78" s="145" t="s">
        <v>53</v>
      </c>
      <c r="R78" s="145"/>
      <c r="S78" s="145" t="s">
        <v>74</v>
      </c>
      <c r="T78" s="145"/>
      <c r="U78" s="147" t="s">
        <v>184</v>
      </c>
      <c r="V78" s="147" t="s">
        <v>195</v>
      </c>
      <c r="W78" s="147">
        <v>3850</v>
      </c>
      <c r="X78" s="519">
        <v>3919.21</v>
      </c>
      <c r="Y78" s="148"/>
      <c r="Z78" s="150"/>
      <c r="AA78" s="149"/>
      <c r="AB78" s="150"/>
      <c r="AC78" s="151"/>
      <c r="AD78" s="151"/>
      <c r="AE78" s="152">
        <f t="shared" si="266"/>
        <v>0</v>
      </c>
      <c r="AF78" s="151"/>
      <c r="AG78" s="152">
        <f t="shared" si="267"/>
        <v>0</v>
      </c>
      <c r="AH78" s="151"/>
      <c r="AI78" s="152">
        <f t="shared" si="268"/>
        <v>0</v>
      </c>
      <c r="AJ78" s="149"/>
      <c r="AK78" s="152">
        <f t="shared" si="269"/>
        <v>0</v>
      </c>
      <c r="AL78" s="149"/>
      <c r="AM78" s="151"/>
      <c r="AN78" s="152">
        <f t="shared" si="270"/>
        <v>0</v>
      </c>
      <c r="AO78" s="151"/>
      <c r="AP78" s="152">
        <f t="shared" si="271"/>
        <v>0</v>
      </c>
      <c r="AQ78" s="174">
        <f t="shared" ref="AQ78:AQ79" si="302">W78</f>
        <v>3850</v>
      </c>
      <c r="AR78" s="152">
        <f t="shared" si="243"/>
        <v>15045030</v>
      </c>
      <c r="AS78" s="149"/>
      <c r="AT78" s="149">
        <f t="shared" si="244"/>
        <v>3850</v>
      </c>
      <c r="AU78" s="152">
        <f t="shared" si="272"/>
        <v>0</v>
      </c>
      <c r="AV78" s="149">
        <f>ROUND(((100-AD78)/(100-AM78)*AO78),2)</f>
        <v>0</v>
      </c>
      <c r="AW78" s="152">
        <f t="shared" si="273"/>
        <v>0</v>
      </c>
      <c r="AX78" s="151">
        <f t="shared" si="274"/>
        <v>0</v>
      </c>
      <c r="AY78" s="152">
        <f t="shared" si="275"/>
        <v>0</v>
      </c>
      <c r="AZ78" s="153">
        <v>4.8</v>
      </c>
      <c r="BA78" s="153">
        <v>7.6539999999999999</v>
      </c>
      <c r="BB78" s="153"/>
      <c r="BC78" s="154">
        <f t="shared" si="276"/>
        <v>12.086607999999998</v>
      </c>
      <c r="BD78" s="155">
        <f t="shared" si="246"/>
        <v>47232.046742399994</v>
      </c>
      <c r="BE78" s="156">
        <f t="shared" si="277"/>
        <v>3907.8</v>
      </c>
      <c r="BF78" s="157">
        <v>513</v>
      </c>
      <c r="BG78" s="157" t="s">
        <v>286</v>
      </c>
      <c r="BH78" s="156">
        <v>12.09</v>
      </c>
      <c r="BI78" s="158"/>
      <c r="BJ78" s="156">
        <v>7.51</v>
      </c>
      <c r="BK78" s="158"/>
      <c r="BL78" s="156">
        <v>40.49</v>
      </c>
      <c r="BM78" s="159"/>
      <c r="BN78" s="157">
        <v>3574</v>
      </c>
      <c r="BO78" s="159">
        <f t="shared" si="281"/>
        <v>13966477.200000001</v>
      </c>
      <c r="BP78" s="160"/>
      <c r="BQ78" s="156">
        <v>6.28</v>
      </c>
      <c r="BR78" s="158">
        <f t="shared" si="282"/>
        <v>24540.984</v>
      </c>
      <c r="BS78" s="156">
        <v>41.03</v>
      </c>
      <c r="BT78" s="159">
        <f t="shared" si="283"/>
        <v>160337.03400000001</v>
      </c>
      <c r="BU78" s="157">
        <v>3622</v>
      </c>
      <c r="BV78" s="161">
        <f t="shared" si="284"/>
        <v>14154051.600000001</v>
      </c>
      <c r="BW78" s="157" t="s">
        <v>190</v>
      </c>
      <c r="BX78" s="157">
        <f t="shared" si="247"/>
        <v>3397</v>
      </c>
      <c r="BY78" s="161">
        <f t="shared" si="285"/>
        <v>13274796.600000001</v>
      </c>
      <c r="BZ78" s="157">
        <f t="shared" si="248"/>
        <v>38.49</v>
      </c>
      <c r="CA78" s="161">
        <f t="shared" si="286"/>
        <v>150411.22200000001</v>
      </c>
      <c r="CB78" s="156">
        <f t="shared" si="249"/>
        <v>5.81</v>
      </c>
      <c r="CC78" s="161">
        <f t="shared" si="287"/>
        <v>22704.317999999999</v>
      </c>
      <c r="CD78" s="162">
        <f t="shared" si="288"/>
        <v>3907.8</v>
      </c>
      <c r="CE78" s="163">
        <v>4.8</v>
      </c>
      <c r="CF78" s="164">
        <v>7.65</v>
      </c>
      <c r="CG78" s="165">
        <f>CE78+CF78*(1-CE78/100)</f>
        <v>12.082799999999999</v>
      </c>
      <c r="CH78" s="166">
        <f t="shared" si="301"/>
        <v>47217.165839999994</v>
      </c>
      <c r="CI78" s="167">
        <v>40.08</v>
      </c>
      <c r="CJ78" s="166">
        <f t="shared" si="289"/>
        <v>156624.62400000001</v>
      </c>
      <c r="CK78" s="168">
        <v>5.96</v>
      </c>
      <c r="CL78" s="166">
        <f t="shared" si="290"/>
        <v>23290.488000000001</v>
      </c>
      <c r="CM78" s="167">
        <v>25.56</v>
      </c>
      <c r="CN78" s="166">
        <f t="shared" si="291"/>
        <v>99883.368000000002</v>
      </c>
      <c r="CO78" s="169">
        <f t="shared" si="251"/>
        <v>3916.0936000000002</v>
      </c>
      <c r="CP78" s="166">
        <f t="shared" si="292"/>
        <v>15303310.570080001</v>
      </c>
      <c r="CQ78" s="167">
        <v>3590</v>
      </c>
      <c r="CR78" s="166">
        <f t="shared" si="293"/>
        <v>14029002</v>
      </c>
      <c r="CS78" s="170">
        <f t="shared" si="252"/>
        <v>40.033117822203316</v>
      </c>
      <c r="CT78" s="166">
        <f t="shared" si="294"/>
        <v>156441.41782560613</v>
      </c>
      <c r="CU78" s="168">
        <v>6.07</v>
      </c>
      <c r="CV78" s="166">
        <f t="shared" si="295"/>
        <v>23720.346000000001</v>
      </c>
      <c r="CW78" s="170">
        <f t="shared" ref="CW78:CW79" si="303">((100-CU78)/(100-CK78))*CM78</f>
        <v>25.530102084219479</v>
      </c>
      <c r="CX78" s="166">
        <f t="shared" si="297"/>
        <v>99766.532924712883</v>
      </c>
      <c r="CY78" s="171">
        <f t="shared" ref="CY78:CY79" si="304">((100-CU78)/(100-CK78))*CQ78</f>
        <v>3585.8007230965545</v>
      </c>
      <c r="CZ78" s="166">
        <f t="shared" si="299"/>
        <v>14012592.065716716</v>
      </c>
      <c r="DA78" s="170" t="str">
        <f t="shared" ref="DA78:DA79" si="305">IF(CY78&gt;=7000,"G1",IF(CY78&gt;=6700,"G2",IF(CY78&gt;=6400,"G3",IF(CY78&gt;=6100,"G4",IF(CY78&gt;=5800,"G5",IF(CY78&gt;=5500,"G6",IF(CY78&gt;=5200,"G7",IF(CY78&gt;=4900,"G8",IF(CY78&gt;=4600,"G9",IF(CY78&gt;=4300,"G10",IF(CY78&gt;=4000,"G11",IF(CY78&gt;=3700,"G12",IF(CY78&gt;=3400,"G13",IF(CY78&gt;=3100,"G14",IF(CY78&gt;=2800,"G15",IF(CY78&gt;=2500,"G16",IF(CY78&gt;=2200,"G17")))))))))))))))))</f>
        <v>G13</v>
      </c>
      <c r="DB78" s="171">
        <f t="shared" si="253"/>
        <v>3356.2606125053171</v>
      </c>
      <c r="DC78" s="166">
        <f t="shared" si="254"/>
        <v>13115595.22154828</v>
      </c>
      <c r="DD78" s="170">
        <f t="shared" si="255"/>
        <v>37.470452743513398</v>
      </c>
      <c r="DE78" s="221">
        <f t="shared" si="256"/>
        <v>146427.03523110168</v>
      </c>
      <c r="DF78" s="222">
        <f t="shared" si="257"/>
        <v>6.0127999999999986</v>
      </c>
      <c r="DG78" s="221">
        <f t="shared" si="258"/>
        <v>23496.819839999996</v>
      </c>
      <c r="DH78" s="172">
        <f t="shared" si="259"/>
        <v>-1</v>
      </c>
      <c r="DI78" s="173">
        <f t="shared" si="260"/>
        <v>-36.19927690344548</v>
      </c>
      <c r="DJ78" s="174">
        <f t="shared" si="261"/>
        <v>-1</v>
      </c>
      <c r="DK78" s="175">
        <f t="shared" si="262"/>
        <v>228</v>
      </c>
      <c r="DL78" s="176">
        <f t="shared" si="263"/>
        <v>-1</v>
      </c>
      <c r="DM78" s="175" t="e">
        <f t="shared" si="264"/>
        <v>#VALUE!</v>
      </c>
      <c r="DN78" s="177"/>
      <c r="DO78" s="178">
        <f t="shared" si="167"/>
        <v>40.739387494682887</v>
      </c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80"/>
      <c r="EC78" s="181">
        <f t="shared" si="233"/>
        <v>36.19927690344548</v>
      </c>
      <c r="EE78" s="181"/>
    </row>
    <row r="79" spans="1:138" s="182" customFormat="1" ht="30">
      <c r="A79" s="74">
        <v>21</v>
      </c>
      <c r="B79" s="74">
        <v>92</v>
      </c>
      <c r="C79" s="138">
        <v>45826</v>
      </c>
      <c r="D79" s="139">
        <v>451000352</v>
      </c>
      <c r="E79" s="138">
        <v>45825</v>
      </c>
      <c r="F79" s="138"/>
      <c r="G79" s="138"/>
      <c r="H79" s="140">
        <v>4097.8500000000004</v>
      </c>
      <c r="I79" s="141">
        <v>4097.8500000000004</v>
      </c>
      <c r="J79" s="142"/>
      <c r="K79" s="568"/>
      <c r="L79" s="337">
        <v>59</v>
      </c>
      <c r="M79" s="571"/>
      <c r="N79" s="144">
        <v>4097.8500000000004</v>
      </c>
      <c r="O79" s="522" t="s">
        <v>209</v>
      </c>
      <c r="P79" s="145" t="s">
        <v>210</v>
      </c>
      <c r="Q79" s="145" t="s">
        <v>53</v>
      </c>
      <c r="R79" s="145"/>
      <c r="S79" s="145" t="s">
        <v>74</v>
      </c>
      <c r="T79" s="145"/>
      <c r="U79" s="147" t="s">
        <v>184</v>
      </c>
      <c r="V79" s="147" t="s">
        <v>195</v>
      </c>
      <c r="W79" s="147">
        <v>3850</v>
      </c>
      <c r="X79" s="519">
        <v>4110.6000000000004</v>
      </c>
      <c r="Y79" s="148"/>
      <c r="Z79" s="150"/>
      <c r="AA79" s="149"/>
      <c r="AB79" s="150"/>
      <c r="AC79" s="151"/>
      <c r="AD79" s="151"/>
      <c r="AE79" s="152">
        <f t="shared" si="266"/>
        <v>0</v>
      </c>
      <c r="AF79" s="151"/>
      <c r="AG79" s="152">
        <f t="shared" si="267"/>
        <v>0</v>
      </c>
      <c r="AH79" s="151"/>
      <c r="AI79" s="152">
        <f t="shared" si="268"/>
        <v>0</v>
      </c>
      <c r="AJ79" s="149"/>
      <c r="AK79" s="152">
        <f t="shared" si="269"/>
        <v>0</v>
      </c>
      <c r="AL79" s="149"/>
      <c r="AM79" s="151"/>
      <c r="AN79" s="152">
        <f t="shared" si="270"/>
        <v>0</v>
      </c>
      <c r="AO79" s="151"/>
      <c r="AP79" s="152">
        <f t="shared" si="271"/>
        <v>0</v>
      </c>
      <c r="AQ79" s="174">
        <f t="shared" si="302"/>
        <v>3850</v>
      </c>
      <c r="AR79" s="152">
        <f t="shared" si="243"/>
        <v>15776722.500000002</v>
      </c>
      <c r="AS79" s="149"/>
      <c r="AT79" s="149">
        <f t="shared" si="244"/>
        <v>3850</v>
      </c>
      <c r="AU79" s="152">
        <f t="shared" si="272"/>
        <v>0</v>
      </c>
      <c r="AV79" s="149">
        <f t="shared" ref="AV79" si="306">ROUND(((100-AD79)/(100-AM79)*AO79),2)</f>
        <v>0</v>
      </c>
      <c r="AW79" s="152">
        <f t="shared" si="273"/>
        <v>0</v>
      </c>
      <c r="AX79" s="151">
        <f t="shared" si="274"/>
        <v>0</v>
      </c>
      <c r="AY79" s="152">
        <f t="shared" si="275"/>
        <v>0</v>
      </c>
      <c r="AZ79" s="153">
        <v>4.5999999999999996</v>
      </c>
      <c r="BA79" s="153">
        <v>8.6270000000000007</v>
      </c>
      <c r="BB79" s="153"/>
      <c r="BC79" s="154">
        <f t="shared" si="276"/>
        <v>12.830157999999999</v>
      </c>
      <c r="BD79" s="155">
        <f t="shared" si="246"/>
        <v>52576.062960299998</v>
      </c>
      <c r="BE79" s="156">
        <f t="shared" si="277"/>
        <v>4097.8500000000004</v>
      </c>
      <c r="BF79" s="573">
        <v>3130</v>
      </c>
      <c r="BG79" s="157" t="s">
        <v>250</v>
      </c>
      <c r="BH79" s="574">
        <v>12.83</v>
      </c>
      <c r="BI79" s="158">
        <f t="shared" ref="BI79" si="307">BH79*$BE79</f>
        <v>52575.415500000003</v>
      </c>
      <c r="BJ79" s="574">
        <v>7.81</v>
      </c>
      <c r="BK79" s="158">
        <f t="shared" ref="BK79" si="308">BJ79*$BE79</f>
        <v>32004.208500000001</v>
      </c>
      <c r="BL79" s="574">
        <v>39.880000000000003</v>
      </c>
      <c r="BM79" s="159">
        <f t="shared" ref="BM79" si="309">BL79*$BE79</f>
        <v>163422.25800000003</v>
      </c>
      <c r="BN79" s="574">
        <v>3602</v>
      </c>
      <c r="BO79" s="159">
        <f t="shared" si="281"/>
        <v>14760455.700000001</v>
      </c>
      <c r="BP79" s="160"/>
      <c r="BQ79" s="574">
        <v>6.47</v>
      </c>
      <c r="BR79" s="158">
        <f t="shared" si="282"/>
        <v>26513.089500000002</v>
      </c>
      <c r="BS79" s="574">
        <v>40.46</v>
      </c>
      <c r="BT79" s="159">
        <f t="shared" si="283"/>
        <v>165799.01100000003</v>
      </c>
      <c r="BU79" s="157">
        <v>3654</v>
      </c>
      <c r="BV79" s="161">
        <f t="shared" si="284"/>
        <v>14973543.900000002</v>
      </c>
      <c r="BW79" s="157" t="s">
        <v>190</v>
      </c>
      <c r="BX79" s="157">
        <f t="shared" si="247"/>
        <v>3406</v>
      </c>
      <c r="BY79" s="161">
        <f t="shared" si="285"/>
        <v>13957277.100000001</v>
      </c>
      <c r="BZ79" s="157">
        <f t="shared" si="248"/>
        <v>37.71</v>
      </c>
      <c r="CA79" s="161">
        <f t="shared" si="286"/>
        <v>154529.9235</v>
      </c>
      <c r="CB79" s="156">
        <f t="shared" si="249"/>
        <v>6.36</v>
      </c>
      <c r="CC79" s="161">
        <f t="shared" si="287"/>
        <v>26062.326000000005</v>
      </c>
      <c r="CD79" s="162">
        <f t="shared" si="288"/>
        <v>4097.8500000000004</v>
      </c>
      <c r="CE79" s="163">
        <v>4.5999999999999996</v>
      </c>
      <c r="CF79" s="164">
        <v>7.633</v>
      </c>
      <c r="CG79" s="165">
        <f t="shared" ref="CG79" si="310">CE79+CF79*(1-CE79/100)</f>
        <v>11.881881999999999</v>
      </c>
      <c r="CH79" s="166">
        <f t="shared" si="301"/>
        <v>48690.170153700004</v>
      </c>
      <c r="CI79" s="167">
        <v>40.46</v>
      </c>
      <c r="CJ79" s="166">
        <f t="shared" si="289"/>
        <v>165799.01100000003</v>
      </c>
      <c r="CK79" s="168">
        <v>5.49</v>
      </c>
      <c r="CL79" s="166">
        <f t="shared" si="290"/>
        <v>22497.196500000002</v>
      </c>
      <c r="CM79" s="167">
        <v>26.27</v>
      </c>
      <c r="CN79" s="166">
        <f t="shared" si="291"/>
        <v>107650.51950000001</v>
      </c>
      <c r="CO79" s="169">
        <f t="shared" si="251"/>
        <v>3948.7449999999999</v>
      </c>
      <c r="CP79" s="166">
        <f t="shared" si="292"/>
        <v>16181364.698250001</v>
      </c>
      <c r="CQ79" s="167">
        <v>3701</v>
      </c>
      <c r="CR79" s="166">
        <f t="shared" si="293"/>
        <v>15166142.850000001</v>
      </c>
      <c r="CS79" s="170">
        <f t="shared" si="252"/>
        <v>40.626960110041267</v>
      </c>
      <c r="CT79" s="166">
        <f t="shared" si="294"/>
        <v>166483.18848693263</v>
      </c>
      <c r="CU79" s="168">
        <v>5.0999999999999996</v>
      </c>
      <c r="CV79" s="166">
        <f t="shared" si="295"/>
        <v>20899.035</v>
      </c>
      <c r="CW79" s="170">
        <f t="shared" si="303"/>
        <v>26.37840440165062</v>
      </c>
      <c r="CX79" s="166">
        <f t="shared" si="297"/>
        <v>108094.744477304</v>
      </c>
      <c r="CY79" s="171">
        <f t="shared" si="304"/>
        <v>3716.2723521320499</v>
      </c>
      <c r="CZ79" s="166">
        <f t="shared" si="299"/>
        <v>15228726.658184322</v>
      </c>
      <c r="DA79" s="170" t="str">
        <f t="shared" si="305"/>
        <v>G12</v>
      </c>
      <c r="DB79" s="171">
        <f t="shared" si="253"/>
        <v>3450.694685408951</v>
      </c>
      <c r="DC79" s="166">
        <f t="shared" si="254"/>
        <v>14140429.21660307</v>
      </c>
      <c r="DD79" s="170">
        <f t="shared" si="255"/>
        <v>37.723617122844139</v>
      </c>
      <c r="DE79" s="221">
        <f t="shared" si="256"/>
        <v>154585.72442684686</v>
      </c>
      <c r="DF79" s="222">
        <f t="shared" si="257"/>
        <v>6.7818819999999995</v>
      </c>
      <c r="DG79" s="221">
        <f t="shared" si="258"/>
        <v>27791.135153700001</v>
      </c>
      <c r="DH79" s="172">
        <f t="shared" si="259"/>
        <v>0</v>
      </c>
      <c r="DI79" s="173">
        <f t="shared" si="260"/>
        <v>62.272352132049946</v>
      </c>
      <c r="DJ79" s="174">
        <f t="shared" si="261"/>
        <v>-1</v>
      </c>
      <c r="DK79" s="175">
        <f t="shared" si="262"/>
        <v>196</v>
      </c>
      <c r="DL79" s="176">
        <f t="shared" si="263"/>
        <v>-1</v>
      </c>
      <c r="DM79" s="175" t="e">
        <f t="shared" si="264"/>
        <v>#VALUE!</v>
      </c>
      <c r="DN79" s="177"/>
      <c r="DO79" s="178">
        <f t="shared" si="167"/>
        <v>-44.694685408951045</v>
      </c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80"/>
      <c r="EC79" s="181">
        <f t="shared" si="233"/>
        <v>-62.272352132049946</v>
      </c>
      <c r="EE79" s="181"/>
    </row>
    <row r="80" spans="1:138" s="223" customFormat="1" ht="45">
      <c r="A80" s="74">
        <v>1</v>
      </c>
      <c r="B80" s="74">
        <v>12</v>
      </c>
      <c r="C80" s="138">
        <v>45811</v>
      </c>
      <c r="D80" s="139">
        <v>451000001</v>
      </c>
      <c r="E80" s="138">
        <v>45808</v>
      </c>
      <c r="F80" s="138" t="s">
        <v>240</v>
      </c>
      <c r="G80" s="138" t="s">
        <v>284</v>
      </c>
      <c r="H80" s="545">
        <v>3221.5</v>
      </c>
      <c r="I80" s="141">
        <v>3221.5</v>
      </c>
      <c r="J80" s="142"/>
      <c r="K80" s="143"/>
      <c r="L80" s="522">
        <v>58</v>
      </c>
      <c r="M80" s="522"/>
      <c r="N80" s="144">
        <v>3221.5</v>
      </c>
      <c r="O80" s="522" t="s">
        <v>263</v>
      </c>
      <c r="P80" s="145" t="s">
        <v>264</v>
      </c>
      <c r="Q80" s="145" t="s">
        <v>265</v>
      </c>
      <c r="R80" s="145" t="s">
        <v>260</v>
      </c>
      <c r="S80" s="145" t="s">
        <v>211</v>
      </c>
      <c r="T80" s="145"/>
      <c r="U80" s="147" t="s">
        <v>188</v>
      </c>
      <c r="V80" s="147" t="s">
        <v>189</v>
      </c>
      <c r="W80" s="147">
        <v>4450</v>
      </c>
      <c r="X80" s="542">
        <v>3222</v>
      </c>
      <c r="Y80" s="148"/>
      <c r="Z80" s="148"/>
      <c r="AA80" s="149"/>
      <c r="AB80" s="150"/>
      <c r="AC80" s="151"/>
      <c r="AD80" s="151"/>
      <c r="AE80" s="152">
        <f>AD80*$AC80</f>
        <v>0</v>
      </c>
      <c r="AF80" s="151"/>
      <c r="AG80" s="152">
        <f>AF80*$AC80</f>
        <v>0</v>
      </c>
      <c r="AH80" s="151"/>
      <c r="AI80" s="152">
        <f>AH80*$AC80</f>
        <v>0</v>
      </c>
      <c r="AJ80" s="149"/>
      <c r="AK80" s="152">
        <f>AJ80*$AC80</f>
        <v>0</v>
      </c>
      <c r="AL80" s="149"/>
      <c r="AM80" s="151"/>
      <c r="AN80" s="152">
        <f>AM80*$AC80</f>
        <v>0</v>
      </c>
      <c r="AO80" s="151"/>
      <c r="AP80" s="152">
        <f>AO80*$AC80</f>
        <v>0</v>
      </c>
      <c r="AQ80" s="174">
        <f t="shared" ref="AQ80:AQ81" si="311">W80</f>
        <v>4450</v>
      </c>
      <c r="AR80" s="152">
        <f t="shared" ref="AR80:AR81" si="312">AQ80*$I80</f>
        <v>14335675</v>
      </c>
      <c r="AS80" s="149"/>
      <c r="AT80" s="149">
        <f t="shared" ref="AT80:AT81" si="313">ROUND(((100-AD80)/(100-AM80)*AQ80),0)</f>
        <v>4450</v>
      </c>
      <c r="AU80" s="152">
        <f>AT80*$AC80</f>
        <v>0</v>
      </c>
      <c r="AV80" s="149">
        <f t="shared" ref="AV80" si="314">ROUND(((100-AD80)/(100-AM80)*AO80),2)</f>
        <v>0</v>
      </c>
      <c r="AW80" s="152">
        <f>AV80*$AC80</f>
        <v>0</v>
      </c>
      <c r="AX80" s="151">
        <f>$AD80-$AM80</f>
        <v>0</v>
      </c>
      <c r="AY80" s="152">
        <f>AX80*$AC80</f>
        <v>0</v>
      </c>
      <c r="AZ80" s="153">
        <v>5.2</v>
      </c>
      <c r="BA80" s="153">
        <v>9.5909999999999993</v>
      </c>
      <c r="BB80" s="153"/>
      <c r="BC80" s="154">
        <f t="shared" ref="BC80:BC81" si="315">AZ80+BA80*(1-(AZ80/100))+BB80*(1-(AZ80+BA80)/100)</f>
        <v>14.292268</v>
      </c>
      <c r="BD80" s="155">
        <f t="shared" ref="BD80:BD81" si="316">BC80*$CD80</f>
        <v>46042.541361999996</v>
      </c>
      <c r="BE80" s="156">
        <f t="shared" ref="BE80:BE81" si="317">CD80</f>
        <v>3221.5</v>
      </c>
      <c r="BF80" s="157">
        <v>501</v>
      </c>
      <c r="BG80" s="157" t="s">
        <v>238</v>
      </c>
      <c r="BH80" s="156">
        <v>14.29</v>
      </c>
      <c r="BI80" s="158">
        <f>BH80*$BE80</f>
        <v>46035.235000000001</v>
      </c>
      <c r="BJ80" s="156">
        <v>7.29</v>
      </c>
      <c r="BK80" s="158">
        <f>BJ80*$BE80</f>
        <v>23484.735000000001</v>
      </c>
      <c r="BL80" s="156">
        <v>31.38</v>
      </c>
      <c r="BM80" s="159">
        <f>BL80*$BE80</f>
        <v>101090.67</v>
      </c>
      <c r="BN80" s="157">
        <v>4461</v>
      </c>
      <c r="BO80" s="159">
        <f>BN80*$BE80</f>
        <v>14371111.5</v>
      </c>
      <c r="BP80" s="160"/>
      <c r="BQ80" s="156">
        <v>7.01</v>
      </c>
      <c r="BR80" s="158">
        <f>BQ80*$BE80</f>
        <v>22582.715</v>
      </c>
      <c r="BS80" s="156">
        <v>31.47</v>
      </c>
      <c r="BT80" s="159">
        <f>BS80*$BE80</f>
        <v>101380.605</v>
      </c>
      <c r="BU80" s="157">
        <v>4474</v>
      </c>
      <c r="BV80" s="161">
        <f>BU80*$I80</f>
        <v>14412991</v>
      </c>
      <c r="BW80" s="157" t="s">
        <v>188</v>
      </c>
      <c r="BX80" s="157">
        <f t="shared" ref="BX80:BX81" si="318">ROUND(((100-BH80)/(100-BQ80)*BU80),0)</f>
        <v>4124</v>
      </c>
      <c r="BY80" s="161">
        <f>BX80*$I80</f>
        <v>13285466</v>
      </c>
      <c r="BZ80" s="157">
        <f t="shared" ref="BZ80:BZ81" si="319">ROUND(((100-BH80)/(100-BQ80)*BS80),2)</f>
        <v>29.01</v>
      </c>
      <c r="CA80" s="161">
        <f>BZ80*$BE80</f>
        <v>93455.715000000011</v>
      </c>
      <c r="CB80" s="156">
        <f t="shared" ref="CB80:CB81" si="320">BH80-BQ80</f>
        <v>7.2799999999999994</v>
      </c>
      <c r="CC80" s="161">
        <f>CB80*$BE80</f>
        <v>23452.519999999997</v>
      </c>
      <c r="CD80" s="162">
        <f t="shared" ref="CD80:CD81" si="321">N80</f>
        <v>3221.5</v>
      </c>
      <c r="CE80" s="163">
        <v>6.2</v>
      </c>
      <c r="CF80" s="164">
        <v>9.57</v>
      </c>
      <c r="CG80" s="165">
        <f t="shared" ref="CG80:CG81" si="322">CE80+CF80*(1-CE80/100)</f>
        <v>15.176659999999998</v>
      </c>
      <c r="CH80" s="166">
        <f>CG80*$CD80</f>
        <v>48891.610189999992</v>
      </c>
      <c r="CI80" s="167">
        <v>31.36</v>
      </c>
      <c r="CJ80" s="166">
        <f>CI80*$CD80</f>
        <v>101026.24000000001</v>
      </c>
      <c r="CK80" s="168">
        <v>5.8</v>
      </c>
      <c r="CL80" s="166">
        <f>CK80*$CD80</f>
        <v>18684.7</v>
      </c>
      <c r="CM80" s="168">
        <v>27.1</v>
      </c>
      <c r="CN80" s="166">
        <f>CM80*$CD80</f>
        <v>87302.650000000009</v>
      </c>
      <c r="CO80" s="169">
        <f t="shared" ref="CO80:CO81" si="323">8555.56-(145.56*CK80+94.11*CI80)</f>
        <v>4760.0223999999998</v>
      </c>
      <c r="CP80" s="166">
        <f>CO80*$CD80</f>
        <v>15334412.161599999</v>
      </c>
      <c r="CQ80" s="167">
        <v>4481</v>
      </c>
      <c r="CR80" s="166">
        <f>CQ80*$CD80</f>
        <v>14435541.5</v>
      </c>
      <c r="CS80" s="170">
        <f t="shared" ref="CS80:CS81" si="324">((100-CU80)/(100-CK80))*CI80</f>
        <v>31.94924840764331</v>
      </c>
      <c r="CT80" s="166">
        <f>CS80*$CD80</f>
        <v>102924.50374522293</v>
      </c>
      <c r="CU80" s="168">
        <v>4.03</v>
      </c>
      <c r="CV80" s="166">
        <f>CU80*$CD80</f>
        <v>12982.645</v>
      </c>
      <c r="CW80" s="170">
        <f t="shared" ref="CW80" si="325">((100-CU80)/(100-CK80))*CM80</f>
        <v>27.609203821656052</v>
      </c>
      <c r="CX80" s="166">
        <f>CW80*$CD80</f>
        <v>88943.050111464967</v>
      </c>
      <c r="CY80" s="171">
        <f t="shared" ref="CY80" si="326">((100-CU80)/(100-CK80))*CQ80</f>
        <v>4565.1971337579616</v>
      </c>
      <c r="CZ80" s="166">
        <f>CY80*$CD80</f>
        <v>14706782.566401273</v>
      </c>
      <c r="DA80" s="170" t="str">
        <f t="shared" ref="DA80" si="327">IF(CY80&gt;=7000,"G1",IF(CY80&gt;=6700,"G2",IF(CY80&gt;=6400,"G3",IF(CY80&gt;=6100,"G4",IF(CY80&gt;=5800,"G5",IF(CY80&gt;=5500,"G6",IF(CY80&gt;=5200,"G7",IF(CY80&gt;=4900,"G8",IF(CY80&gt;=4600,"G9",IF(CY80&gt;=4300,"G10",IF(CY80&gt;=4000,"G11",IF(CY80&gt;=3700,"G12",IF(CY80&gt;=3400,"G13",IF(CY80&gt;=3100,"G14",IF(CY80&gt;=2800,"G15",IF(CY80&gt;=2500,"G16",IF(CY80&gt;=2200,"G17")))))))))))))))))</f>
        <v>G10</v>
      </c>
      <c r="DB80" s="171">
        <f t="shared" ref="DB80:DB81" si="328">((100-CG80)/(100-CK80))*CQ80</f>
        <v>4034.9616405520169</v>
      </c>
      <c r="DC80" s="166">
        <f>DB80*$CD80</f>
        <v>12998628.925038323</v>
      </c>
      <c r="DD80" s="170">
        <f t="shared" ref="DD80:DD81" si="329">((100-CG80)/(100-CK80))*CI80</f>
        <v>28.238428263269636</v>
      </c>
      <c r="DE80" s="221">
        <f t="shared" ref="DE80:DE81" si="330">DD80*$CD80</f>
        <v>90970.096650123131</v>
      </c>
      <c r="DF80" s="222">
        <f t="shared" ref="DF80:DF81" si="331">CG80-CU80</f>
        <v>11.146659999999997</v>
      </c>
      <c r="DG80" s="221">
        <f t="shared" ref="DG80:DG81" si="332">DF80*$CD80</f>
        <v>35908.965189999988</v>
      </c>
      <c r="DH80" s="172">
        <f t="shared" ref="DH80:DH81" si="333">MID(U80,2,LEN(U80))-MID(DA80,2,LEN(DA80))</f>
        <v>0</v>
      </c>
      <c r="DI80" s="173">
        <f>$CY80-$BU80</f>
        <v>91.197133757961637</v>
      </c>
      <c r="DJ80" s="174">
        <f>MID(U80,2,LEN(U80))-MID(BW80,2,LEN(BW80))</f>
        <v>0</v>
      </c>
      <c r="DK80" s="175">
        <f>$AQ80-$BU80</f>
        <v>-24</v>
      </c>
      <c r="DL80" s="176">
        <f>MID(U80,2,LEN(U80))-MID(BW80,2,LEN(BW80))</f>
        <v>0</v>
      </c>
      <c r="DM80" s="175" t="e">
        <f t="shared" ref="DM80" si="334">MID(U80,2,LEN(U80))-MID(AS80,2,LEN(AS80))</f>
        <v>#VALUE!</v>
      </c>
      <c r="DN80" s="177"/>
      <c r="DO80" s="178">
        <f t="shared" si="167"/>
        <v>89.038359447983112</v>
      </c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80"/>
      <c r="EC80" s="181">
        <f t="shared" si="233"/>
        <v>-91.197133757961637</v>
      </c>
    </row>
    <row r="81" spans="1:135" s="182" customFormat="1" ht="45">
      <c r="A81" s="74">
        <v>5</v>
      </c>
      <c r="B81" s="74">
        <v>74</v>
      </c>
      <c r="C81" s="138">
        <v>45823</v>
      </c>
      <c r="D81" s="139">
        <v>461000002</v>
      </c>
      <c r="E81" s="138">
        <v>45822</v>
      </c>
      <c r="F81" s="138" t="s">
        <v>287</v>
      </c>
      <c r="G81" s="138" t="s">
        <v>254</v>
      </c>
      <c r="H81" s="140">
        <v>4031.45</v>
      </c>
      <c r="I81" s="141">
        <v>4031.45</v>
      </c>
      <c r="J81" s="142"/>
      <c r="K81" s="568"/>
      <c r="L81" s="337">
        <v>58</v>
      </c>
      <c r="M81" s="571"/>
      <c r="N81" s="144">
        <v>4031.45</v>
      </c>
      <c r="O81" s="522" t="s">
        <v>263</v>
      </c>
      <c r="P81" s="145" t="s">
        <v>264</v>
      </c>
      <c r="Q81" s="145" t="s">
        <v>265</v>
      </c>
      <c r="R81" s="145" t="s">
        <v>260</v>
      </c>
      <c r="S81" s="145" t="s">
        <v>211</v>
      </c>
      <c r="T81" s="145"/>
      <c r="U81" s="147" t="s">
        <v>188</v>
      </c>
      <c r="V81" s="147" t="s">
        <v>189</v>
      </c>
      <c r="W81" s="147">
        <v>4450</v>
      </c>
      <c r="X81" s="519">
        <v>4046.92</v>
      </c>
      <c r="Y81" s="148"/>
      <c r="Z81" s="150"/>
      <c r="AA81" s="149"/>
      <c r="AB81" s="150"/>
      <c r="AC81" s="151"/>
      <c r="AD81" s="151"/>
      <c r="AE81" s="152">
        <f t="shared" ref="AE81" si="335">AD81*$AC81</f>
        <v>0</v>
      </c>
      <c r="AF81" s="151"/>
      <c r="AG81" s="152">
        <f t="shared" ref="AG81" si="336">AF81*$AC81</f>
        <v>0</v>
      </c>
      <c r="AH81" s="151"/>
      <c r="AI81" s="152">
        <f t="shared" ref="AI81" si="337">AH81*$AC81</f>
        <v>0</v>
      </c>
      <c r="AJ81" s="149"/>
      <c r="AK81" s="152">
        <f t="shared" ref="AK81" si="338">AJ81*$AC81</f>
        <v>0</v>
      </c>
      <c r="AL81" s="149"/>
      <c r="AM81" s="151"/>
      <c r="AN81" s="152">
        <f t="shared" ref="AN81" si="339">AM81*$AC81</f>
        <v>0</v>
      </c>
      <c r="AO81" s="151"/>
      <c r="AP81" s="152">
        <f t="shared" ref="AP81" si="340">AO81*$AC81</f>
        <v>0</v>
      </c>
      <c r="AQ81" s="174">
        <f t="shared" si="311"/>
        <v>4450</v>
      </c>
      <c r="AR81" s="152">
        <f t="shared" si="312"/>
        <v>17939952.5</v>
      </c>
      <c r="AS81" s="149"/>
      <c r="AT81" s="149">
        <f t="shared" si="313"/>
        <v>4450</v>
      </c>
      <c r="AU81" s="152">
        <f t="shared" ref="AU81" si="341">AT81*$AC81</f>
        <v>0</v>
      </c>
      <c r="AV81" s="149">
        <f>ROUND(((100-AD81)/(100-AM81)*AO81),2)</f>
        <v>0</v>
      </c>
      <c r="AW81" s="152">
        <f t="shared" ref="AW81" si="342">AV81*$AC81</f>
        <v>0</v>
      </c>
      <c r="AX81" s="151">
        <f t="shared" ref="AX81" si="343">$AD81-$AM81</f>
        <v>0</v>
      </c>
      <c r="AY81" s="152">
        <f t="shared" ref="AY81" si="344">AX81*$AC81</f>
        <v>0</v>
      </c>
      <c r="AZ81" s="153">
        <v>3.6</v>
      </c>
      <c r="BA81" s="153">
        <v>10.436</v>
      </c>
      <c r="BB81" s="153"/>
      <c r="BC81" s="154">
        <f t="shared" si="315"/>
        <v>13.660304</v>
      </c>
      <c r="BD81" s="155">
        <f t="shared" si="316"/>
        <v>55070.832560799994</v>
      </c>
      <c r="BE81" s="156">
        <f t="shared" si="317"/>
        <v>4031.45</v>
      </c>
      <c r="BF81" s="157">
        <v>511</v>
      </c>
      <c r="BG81" s="157" t="s">
        <v>248</v>
      </c>
      <c r="BH81" s="156">
        <v>13.66</v>
      </c>
      <c r="BI81" s="158">
        <f t="shared" ref="BI81" si="345">BH81*$BE81</f>
        <v>55069.606999999996</v>
      </c>
      <c r="BJ81" s="156">
        <v>7.92</v>
      </c>
      <c r="BK81" s="158">
        <f t="shared" ref="BK81" si="346">BJ81*$BE81</f>
        <v>31929.083999999999</v>
      </c>
      <c r="BL81" s="156">
        <v>31.39</v>
      </c>
      <c r="BM81" s="159">
        <f t="shared" ref="BM81" si="347">BL81*$BE81</f>
        <v>126547.21549999999</v>
      </c>
      <c r="BN81" s="157">
        <v>4328</v>
      </c>
      <c r="BO81" s="159">
        <f t="shared" ref="BO81" si="348">BN81*$BE81</f>
        <v>17448115.599999998</v>
      </c>
      <c r="BP81" s="160"/>
      <c r="BQ81" s="156">
        <v>6.79</v>
      </c>
      <c r="BR81" s="158">
        <f t="shared" ref="BR81" si="349">BQ81*$BE81</f>
        <v>27373.5455</v>
      </c>
      <c r="BS81" s="156">
        <v>31.78</v>
      </c>
      <c r="BT81" s="159">
        <f t="shared" ref="BT81" si="350">BS81*$BE81</f>
        <v>128119.481</v>
      </c>
      <c r="BU81" s="157">
        <v>4381</v>
      </c>
      <c r="BV81" s="161">
        <f t="shared" ref="BV81" si="351">BU81*$I81</f>
        <v>17661782.449999999</v>
      </c>
      <c r="BW81" s="157" t="s">
        <v>188</v>
      </c>
      <c r="BX81" s="157">
        <f t="shared" si="318"/>
        <v>4058</v>
      </c>
      <c r="BY81" s="161">
        <f t="shared" ref="BY81" si="352">BX81*$I81</f>
        <v>16359624.1</v>
      </c>
      <c r="BZ81" s="157">
        <f t="shared" si="319"/>
        <v>29.44</v>
      </c>
      <c r="CA81" s="161">
        <f t="shared" ref="CA81" si="353">BZ81*$BE81</f>
        <v>118685.88800000001</v>
      </c>
      <c r="CB81" s="156">
        <f t="shared" si="320"/>
        <v>6.87</v>
      </c>
      <c r="CC81" s="161"/>
      <c r="CD81" s="162">
        <f t="shared" si="321"/>
        <v>4031.45</v>
      </c>
      <c r="CE81" s="163">
        <v>3.6</v>
      </c>
      <c r="CF81" s="164">
        <v>10.44</v>
      </c>
      <c r="CG81" s="165">
        <f t="shared" si="322"/>
        <v>13.664159999999999</v>
      </c>
      <c r="CH81" s="166">
        <f t="shared" ref="CH81" si="354">CG81*$CD81</f>
        <v>55086.377831999991</v>
      </c>
      <c r="CI81" s="167">
        <v>27.92</v>
      </c>
      <c r="CJ81" s="166">
        <f t="shared" ref="CJ81" si="355">CI81*$CD81</f>
        <v>112558.084</v>
      </c>
      <c r="CK81" s="168">
        <v>6.42</v>
      </c>
      <c r="CL81" s="166">
        <f t="shared" ref="CL81" si="356">CK81*$CD81</f>
        <v>25881.909</v>
      </c>
      <c r="CM81" s="167">
        <v>31.66</v>
      </c>
      <c r="CN81" s="166">
        <f t="shared" ref="CN81" si="357">CM81*$CD81</f>
        <v>127635.70699999999</v>
      </c>
      <c r="CO81" s="169">
        <f t="shared" si="323"/>
        <v>4993.5135999999993</v>
      </c>
      <c r="CP81" s="166">
        <f t="shared" ref="CP81" si="358">CO81*$CD81</f>
        <v>20131100.402719997</v>
      </c>
      <c r="CQ81" s="167">
        <v>4750</v>
      </c>
      <c r="CR81" s="166">
        <f t="shared" ref="CR81" si="359">CQ81*$CD81</f>
        <v>19149387.5</v>
      </c>
      <c r="CS81" s="170">
        <f t="shared" si="324"/>
        <v>28.513725154947636</v>
      </c>
      <c r="CT81" s="166">
        <f t="shared" ref="CT81" si="360">CS81*$CD81</f>
        <v>114951.65727591365</v>
      </c>
      <c r="CU81" s="168">
        <v>4.43</v>
      </c>
      <c r="CV81" s="166">
        <f t="shared" ref="CV81" si="361">CU81*$CD81</f>
        <v>17859.323499999999</v>
      </c>
      <c r="CW81" s="170">
        <f>((100-CU81)/(100-CK81))*CM81</f>
        <v>32.333257106219271</v>
      </c>
      <c r="CX81" s="166">
        <f t="shared" ref="CX81" si="362">CW81*$CD81</f>
        <v>130349.90936086768</v>
      </c>
      <c r="CY81" s="171">
        <f>((100-CU81)/(100-CK81))*CQ81</f>
        <v>4851.0098311605034</v>
      </c>
      <c r="CZ81" s="166">
        <f t="shared" ref="CZ81" si="363">CY81*$CD81</f>
        <v>19556603.583832011</v>
      </c>
      <c r="DA81" s="170" t="str">
        <f>IF(CY81&gt;=7000,"G1",IF(CY81&gt;=6700,"G2",IF(CY81&gt;=6400,"G3",IF(CY81&gt;=6100,"G4",IF(CY81&gt;=5800,"G5",IF(CY81&gt;=5500,"G6",IF(CY81&gt;=5200,"G7",IF(CY81&gt;=4900,"G8",IF(CY81&gt;=4600,"G9",IF(CY81&gt;=4300,"G10",IF(CY81&gt;=4000,"G11",IF(CY81&gt;=3700,"G12",IF(CY81&gt;=3400,"G13",IF(CY81&gt;=3100,"G14",IF(CY81&gt;=2800,"G15",IF(CY81&gt;=2500,"G16",IF(CY81&gt;=2200,"G17")))))))))))))))))</f>
        <v>G9</v>
      </c>
      <c r="DB81" s="171">
        <f t="shared" si="328"/>
        <v>4382.2957896986536</v>
      </c>
      <c r="DC81" s="166">
        <f t="shared" ref="DC81" si="364">DB81*$CD81</f>
        <v>17667006.361380637</v>
      </c>
      <c r="DD81" s="170">
        <f t="shared" si="329"/>
        <v>25.758673357555036</v>
      </c>
      <c r="DE81" s="221">
        <f t="shared" si="330"/>
        <v>103844.80370731525</v>
      </c>
      <c r="DF81" s="222">
        <f t="shared" si="331"/>
        <v>9.2341599999999993</v>
      </c>
      <c r="DG81" s="221">
        <f t="shared" si="332"/>
        <v>37227.054331999992</v>
      </c>
      <c r="DH81" s="172">
        <f t="shared" si="333"/>
        <v>1</v>
      </c>
      <c r="DI81" s="173"/>
      <c r="DJ81" s="174"/>
      <c r="DK81" s="175"/>
      <c r="DL81" s="176"/>
      <c r="DM81" s="175"/>
      <c r="DN81" s="177"/>
      <c r="DO81" s="178">
        <f t="shared" si="167"/>
        <v>-324.29578969865361</v>
      </c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80"/>
      <c r="EC81" s="181">
        <f t="shared" si="233"/>
        <v>-470.00983116050338</v>
      </c>
      <c r="EE81" s="181"/>
    </row>
  </sheetData>
  <mergeCells count="34">
    <mergeCell ref="EC2:EC4"/>
    <mergeCell ref="AD3:AJ3"/>
    <mergeCell ref="AM3:AQ3"/>
    <mergeCell ref="BH3:BO3"/>
    <mergeCell ref="BP3:BW3"/>
    <mergeCell ref="A2:E2"/>
    <mergeCell ref="Z2:AX2"/>
    <mergeCell ref="AZ2:BD2"/>
    <mergeCell ref="BE2:CB2"/>
    <mergeCell ref="CE2:DG2"/>
    <mergeCell ref="BX3:CA3"/>
    <mergeCell ref="CG3:CQ3"/>
    <mergeCell ref="CS3:CZ3"/>
    <mergeCell ref="DB3:DE3"/>
    <mergeCell ref="H10:H11"/>
    <mergeCell ref="X10:X11"/>
    <mergeCell ref="H48:H49"/>
    <mergeCell ref="X48:X49"/>
    <mergeCell ref="H18:H19"/>
    <mergeCell ref="L18:L19"/>
    <mergeCell ref="X18:X19"/>
    <mergeCell ref="H30:H31"/>
    <mergeCell ref="L30:L31"/>
    <mergeCell ref="X30:X31"/>
    <mergeCell ref="H38:H39"/>
    <mergeCell ref="L38:L39"/>
    <mergeCell ref="X38:X39"/>
    <mergeCell ref="H46:H47"/>
    <mergeCell ref="X46:X47"/>
    <mergeCell ref="H52:H54"/>
    <mergeCell ref="L52:L54"/>
    <mergeCell ref="X52:X54"/>
    <mergeCell ref="H59:H60"/>
    <mergeCell ref="X59:X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660 CD</vt:lpstr>
      <vt:lpstr>660 GCV DETAILS</vt:lpstr>
      <vt:lpstr>660w</vt:lpstr>
      <vt:lpstr>660w (2)</vt:lpstr>
      <vt:lpstr>'660 CD'!Print_Area</vt:lpstr>
      <vt:lpstr>'660 GCV DETAILS'!Print_Area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MANISHA BODADE</dc:creator>
  <cp:lastModifiedBy>Bhusawal47</cp:lastModifiedBy>
  <cp:revision/>
  <cp:lastPrinted>2025-06-21T12:07:39Z</cp:lastPrinted>
  <dcterms:created xsi:type="dcterms:W3CDTF">2006-09-16T00:00:00Z</dcterms:created>
  <dcterms:modified xsi:type="dcterms:W3CDTF">2025-12-23T11:20:41Z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DF25E0243B79489CA7B2F4AD9065D6C7_12</vt:lpwstr>
  </property>
  <property fmtid="{D5CDD505-2E9C-101B-9397-08002B2CF9AE}" pid="3" name="KSOProductBuildVer">
    <vt:lpwstr>1033-12.2.0.13085</vt:lpwstr>
  </property>
</Properties>
</file>